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defaultThemeVersion="124226"/>
  <mc:AlternateContent xmlns:mc="http://schemas.openxmlformats.org/markup-compatibility/2006">
    <mc:Choice Requires="x15">
      <x15ac:absPath xmlns:x15ac="http://schemas.microsoft.com/office/spreadsheetml/2010/11/ac" url="https://eahhousingportal-my.sharepoint.com/personal/bronson_viscarra_eahhousing_org/Documents/Desktop/"/>
    </mc:Choice>
  </mc:AlternateContent>
  <xr:revisionPtr revIDLastSave="0" documentId="8_{6BB2B9A4-060A-419C-9FE4-078C7D0FD034}" xr6:coauthVersionLast="47" xr6:coauthVersionMax="47" xr10:uidLastSave="{00000000-0000-0000-0000-000000000000}"/>
  <bookViews>
    <workbookView xWindow="57480" yWindow="-2610" windowWidth="29040" windowHeight="15720" firstSheet="2" activeTab="2"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Forma'!$A$1:$S$73</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Forma'!$A$1:$S$73</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18" i="3" l="1"/>
  <c r="T64" i="7" l="1"/>
  <c r="U64" i="7"/>
  <c r="V64" i="7"/>
  <c r="W64" i="7"/>
  <c r="X64" i="7"/>
  <c r="Y64" i="7"/>
  <c r="Z64" i="7"/>
  <c r="AA64" i="7"/>
  <c r="AB64" i="7"/>
  <c r="AC64" i="7"/>
  <c r="AD64" i="7"/>
  <c r="AE64" i="7"/>
  <c r="AF64" i="7"/>
  <c r="AG64" i="7"/>
  <c r="AH64" i="7"/>
  <c r="AI64" i="7"/>
  <c r="AJ64" i="7"/>
  <c r="AK64" i="7"/>
  <c r="AL64" i="7"/>
  <c r="AM64" i="7"/>
  <c r="AN64" i="7"/>
  <c r="AO64" i="7"/>
  <c r="AP64" i="7"/>
  <c r="AQ64" i="7"/>
  <c r="AR64" i="7"/>
  <c r="AS64" i="7"/>
  <c r="AT64" i="7"/>
  <c r="AU64" i="7"/>
  <c r="AV64" i="7"/>
  <c r="AW64" i="7"/>
  <c r="AX64" i="7"/>
  <c r="AY64" i="7"/>
  <c r="AZ64" i="7"/>
  <c r="BA64" i="7"/>
  <c r="BB64" i="7"/>
  <c r="BC64" i="7"/>
  <c r="BD64" i="7"/>
  <c r="BE64" i="7"/>
  <c r="BF64" i="7"/>
  <c r="BG64" i="7"/>
  <c r="BH64" i="7"/>
  <c r="BI64" i="7"/>
  <c r="BJ64" i="7"/>
  <c r="BK64" i="7"/>
  <c r="BL64" i="7"/>
  <c r="BM64" i="7"/>
  <c r="BN64" i="7"/>
  <c r="BO64" i="7"/>
  <c r="BP64" i="7"/>
  <c r="BQ64" i="7"/>
  <c r="BR64" i="7"/>
  <c r="BS64" i="7"/>
  <c r="BT64" i="7"/>
  <c r="BU64" i="7"/>
  <c r="BV64" i="7"/>
  <c r="BW64" i="7"/>
  <c r="BX64" i="7"/>
  <c r="BY64" i="7"/>
  <c r="BZ64" i="7"/>
  <c r="CA64" i="7"/>
  <c r="CB64" i="7"/>
  <c r="CC64" i="7"/>
  <c r="CD64" i="7"/>
  <c r="CE64" i="7"/>
  <c r="CF64" i="7"/>
  <c r="CG64" i="7"/>
  <c r="CH64" i="7"/>
  <c r="CI64" i="7"/>
  <c r="CJ64" i="7"/>
  <c r="CK64" i="7"/>
  <c r="CL64" i="7"/>
  <c r="CM64" i="7"/>
  <c r="CN64" i="7"/>
  <c r="CO64" i="7"/>
  <c r="CP64" i="7"/>
  <c r="CQ64" i="7"/>
  <c r="CR64" i="7"/>
  <c r="CS64" i="7"/>
  <c r="CT64" i="7"/>
  <c r="CU64" i="7"/>
  <c r="CV64" i="7"/>
  <c r="CW64" i="7"/>
  <c r="CX64" i="7"/>
  <c r="CY64" i="7"/>
  <c r="CZ64" i="7"/>
  <c r="DA64" i="7"/>
  <c r="DB64" i="7"/>
  <c r="DC64" i="7"/>
  <c r="DD64" i="7"/>
  <c r="DE64" i="7"/>
  <c r="DF64" i="7"/>
  <c r="DG64" i="7"/>
  <c r="DH64" i="7"/>
  <c r="DI64" i="7"/>
  <c r="DJ64" i="7"/>
  <c r="DK64" i="7"/>
  <c r="DL64" i="7"/>
  <c r="DM64" i="7"/>
  <c r="DN64" i="7"/>
  <c r="DO64" i="7"/>
  <c r="DP64" i="7"/>
  <c r="DQ64" i="7"/>
  <c r="DR64" i="7"/>
  <c r="DS64" i="7"/>
  <c r="DT64" i="7"/>
  <c r="DU64" i="7"/>
  <c r="DV64" i="7"/>
  <c r="DW64" i="7"/>
  <c r="DX64" i="7"/>
  <c r="DY64" i="7"/>
  <c r="DZ64" i="7"/>
  <c r="EA64" i="7"/>
  <c r="EB64" i="7"/>
  <c r="EC64" i="7"/>
  <c r="ED64" i="7"/>
  <c r="EE64" i="7"/>
  <c r="EF64" i="7"/>
  <c r="EG64" i="7"/>
  <c r="EH64" i="7"/>
  <c r="EI64" i="7"/>
  <c r="EJ64" i="7"/>
  <c r="EK64" i="7"/>
  <c r="EL64" i="7"/>
  <c r="EM64" i="7"/>
  <c r="EN64" i="7"/>
  <c r="EO64" i="7"/>
  <c r="EP64" i="7"/>
  <c r="EQ64" i="7"/>
  <c r="ER64" i="7"/>
  <c r="ES64" i="7"/>
  <c r="ET64" i="7"/>
  <c r="EU64" i="7"/>
  <c r="EV64" i="7"/>
  <c r="EW64" i="7"/>
  <c r="EX64" i="7"/>
  <c r="EY64" i="7"/>
  <c r="EZ64" i="7"/>
  <c r="FA64" i="7"/>
  <c r="FB64" i="7"/>
  <c r="FC64" i="7"/>
  <c r="FD64" i="7"/>
  <c r="FE64" i="7"/>
  <c r="FF64" i="7"/>
  <c r="FG64" i="7"/>
  <c r="FH64" i="7"/>
  <c r="FI64" i="7"/>
  <c r="FJ64" i="7"/>
  <c r="FK64" i="7"/>
  <c r="FL64" i="7"/>
  <c r="FM64" i="7"/>
  <c r="FN64" i="7"/>
  <c r="FO64" i="7"/>
  <c r="FP64" i="7"/>
  <c r="FQ64" i="7"/>
  <c r="FR64" i="7"/>
  <c r="FS64" i="7"/>
  <c r="FT64" i="7"/>
  <c r="FU64" i="7"/>
  <c r="FV64" i="7"/>
  <c r="FW64" i="7"/>
  <c r="FX64" i="7"/>
  <c r="FY64" i="7"/>
  <c r="FZ64" i="7"/>
  <c r="GA64" i="7"/>
  <c r="GB64" i="7"/>
  <c r="GC64" i="7"/>
  <c r="GD64" i="7"/>
  <c r="GE64" i="7"/>
  <c r="GF64" i="7"/>
  <c r="GG64" i="7"/>
  <c r="GH64" i="7"/>
  <c r="GI64" i="7"/>
  <c r="GJ64" i="7"/>
  <c r="GK64" i="7"/>
  <c r="GL64" i="7"/>
  <c r="GM64" i="7"/>
  <c r="GN64" i="7"/>
  <c r="GO64" i="7"/>
  <c r="GP64" i="7"/>
  <c r="GQ64" i="7"/>
  <c r="GR64" i="7"/>
  <c r="GS64" i="7"/>
  <c r="GT64" i="7"/>
  <c r="GU64" i="7"/>
  <c r="GV64" i="7"/>
  <c r="GW64" i="7"/>
  <c r="GX64" i="7"/>
  <c r="GY64" i="7"/>
  <c r="GZ64" i="7"/>
  <c r="HA64" i="7"/>
  <c r="HB64" i="7"/>
  <c r="HC64" i="7"/>
  <c r="HD64" i="7"/>
  <c r="HE64" i="7"/>
  <c r="HF64" i="7"/>
  <c r="HG64" i="7"/>
  <c r="HH64" i="7"/>
  <c r="HI64" i="7"/>
  <c r="HJ64" i="7"/>
  <c r="HK64" i="7"/>
  <c r="HL64" i="7"/>
  <c r="HM64" i="7"/>
  <c r="HN64" i="7"/>
  <c r="HO64" i="7"/>
  <c r="HP64" i="7"/>
  <c r="HQ64" i="7"/>
  <c r="HR64" i="7"/>
  <c r="HS64" i="7"/>
  <c r="HT64" i="7"/>
  <c r="HU64" i="7"/>
  <c r="HV64" i="7"/>
  <c r="HW64" i="7"/>
  <c r="HX64" i="7"/>
  <c r="HY64" i="7"/>
  <c r="HZ64" i="7"/>
  <c r="IA64" i="7"/>
  <c r="IB64" i="7"/>
  <c r="IC64" i="7"/>
  <c r="ID64" i="7"/>
  <c r="IE64" i="7"/>
  <c r="IF64" i="7"/>
  <c r="IG64" i="7"/>
  <c r="IH64" i="7"/>
  <c r="II64" i="7"/>
  <c r="IJ64" i="7"/>
  <c r="IK64" i="7"/>
  <c r="IL64" i="7"/>
  <c r="IM64" i="7"/>
  <c r="IN64" i="7"/>
  <c r="IO64" i="7"/>
  <c r="IP64" i="7"/>
  <c r="IQ64" i="7"/>
  <c r="IR64" i="7"/>
  <c r="IS64" i="7"/>
  <c r="IT64" i="7"/>
  <c r="IU64" i="7"/>
  <c r="IV64" i="7"/>
  <c r="IW64" i="7"/>
  <c r="IX64" i="7"/>
  <c r="IY64" i="7"/>
  <c r="IZ64" i="7"/>
  <c r="JA64" i="7"/>
  <c r="JB64" i="7"/>
  <c r="JC64" i="7"/>
  <c r="JD64" i="7"/>
  <c r="JE64" i="7"/>
  <c r="JF64" i="7"/>
  <c r="JG64" i="7"/>
  <c r="JH64" i="7"/>
  <c r="JI64" i="7"/>
  <c r="JJ64" i="7"/>
  <c r="JK64" i="7"/>
  <c r="JL64" i="7"/>
  <c r="JM64" i="7"/>
  <c r="JN64" i="7"/>
  <c r="JO64" i="7"/>
  <c r="JP64" i="7"/>
  <c r="JQ64" i="7"/>
  <c r="JR64" i="7"/>
  <c r="JS64" i="7"/>
  <c r="JT64" i="7"/>
  <c r="JU64" i="7"/>
  <c r="JV64" i="7"/>
  <c r="JW64" i="7"/>
  <c r="JX64" i="7"/>
  <c r="JY64" i="7"/>
  <c r="JZ64" i="7"/>
  <c r="KA64" i="7"/>
  <c r="KB64" i="7"/>
  <c r="KC64" i="7"/>
  <c r="KD64" i="7"/>
  <c r="KE64" i="7"/>
  <c r="KF64" i="7"/>
  <c r="KG64" i="7"/>
  <c r="KH64" i="7"/>
  <c r="KI64" i="7"/>
  <c r="KJ64" i="7"/>
  <c r="KK64" i="7"/>
  <c r="KL64" i="7"/>
  <c r="KM64" i="7"/>
  <c r="KN64" i="7"/>
  <c r="KO64" i="7"/>
  <c r="KP64" i="7"/>
  <c r="KQ64" i="7"/>
  <c r="KR64" i="7"/>
  <c r="KS64" i="7"/>
  <c r="KT64" i="7"/>
  <c r="KU64" i="7"/>
  <c r="KV64" i="7"/>
  <c r="KW64" i="7"/>
  <c r="KX64" i="7"/>
  <c r="KY64" i="7"/>
  <c r="KZ64" i="7"/>
  <c r="LA64" i="7"/>
  <c r="LB64" i="7"/>
  <c r="LC64" i="7"/>
  <c r="LD64" i="7"/>
  <c r="LE64" i="7"/>
  <c r="LF64" i="7"/>
  <c r="LG64" i="7"/>
  <c r="LH64" i="7"/>
  <c r="LI64" i="7"/>
  <c r="LJ64" i="7"/>
  <c r="LK64" i="7"/>
  <c r="LL64" i="7"/>
  <c r="LM64" i="7"/>
  <c r="LN64" i="7"/>
  <c r="LO64" i="7"/>
  <c r="LP64" i="7"/>
  <c r="LQ64" i="7"/>
  <c r="LR64" i="7"/>
  <c r="LS64" i="7"/>
  <c r="LT64" i="7"/>
  <c r="LU64" i="7"/>
  <c r="LV64" i="7"/>
  <c r="LW64" i="7"/>
  <c r="LX64" i="7"/>
  <c r="LY64" i="7"/>
  <c r="LZ64" i="7"/>
  <c r="MA64" i="7"/>
  <c r="MB64" i="7"/>
  <c r="MC64" i="7"/>
  <c r="MD64" i="7"/>
  <c r="ME64" i="7"/>
  <c r="MF64" i="7"/>
  <c r="MG64" i="7"/>
  <c r="MH64" i="7"/>
  <c r="MI64" i="7"/>
  <c r="MJ64" i="7"/>
  <c r="MK64" i="7"/>
  <c r="ML64" i="7"/>
  <c r="MM64" i="7"/>
  <c r="MN64" i="7"/>
  <c r="MO64" i="7"/>
  <c r="MP64" i="7"/>
  <c r="MQ64" i="7"/>
  <c r="MR64" i="7"/>
  <c r="MS64" i="7"/>
  <c r="MT64" i="7"/>
  <c r="MU64" i="7"/>
  <c r="MV64" i="7"/>
  <c r="MW64" i="7"/>
  <c r="MX64" i="7"/>
  <c r="MY64" i="7"/>
  <c r="MZ64" i="7"/>
  <c r="NA64" i="7"/>
  <c r="NB64" i="7"/>
  <c r="NC64" i="7"/>
  <c r="ND64" i="7"/>
  <c r="NE64" i="7"/>
  <c r="NF64" i="7"/>
  <c r="NG64" i="7"/>
  <c r="NH64" i="7"/>
  <c r="NI64" i="7"/>
  <c r="NJ64" i="7"/>
  <c r="NK64" i="7"/>
  <c r="NL64" i="7"/>
  <c r="NM64" i="7"/>
  <c r="NN64" i="7"/>
  <c r="NO64" i="7"/>
  <c r="NP64" i="7"/>
  <c r="NQ64" i="7"/>
  <c r="NR64" i="7"/>
  <c r="NS64" i="7"/>
  <c r="NT64" i="7"/>
  <c r="NU64" i="7"/>
  <c r="NV64" i="7"/>
  <c r="NW64" i="7"/>
  <c r="NX64" i="7"/>
  <c r="NY64" i="7"/>
  <c r="NZ64" i="7"/>
  <c r="OA64" i="7"/>
  <c r="OB64" i="7"/>
  <c r="OC64" i="7"/>
  <c r="OD64" i="7"/>
  <c r="OE64" i="7"/>
  <c r="OF64" i="7"/>
  <c r="OG64" i="7"/>
  <c r="OH64" i="7"/>
  <c r="OI64" i="7"/>
  <c r="OJ64" i="7"/>
  <c r="OK64" i="7"/>
  <c r="OL64" i="7"/>
  <c r="OM64" i="7"/>
  <c r="ON64" i="7"/>
  <c r="OO64" i="7"/>
  <c r="OP64" i="7"/>
  <c r="OQ64" i="7"/>
  <c r="OR64" i="7"/>
  <c r="OS64" i="7"/>
  <c r="OT64" i="7"/>
  <c r="OU64" i="7"/>
  <c r="OV64" i="7"/>
  <c r="OW64" i="7"/>
  <c r="OX64" i="7"/>
  <c r="OY64" i="7"/>
  <c r="OZ64" i="7"/>
  <c r="PA64" i="7"/>
  <c r="PB64" i="7"/>
  <c r="PC64" i="7"/>
  <c r="PD64" i="7"/>
  <c r="PE64" i="7"/>
  <c r="PF64" i="7"/>
  <c r="PG64" i="7"/>
  <c r="PH64" i="7"/>
  <c r="PI64" i="7"/>
  <c r="PJ64" i="7"/>
  <c r="PK64" i="7"/>
  <c r="PL64" i="7"/>
  <c r="PM64" i="7"/>
  <c r="PN64" i="7"/>
  <c r="PO64" i="7"/>
  <c r="PP64" i="7"/>
  <c r="PQ64" i="7"/>
  <c r="PR64" i="7"/>
  <c r="PS64" i="7"/>
  <c r="PT64" i="7"/>
  <c r="PU64" i="7"/>
  <c r="PV64" i="7"/>
  <c r="PW64" i="7"/>
  <c r="PX64" i="7"/>
  <c r="PY64" i="7"/>
  <c r="PZ64" i="7"/>
  <c r="QA64" i="7"/>
  <c r="QB64" i="7"/>
  <c r="QC64" i="7"/>
  <c r="QD64" i="7"/>
  <c r="QE64" i="7"/>
  <c r="QF64" i="7"/>
  <c r="QG64" i="7"/>
  <c r="QH64" i="7"/>
  <c r="QI64" i="7"/>
  <c r="QJ64" i="7"/>
  <c r="QK64" i="7"/>
  <c r="QL64" i="7"/>
  <c r="QM64" i="7"/>
  <c r="QN64" i="7"/>
  <c r="QO64" i="7"/>
  <c r="QP64" i="7"/>
  <c r="QQ64" i="7"/>
  <c r="QR64" i="7"/>
  <c r="QS64" i="7"/>
  <c r="QT64" i="7"/>
  <c r="QU64" i="7"/>
  <c r="QV64" i="7"/>
  <c r="QW64" i="7"/>
  <c r="QX64" i="7"/>
  <c r="QY64" i="7"/>
  <c r="QZ64" i="7"/>
  <c r="RA64" i="7"/>
  <c r="RB64" i="7"/>
  <c r="RC64" i="7"/>
  <c r="RD64" i="7"/>
  <c r="RE64" i="7"/>
  <c r="RF64" i="7"/>
  <c r="RG64" i="7"/>
  <c r="RH64" i="7"/>
  <c r="RI64" i="7"/>
  <c r="RJ64" i="7"/>
  <c r="RK64" i="7"/>
  <c r="RL64" i="7"/>
  <c r="RM64" i="7"/>
  <c r="RN64" i="7"/>
  <c r="RO64" i="7"/>
  <c r="RP64" i="7"/>
  <c r="RQ64" i="7"/>
  <c r="RR64" i="7"/>
  <c r="RS64" i="7"/>
  <c r="RT64" i="7"/>
  <c r="RU64" i="7"/>
  <c r="RV64" i="7"/>
  <c r="RW64" i="7"/>
  <c r="RX64" i="7"/>
  <c r="RY64" i="7"/>
  <c r="RZ64" i="7"/>
  <c r="SA64" i="7"/>
  <c r="SB64" i="7"/>
  <c r="SC64" i="7"/>
  <c r="SD64" i="7"/>
  <c r="SE64" i="7"/>
  <c r="SF64" i="7"/>
  <c r="SG64" i="7"/>
  <c r="SH64" i="7"/>
  <c r="SI64" i="7"/>
  <c r="SJ64" i="7"/>
  <c r="SK64" i="7"/>
  <c r="SL64" i="7"/>
  <c r="SM64" i="7"/>
  <c r="SN64" i="7"/>
  <c r="SO64" i="7"/>
  <c r="SP64" i="7"/>
  <c r="SQ64" i="7"/>
  <c r="SR64" i="7"/>
  <c r="SS64" i="7"/>
  <c r="ST64" i="7"/>
  <c r="SU64" i="7"/>
  <c r="SV64" i="7"/>
  <c r="SW64" i="7"/>
  <c r="SX64" i="7"/>
  <c r="SY64" i="7"/>
  <c r="SZ64" i="7"/>
  <c r="TA64" i="7"/>
  <c r="TB64" i="7"/>
  <c r="TC64" i="7"/>
  <c r="TD64" i="7"/>
  <c r="TE64" i="7"/>
  <c r="TF64" i="7"/>
  <c r="TG64" i="7"/>
  <c r="TH64" i="7"/>
  <c r="TI64" i="7"/>
  <c r="TJ64" i="7"/>
  <c r="TK64" i="7"/>
  <c r="TL64" i="7"/>
  <c r="TM64" i="7"/>
  <c r="TN64" i="7"/>
  <c r="TO64" i="7"/>
  <c r="TP64" i="7"/>
  <c r="TQ64" i="7"/>
  <c r="TR64" i="7"/>
  <c r="TS64" i="7"/>
  <c r="TT64" i="7"/>
  <c r="TU64" i="7"/>
  <c r="TV64" i="7"/>
  <c r="TW64" i="7"/>
  <c r="TX64" i="7"/>
  <c r="TY64" i="7"/>
  <c r="TZ64" i="7"/>
  <c r="UA64" i="7"/>
  <c r="UB64" i="7"/>
  <c r="UC64" i="7"/>
  <c r="UD64" i="7"/>
  <c r="UE64" i="7"/>
  <c r="UF64" i="7"/>
  <c r="UG64" i="7"/>
  <c r="UH64" i="7"/>
  <c r="UI64" i="7"/>
  <c r="UJ64" i="7"/>
  <c r="UK64" i="7"/>
  <c r="UL64" i="7"/>
  <c r="UM64" i="7"/>
  <c r="UN64" i="7"/>
  <c r="UO64" i="7"/>
  <c r="UP64" i="7"/>
  <c r="UQ64" i="7"/>
  <c r="UR64" i="7"/>
  <c r="US64" i="7"/>
  <c r="UT64" i="7"/>
  <c r="UU64" i="7"/>
  <c r="UV64" i="7"/>
  <c r="UW64" i="7"/>
  <c r="UX64" i="7"/>
  <c r="UY64" i="7"/>
  <c r="UZ64" i="7"/>
  <c r="VA64" i="7"/>
  <c r="VB64" i="7"/>
  <c r="VC64" i="7"/>
  <c r="VD64" i="7"/>
  <c r="VE64" i="7"/>
  <c r="VF64" i="7"/>
  <c r="VG64" i="7"/>
  <c r="VH64" i="7"/>
  <c r="VI64" i="7"/>
  <c r="VJ64" i="7"/>
  <c r="VK64" i="7"/>
  <c r="VL64" i="7"/>
  <c r="VM64" i="7"/>
  <c r="VN64" i="7"/>
  <c r="VO64" i="7"/>
  <c r="VP64" i="7"/>
  <c r="VQ64" i="7"/>
  <c r="VR64" i="7"/>
  <c r="VS64" i="7"/>
  <c r="VT64" i="7"/>
  <c r="VU64" i="7"/>
  <c r="VV64" i="7"/>
  <c r="VW64" i="7"/>
  <c r="VX64" i="7"/>
  <c r="VY64" i="7"/>
  <c r="VZ64" i="7"/>
  <c r="WA64" i="7"/>
  <c r="WB64" i="7"/>
  <c r="WC64" i="7"/>
  <c r="WD64" i="7"/>
  <c r="WE64" i="7"/>
  <c r="WF64" i="7"/>
  <c r="WG64" i="7"/>
  <c r="WH64" i="7"/>
  <c r="WI64" i="7"/>
  <c r="WJ64" i="7"/>
  <c r="WK64" i="7"/>
  <c r="WL64" i="7"/>
  <c r="WM64" i="7"/>
  <c r="WN64" i="7"/>
  <c r="WO64" i="7"/>
  <c r="WP64" i="7"/>
  <c r="WQ64" i="7"/>
  <c r="WR64" i="7"/>
  <c r="WS64" i="7"/>
  <c r="WT64" i="7"/>
  <c r="WU64" i="7"/>
  <c r="WV64" i="7"/>
  <c r="WW64" i="7"/>
  <c r="WX64" i="7"/>
  <c r="WY64" i="7"/>
  <c r="WZ64" i="7"/>
  <c r="XA64" i="7"/>
  <c r="XB64" i="7"/>
  <c r="XC64" i="7"/>
  <c r="XD64" i="7"/>
  <c r="XE64" i="7"/>
  <c r="XF64" i="7"/>
  <c r="XG64" i="7"/>
  <c r="XH64" i="7"/>
  <c r="XI64" i="7"/>
  <c r="XJ64" i="7"/>
  <c r="XK64" i="7"/>
  <c r="XL64" i="7"/>
  <c r="XM64" i="7"/>
  <c r="XN64" i="7"/>
  <c r="XO64" i="7"/>
  <c r="XP64" i="7"/>
  <c r="XQ64" i="7"/>
  <c r="XR64" i="7"/>
  <c r="XS64" i="7"/>
  <c r="XT64" i="7"/>
  <c r="XU64" i="7"/>
  <c r="XV64" i="7"/>
  <c r="XW64" i="7"/>
  <c r="XX64" i="7"/>
  <c r="XY64" i="7"/>
  <c r="XZ64" i="7"/>
  <c r="YA64" i="7"/>
  <c r="YB64" i="7"/>
  <c r="YC64" i="7"/>
  <c r="YD64" i="7"/>
  <c r="YE64" i="7"/>
  <c r="YF64" i="7"/>
  <c r="YG64" i="7"/>
  <c r="YH64" i="7"/>
  <c r="YI64" i="7"/>
  <c r="YJ64" i="7"/>
  <c r="YK64" i="7"/>
  <c r="YL64" i="7"/>
  <c r="YM64" i="7"/>
  <c r="YN64" i="7"/>
  <c r="YO64" i="7"/>
  <c r="YP64" i="7"/>
  <c r="YQ64" i="7"/>
  <c r="YR64" i="7"/>
  <c r="YS64" i="7"/>
  <c r="YT64" i="7"/>
  <c r="YU64" i="7"/>
  <c r="YV64" i="7"/>
  <c r="YW64" i="7"/>
  <c r="YX64" i="7"/>
  <c r="YY64" i="7"/>
  <c r="YZ64" i="7"/>
  <c r="ZA64" i="7"/>
  <c r="ZB64" i="7"/>
  <c r="ZC64" i="7"/>
  <c r="ZD64" i="7"/>
  <c r="ZE64" i="7"/>
  <c r="ZF64" i="7"/>
  <c r="ZG64" i="7"/>
  <c r="ZH64" i="7"/>
  <c r="ZI64" i="7"/>
  <c r="ZJ64" i="7"/>
  <c r="ZK64" i="7"/>
  <c r="ZL64" i="7"/>
  <c r="ZM64" i="7"/>
  <c r="ZN64" i="7"/>
  <c r="ZO64" i="7"/>
  <c r="ZP64" i="7"/>
  <c r="ZQ64" i="7"/>
  <c r="ZR64" i="7"/>
  <c r="ZS64" i="7"/>
  <c r="ZT64" i="7"/>
  <c r="ZU64" i="7"/>
  <c r="ZV64" i="7"/>
  <c r="ZW64" i="7"/>
  <c r="ZX64" i="7"/>
  <c r="ZY64" i="7"/>
  <c r="ZZ64" i="7"/>
  <c r="AAA64" i="7"/>
  <c r="AAB64" i="7"/>
  <c r="AAC64" i="7"/>
  <c r="AAD64" i="7"/>
  <c r="AAE64" i="7"/>
  <c r="AAF64" i="7"/>
  <c r="AAG64" i="7"/>
  <c r="AAH64" i="7"/>
  <c r="AAI64" i="7"/>
  <c r="AAJ64" i="7"/>
  <c r="AAK64" i="7"/>
  <c r="AAL64" i="7"/>
  <c r="AAM64" i="7"/>
  <c r="AAN64" i="7"/>
  <c r="AAO64" i="7"/>
  <c r="AAP64" i="7"/>
  <c r="AAQ64" i="7"/>
  <c r="AAR64" i="7"/>
  <c r="AAS64" i="7"/>
  <c r="AAT64" i="7"/>
  <c r="AAU64" i="7"/>
  <c r="AAV64" i="7"/>
  <c r="AAW64" i="7"/>
  <c r="AAX64" i="7"/>
  <c r="AAY64" i="7"/>
  <c r="AAZ64" i="7"/>
  <c r="ABA64" i="7"/>
  <c r="ABB64" i="7"/>
  <c r="ABC64" i="7"/>
  <c r="ABD64" i="7"/>
  <c r="ABE64" i="7"/>
  <c r="ABF64" i="7"/>
  <c r="ABG64" i="7"/>
  <c r="ABH64" i="7"/>
  <c r="ABI64" i="7"/>
  <c r="ABJ64" i="7"/>
  <c r="ABK64" i="7"/>
  <c r="ABL64" i="7"/>
  <c r="ABM64" i="7"/>
  <c r="ABN64" i="7"/>
  <c r="ABO64" i="7"/>
  <c r="ABP64" i="7"/>
  <c r="ABQ64" i="7"/>
  <c r="ABR64" i="7"/>
  <c r="ABS64" i="7"/>
  <c r="ABT64" i="7"/>
  <c r="ABU64" i="7"/>
  <c r="ABV64" i="7"/>
  <c r="ABW64" i="7"/>
  <c r="ABX64" i="7"/>
  <c r="ABY64" i="7"/>
  <c r="ABZ64" i="7"/>
  <c r="ACA64" i="7"/>
  <c r="ACB64" i="7"/>
  <c r="ACC64" i="7"/>
  <c r="ACD64" i="7"/>
  <c r="ACE64" i="7"/>
  <c r="ACF64" i="7"/>
  <c r="ACG64" i="7"/>
  <c r="ACH64" i="7"/>
  <c r="ACI64" i="7"/>
  <c r="ACJ64" i="7"/>
  <c r="ACK64" i="7"/>
  <c r="ACL64" i="7"/>
  <c r="ACM64" i="7"/>
  <c r="ACN64" i="7"/>
  <c r="ACO64" i="7"/>
  <c r="ACP64" i="7"/>
  <c r="ACQ64" i="7"/>
  <c r="ACR64" i="7"/>
  <c r="ACS64" i="7"/>
  <c r="ACT64" i="7"/>
  <c r="ACU64" i="7"/>
  <c r="ACV64" i="7"/>
  <c r="ACW64" i="7"/>
  <c r="ACX64" i="7"/>
  <c r="ACY64" i="7"/>
  <c r="ACZ64" i="7"/>
  <c r="ADA64" i="7"/>
  <c r="ADB64" i="7"/>
  <c r="ADC64" i="7"/>
  <c r="ADD64" i="7"/>
  <c r="ADE64" i="7"/>
  <c r="ADF64" i="7"/>
  <c r="ADG64" i="7"/>
  <c r="ADH64" i="7"/>
  <c r="ADI64" i="7"/>
  <c r="ADJ64" i="7"/>
  <c r="ADK64" i="7"/>
  <c r="ADL64" i="7"/>
  <c r="ADM64" i="7"/>
  <c r="ADN64" i="7"/>
  <c r="ADO64" i="7"/>
  <c r="ADP64" i="7"/>
  <c r="ADQ64" i="7"/>
  <c r="ADR64" i="7"/>
  <c r="ADS64" i="7"/>
  <c r="ADT64" i="7"/>
  <c r="ADU64" i="7"/>
  <c r="ADV64" i="7"/>
  <c r="ADW64" i="7"/>
  <c r="ADX64" i="7"/>
  <c r="ADY64" i="7"/>
  <c r="ADZ64" i="7"/>
  <c r="AEA64" i="7"/>
  <c r="AEB64" i="7"/>
  <c r="AEC64" i="7"/>
  <c r="AED64" i="7"/>
  <c r="AEE64" i="7"/>
  <c r="AEF64" i="7"/>
  <c r="AEG64" i="7"/>
  <c r="AEH64" i="7"/>
  <c r="AEI64" i="7"/>
  <c r="AEJ64" i="7"/>
  <c r="AEK64" i="7"/>
  <c r="AEL64" i="7"/>
  <c r="AEM64" i="7"/>
  <c r="AEN64" i="7"/>
  <c r="AEO64" i="7"/>
  <c r="AEP64" i="7"/>
  <c r="AEQ64" i="7"/>
  <c r="AER64" i="7"/>
  <c r="AES64" i="7"/>
  <c r="AET64" i="7"/>
  <c r="AEU64" i="7"/>
  <c r="AEV64" i="7"/>
  <c r="AEW64" i="7"/>
  <c r="AEX64" i="7"/>
  <c r="AEY64" i="7"/>
  <c r="AEZ64" i="7"/>
  <c r="AFA64" i="7"/>
  <c r="AFB64" i="7"/>
  <c r="AFC64" i="7"/>
  <c r="AFD64" i="7"/>
  <c r="AFE64" i="7"/>
  <c r="AFF64" i="7"/>
  <c r="AFG64" i="7"/>
  <c r="AFH64" i="7"/>
  <c r="AFI64" i="7"/>
  <c r="AFJ64" i="7"/>
  <c r="AFK64" i="7"/>
  <c r="AFL64" i="7"/>
  <c r="AFM64" i="7"/>
  <c r="AFN64" i="7"/>
  <c r="AFO64" i="7"/>
  <c r="AFP64" i="7"/>
  <c r="AFQ64" i="7"/>
  <c r="AFR64" i="7"/>
  <c r="AFS64" i="7"/>
  <c r="AFT64" i="7"/>
  <c r="AFU64" i="7"/>
  <c r="AFV64" i="7"/>
  <c r="AFW64" i="7"/>
  <c r="AFX64" i="7"/>
  <c r="AFY64" i="7"/>
  <c r="AFZ64" i="7"/>
  <c r="AGA64" i="7"/>
  <c r="AGB64" i="7"/>
  <c r="AGC64" i="7"/>
  <c r="AGD64" i="7"/>
  <c r="AGE64" i="7"/>
  <c r="AGF64" i="7"/>
  <c r="AGG64" i="7"/>
  <c r="AGH64" i="7"/>
  <c r="AGI64" i="7"/>
  <c r="AGJ64" i="7"/>
  <c r="AGK64" i="7"/>
  <c r="AGL64" i="7"/>
  <c r="AGM64" i="7"/>
  <c r="AGN64" i="7"/>
  <c r="AGO64" i="7"/>
  <c r="AGP64" i="7"/>
  <c r="AGQ64" i="7"/>
  <c r="AGR64" i="7"/>
  <c r="AGS64" i="7"/>
  <c r="AGT64" i="7"/>
  <c r="AGU64" i="7"/>
  <c r="AGV64" i="7"/>
  <c r="AGW64" i="7"/>
  <c r="AGX64" i="7"/>
  <c r="AGY64" i="7"/>
  <c r="AGZ64" i="7"/>
  <c r="AHA64" i="7"/>
  <c r="AHB64" i="7"/>
  <c r="AHC64" i="7"/>
  <c r="AHD64" i="7"/>
  <c r="AHE64" i="7"/>
  <c r="AHF64" i="7"/>
  <c r="AHG64" i="7"/>
  <c r="AHH64" i="7"/>
  <c r="AHI64" i="7"/>
  <c r="AHJ64" i="7"/>
  <c r="AHK64" i="7"/>
  <c r="AHL64" i="7"/>
  <c r="AHM64" i="7"/>
  <c r="AHN64" i="7"/>
  <c r="AHO64" i="7"/>
  <c r="AHP64" i="7"/>
  <c r="AHQ64" i="7"/>
  <c r="AHR64" i="7"/>
  <c r="AHS64" i="7"/>
  <c r="AHT64" i="7"/>
  <c r="AHU64" i="7"/>
  <c r="AHV64" i="7"/>
  <c r="AHW64" i="7"/>
  <c r="AHX64" i="7"/>
  <c r="AHY64" i="7"/>
  <c r="AHZ64" i="7"/>
  <c r="AIA64" i="7"/>
  <c r="AIB64" i="7"/>
  <c r="AIC64" i="7"/>
  <c r="AID64" i="7"/>
  <c r="AIE64" i="7"/>
  <c r="AIF64" i="7"/>
  <c r="AIG64" i="7"/>
  <c r="AIH64" i="7"/>
  <c r="AII64" i="7"/>
  <c r="AIJ64" i="7"/>
  <c r="AIK64" i="7"/>
  <c r="AIL64" i="7"/>
  <c r="AIM64" i="7"/>
  <c r="AIN64" i="7"/>
  <c r="AIO64" i="7"/>
  <c r="AIP64" i="7"/>
  <c r="AIQ64" i="7"/>
  <c r="AIR64" i="7"/>
  <c r="AIS64" i="7"/>
  <c r="AIT64" i="7"/>
  <c r="AIU64" i="7"/>
  <c r="AIV64" i="7"/>
  <c r="AIW64" i="7"/>
  <c r="AIX64" i="7"/>
  <c r="AIY64" i="7"/>
  <c r="AIZ64" i="7"/>
  <c r="AJA64" i="7"/>
  <c r="AJB64" i="7"/>
  <c r="AJC64" i="7"/>
  <c r="AJD64" i="7"/>
  <c r="AJE64" i="7"/>
  <c r="AJF64" i="7"/>
  <c r="AJG64" i="7"/>
  <c r="AJH64" i="7"/>
  <c r="AJI64" i="7"/>
  <c r="AJJ64" i="7"/>
  <c r="AJK64" i="7"/>
  <c r="AJL64" i="7"/>
  <c r="AJM64" i="7"/>
  <c r="AJN64" i="7"/>
  <c r="AJO64" i="7"/>
  <c r="AJP64" i="7"/>
  <c r="AJQ64" i="7"/>
  <c r="AJR64" i="7"/>
  <c r="AJS64" i="7"/>
  <c r="AJT64" i="7"/>
  <c r="AJU64" i="7"/>
  <c r="AJV64" i="7"/>
  <c r="AJW64" i="7"/>
  <c r="AJX64" i="7"/>
  <c r="AJY64" i="7"/>
  <c r="AJZ64" i="7"/>
  <c r="AKA64" i="7"/>
  <c r="AKB64" i="7"/>
  <c r="AKC64" i="7"/>
  <c r="AKD64" i="7"/>
  <c r="AKE64" i="7"/>
  <c r="AKF64" i="7"/>
  <c r="AKG64" i="7"/>
  <c r="AKH64" i="7"/>
  <c r="AKI64" i="7"/>
  <c r="AKJ64" i="7"/>
  <c r="AKK64" i="7"/>
  <c r="AKL64" i="7"/>
  <c r="AKM64" i="7"/>
  <c r="AKN64" i="7"/>
  <c r="AKO64" i="7"/>
  <c r="AKP64" i="7"/>
  <c r="AKQ64" i="7"/>
  <c r="AKR64" i="7"/>
  <c r="AKS64" i="7"/>
  <c r="AKT64" i="7"/>
  <c r="AKU64" i="7"/>
  <c r="AKV64" i="7"/>
  <c r="AKW64" i="7"/>
  <c r="AKX64" i="7"/>
  <c r="AKY64" i="7"/>
  <c r="AKZ64" i="7"/>
  <c r="ALA64" i="7"/>
  <c r="ALB64" i="7"/>
  <c r="ALC64" i="7"/>
  <c r="ALD64" i="7"/>
  <c r="ALE64" i="7"/>
  <c r="ALF64" i="7"/>
  <c r="ALG64" i="7"/>
  <c r="ALH64" i="7"/>
  <c r="ALI64" i="7"/>
  <c r="ALJ64" i="7"/>
  <c r="ALK64" i="7"/>
  <c r="ALL64" i="7"/>
  <c r="ALM64" i="7"/>
  <c r="ALN64" i="7"/>
  <c r="ALO64" i="7"/>
  <c r="ALP64" i="7"/>
  <c r="ALQ64" i="7"/>
  <c r="ALR64" i="7"/>
  <c r="ALS64" i="7"/>
  <c r="ALT64" i="7"/>
  <c r="ALU64" i="7"/>
  <c r="ALV64" i="7"/>
  <c r="ALW64" i="7"/>
  <c r="ALX64" i="7"/>
  <c r="ALY64" i="7"/>
  <c r="ALZ64" i="7"/>
  <c r="AMA64" i="7"/>
  <c r="AMB64" i="7"/>
  <c r="AMC64" i="7"/>
  <c r="AMD64" i="7"/>
  <c r="AME64" i="7"/>
  <c r="AMF64" i="7"/>
  <c r="AMG64" i="7"/>
  <c r="AMH64" i="7"/>
  <c r="AMI64" i="7"/>
  <c r="AMJ64" i="7"/>
  <c r="AMK64" i="7"/>
  <c r="AML64" i="7"/>
  <c r="AMM64" i="7"/>
  <c r="AMN64" i="7"/>
  <c r="AMO64" i="7"/>
  <c r="AMP64" i="7"/>
  <c r="AMQ64" i="7"/>
  <c r="AMR64" i="7"/>
  <c r="AMS64" i="7"/>
  <c r="AMT64" i="7"/>
  <c r="AMU64" i="7"/>
  <c r="AMV64" i="7"/>
  <c r="AMW64" i="7"/>
  <c r="AMX64" i="7"/>
  <c r="AMY64" i="7"/>
  <c r="AMZ64" i="7"/>
  <c r="ANA64" i="7"/>
  <c r="ANB64" i="7"/>
  <c r="ANC64" i="7"/>
  <c r="AND64" i="7"/>
  <c r="ANE64" i="7"/>
  <c r="ANF64" i="7"/>
  <c r="ANG64" i="7"/>
  <c r="ANH64" i="7"/>
  <c r="ANI64" i="7"/>
  <c r="ANJ64" i="7"/>
  <c r="ANK64" i="7"/>
  <c r="ANL64" i="7"/>
  <c r="ANM64" i="7"/>
  <c r="ANN64" i="7"/>
  <c r="ANO64" i="7"/>
  <c r="ANP64" i="7"/>
  <c r="ANQ64" i="7"/>
  <c r="ANR64" i="7"/>
  <c r="ANS64" i="7"/>
  <c r="ANT64" i="7"/>
  <c r="ANU64" i="7"/>
  <c r="ANV64" i="7"/>
  <c r="ANW64" i="7"/>
  <c r="ANX64" i="7"/>
  <c r="ANY64" i="7"/>
  <c r="ANZ64" i="7"/>
  <c r="AOA64" i="7"/>
  <c r="AOB64" i="7"/>
  <c r="AOC64" i="7"/>
  <c r="AOD64" i="7"/>
  <c r="AOE64" i="7"/>
  <c r="AOF64" i="7"/>
  <c r="AOG64" i="7"/>
  <c r="AOH64" i="7"/>
  <c r="AOI64" i="7"/>
  <c r="AOJ64" i="7"/>
  <c r="AOK64" i="7"/>
  <c r="AOL64" i="7"/>
  <c r="AOM64" i="7"/>
  <c r="AON64" i="7"/>
  <c r="AOO64" i="7"/>
  <c r="AOP64" i="7"/>
  <c r="AOQ64" i="7"/>
  <c r="AOR64" i="7"/>
  <c r="AOS64" i="7"/>
  <c r="AOT64" i="7"/>
  <c r="AOU64" i="7"/>
  <c r="AOV64" i="7"/>
  <c r="AOW64" i="7"/>
  <c r="AOX64" i="7"/>
  <c r="AOY64" i="7"/>
  <c r="AOZ64" i="7"/>
  <c r="APA64" i="7"/>
  <c r="APB64" i="7"/>
  <c r="APC64" i="7"/>
  <c r="APD64" i="7"/>
  <c r="APE64" i="7"/>
  <c r="APF64" i="7"/>
  <c r="APG64" i="7"/>
  <c r="APH64" i="7"/>
  <c r="API64" i="7"/>
  <c r="APJ64" i="7"/>
  <c r="APK64" i="7"/>
  <c r="APL64" i="7"/>
  <c r="APM64" i="7"/>
  <c r="APN64" i="7"/>
  <c r="APO64" i="7"/>
  <c r="APP64" i="7"/>
  <c r="APQ64" i="7"/>
  <c r="APR64" i="7"/>
  <c r="APS64" i="7"/>
  <c r="APT64" i="7"/>
  <c r="APU64" i="7"/>
  <c r="APV64" i="7"/>
  <c r="APW64" i="7"/>
  <c r="APX64" i="7"/>
  <c r="APY64" i="7"/>
  <c r="APZ64" i="7"/>
  <c r="AQA64" i="7"/>
  <c r="AQB64" i="7"/>
  <c r="AQC64" i="7"/>
  <c r="AQD64" i="7"/>
  <c r="AQE64" i="7"/>
  <c r="AQF64" i="7"/>
  <c r="AQG64" i="7"/>
  <c r="AQH64" i="7"/>
  <c r="AQI64" i="7"/>
  <c r="AQJ64" i="7"/>
  <c r="AQK64" i="7"/>
  <c r="AQL64" i="7"/>
  <c r="AQM64" i="7"/>
  <c r="AQN64" i="7"/>
  <c r="AQO64" i="7"/>
  <c r="AQP64" i="7"/>
  <c r="AQQ64" i="7"/>
  <c r="AQR64" i="7"/>
  <c r="AQS64" i="7"/>
  <c r="AQT64" i="7"/>
  <c r="AQU64" i="7"/>
  <c r="AQV64" i="7"/>
  <c r="AQW64" i="7"/>
  <c r="AQX64" i="7"/>
  <c r="AQY64" i="7"/>
  <c r="AQZ64" i="7"/>
  <c r="ARA64" i="7"/>
  <c r="ARB64" i="7"/>
  <c r="ARC64" i="7"/>
  <c r="ARD64" i="7"/>
  <c r="ARE64" i="7"/>
  <c r="ARF64" i="7"/>
  <c r="ARG64" i="7"/>
  <c r="ARH64" i="7"/>
  <c r="ARI64" i="7"/>
  <c r="ARJ64" i="7"/>
  <c r="ARK64" i="7"/>
  <c r="ARL64" i="7"/>
  <c r="ARM64" i="7"/>
  <c r="ARN64" i="7"/>
  <c r="ARO64" i="7"/>
  <c r="ARP64" i="7"/>
  <c r="ARQ64" i="7"/>
  <c r="ARR64" i="7"/>
  <c r="ARS64" i="7"/>
  <c r="ART64" i="7"/>
  <c r="ARU64" i="7"/>
  <c r="ARV64" i="7"/>
  <c r="ARW64" i="7"/>
  <c r="ARX64" i="7"/>
  <c r="ARY64" i="7"/>
  <c r="ARZ64" i="7"/>
  <c r="ASA64" i="7"/>
  <c r="ASB64" i="7"/>
  <c r="ASC64" i="7"/>
  <c r="ASD64" i="7"/>
  <c r="ASE64" i="7"/>
  <c r="ASF64" i="7"/>
  <c r="ASG64" i="7"/>
  <c r="ASH64" i="7"/>
  <c r="ASI64" i="7"/>
  <c r="ASJ64" i="7"/>
  <c r="ASK64" i="7"/>
  <c r="ASL64" i="7"/>
  <c r="ASM64" i="7"/>
  <c r="ASN64" i="7"/>
  <c r="ASO64" i="7"/>
  <c r="ASP64" i="7"/>
  <c r="ASQ64" i="7"/>
  <c r="ASR64" i="7"/>
  <c r="ASS64" i="7"/>
  <c r="AST64" i="7"/>
  <c r="ASU64" i="7"/>
  <c r="ASV64" i="7"/>
  <c r="ASW64" i="7"/>
  <c r="ASX64" i="7"/>
  <c r="ASY64" i="7"/>
  <c r="ASZ64" i="7"/>
  <c r="ATA64" i="7"/>
  <c r="ATB64" i="7"/>
  <c r="ATC64" i="7"/>
  <c r="ATD64" i="7"/>
  <c r="ATE64" i="7"/>
  <c r="ATF64" i="7"/>
  <c r="ATG64" i="7"/>
  <c r="ATH64" i="7"/>
  <c r="ATI64" i="7"/>
  <c r="ATJ64" i="7"/>
  <c r="ATK64" i="7"/>
  <c r="ATL64" i="7"/>
  <c r="ATM64" i="7"/>
  <c r="ATN64" i="7"/>
  <c r="ATO64" i="7"/>
  <c r="ATP64" i="7"/>
  <c r="ATQ64" i="7"/>
  <c r="ATR64" i="7"/>
  <c r="ATS64" i="7"/>
  <c r="ATT64" i="7"/>
  <c r="ATU64" i="7"/>
  <c r="ATV64" i="7"/>
  <c r="ATW64" i="7"/>
  <c r="ATX64" i="7"/>
  <c r="ATY64" i="7"/>
  <c r="ATZ64" i="7"/>
  <c r="AUA64" i="7"/>
  <c r="AUB64" i="7"/>
  <c r="AUC64" i="7"/>
  <c r="AUD64" i="7"/>
  <c r="AUE64" i="7"/>
  <c r="AUF64" i="7"/>
  <c r="AUG64" i="7"/>
  <c r="AUH64" i="7"/>
  <c r="AUI64" i="7"/>
  <c r="AUJ64" i="7"/>
  <c r="AUK64" i="7"/>
  <c r="AUL64" i="7"/>
  <c r="AUM64" i="7"/>
  <c r="AUN64" i="7"/>
  <c r="AUO64" i="7"/>
  <c r="AUP64" i="7"/>
  <c r="AUQ64" i="7"/>
  <c r="AUR64" i="7"/>
  <c r="AUS64" i="7"/>
  <c r="AUT64" i="7"/>
  <c r="AUU64" i="7"/>
  <c r="AUV64" i="7"/>
  <c r="AUW64" i="7"/>
  <c r="AUX64" i="7"/>
  <c r="AUY64" i="7"/>
  <c r="AUZ64" i="7"/>
  <c r="AVA64" i="7"/>
  <c r="AVB64" i="7"/>
  <c r="AVC64" i="7"/>
  <c r="AVD64" i="7"/>
  <c r="AVE64" i="7"/>
  <c r="AVF64" i="7"/>
  <c r="AVG64" i="7"/>
  <c r="AVH64" i="7"/>
  <c r="AVI64" i="7"/>
  <c r="AVJ64" i="7"/>
  <c r="AVK64" i="7"/>
  <c r="AVL64" i="7"/>
  <c r="AVM64" i="7"/>
  <c r="AVN64" i="7"/>
  <c r="AVO64" i="7"/>
  <c r="AVP64" i="7"/>
  <c r="AVQ64" i="7"/>
  <c r="AVR64" i="7"/>
  <c r="AVS64" i="7"/>
  <c r="AVT64" i="7"/>
  <c r="AVU64" i="7"/>
  <c r="AVV64" i="7"/>
  <c r="AVW64" i="7"/>
  <c r="AVX64" i="7"/>
  <c r="AVY64" i="7"/>
  <c r="AVZ64" i="7"/>
  <c r="AWA64" i="7"/>
  <c r="AWB64" i="7"/>
  <c r="AWC64" i="7"/>
  <c r="AWD64" i="7"/>
  <c r="AWE64" i="7"/>
  <c r="AWF64" i="7"/>
  <c r="AWG64" i="7"/>
  <c r="AWH64" i="7"/>
  <c r="AWI64" i="7"/>
  <c r="AWJ64" i="7"/>
  <c r="AWK64" i="7"/>
  <c r="AWL64" i="7"/>
  <c r="AWM64" i="7"/>
  <c r="AWN64" i="7"/>
  <c r="AWO64" i="7"/>
  <c r="AWP64" i="7"/>
  <c r="AWQ64" i="7"/>
  <c r="AWR64" i="7"/>
  <c r="AWS64" i="7"/>
  <c r="AWT64" i="7"/>
  <c r="AWU64" i="7"/>
  <c r="AWV64" i="7"/>
  <c r="AWW64" i="7"/>
  <c r="AWX64" i="7"/>
  <c r="AWY64" i="7"/>
  <c r="AWZ64" i="7"/>
  <c r="AXA64" i="7"/>
  <c r="AXB64" i="7"/>
  <c r="AXC64" i="7"/>
  <c r="AXD64" i="7"/>
  <c r="AXE64" i="7"/>
  <c r="AXF64" i="7"/>
  <c r="AXG64" i="7"/>
  <c r="AXH64" i="7"/>
  <c r="AXI64" i="7"/>
  <c r="AXJ64" i="7"/>
  <c r="AXK64" i="7"/>
  <c r="AXL64" i="7"/>
  <c r="AXM64" i="7"/>
  <c r="AXN64" i="7"/>
  <c r="AXO64" i="7"/>
  <c r="AXP64" i="7"/>
  <c r="AXQ64" i="7"/>
  <c r="AXR64" i="7"/>
  <c r="AXS64" i="7"/>
  <c r="AXT64" i="7"/>
  <c r="AXU64" i="7"/>
  <c r="AXV64" i="7"/>
  <c r="AXW64" i="7"/>
  <c r="AXX64" i="7"/>
  <c r="AXY64" i="7"/>
  <c r="AXZ64" i="7"/>
  <c r="AYA64" i="7"/>
  <c r="AYB64" i="7"/>
  <c r="AYC64" i="7"/>
  <c r="AYD64" i="7"/>
  <c r="AYE64" i="7"/>
  <c r="AYF64" i="7"/>
  <c r="AYG64" i="7"/>
  <c r="AYH64" i="7"/>
  <c r="AYI64" i="7"/>
  <c r="AYJ64" i="7"/>
  <c r="AYK64" i="7"/>
  <c r="AYL64" i="7"/>
  <c r="AYM64" i="7"/>
  <c r="AYN64" i="7"/>
  <c r="AYO64" i="7"/>
  <c r="AYP64" i="7"/>
  <c r="AYQ64" i="7"/>
  <c r="AYR64" i="7"/>
  <c r="AYS64" i="7"/>
  <c r="AYT64" i="7"/>
  <c r="AYU64" i="7"/>
  <c r="AYV64" i="7"/>
  <c r="AYW64" i="7"/>
  <c r="AYX64" i="7"/>
  <c r="AYY64" i="7"/>
  <c r="AYZ64" i="7"/>
  <c r="AZA64" i="7"/>
  <c r="AZB64" i="7"/>
  <c r="AZC64" i="7"/>
  <c r="AZD64" i="7"/>
  <c r="AZE64" i="7"/>
  <c r="AZF64" i="7"/>
  <c r="AZG64" i="7"/>
  <c r="AZH64" i="7"/>
  <c r="AZI64" i="7"/>
  <c r="AZJ64" i="7"/>
  <c r="AZK64" i="7"/>
  <c r="AZL64" i="7"/>
  <c r="AZM64" i="7"/>
  <c r="AZN64" i="7"/>
  <c r="AZO64" i="7"/>
  <c r="AZP64" i="7"/>
  <c r="AZQ64" i="7"/>
  <c r="AZR64" i="7"/>
  <c r="AZS64" i="7"/>
  <c r="AZT64" i="7"/>
  <c r="AZU64" i="7"/>
  <c r="AZV64" i="7"/>
  <c r="AZW64" i="7"/>
  <c r="AZX64" i="7"/>
  <c r="AZY64" i="7"/>
  <c r="AZZ64" i="7"/>
  <c r="BAA64" i="7"/>
  <c r="BAB64" i="7"/>
  <c r="BAC64" i="7"/>
  <c r="BAD64" i="7"/>
  <c r="BAE64" i="7"/>
  <c r="BAF64" i="7"/>
  <c r="BAG64" i="7"/>
  <c r="BAH64" i="7"/>
  <c r="BAI64" i="7"/>
  <c r="BAJ64" i="7"/>
  <c r="BAK64" i="7"/>
  <c r="BAL64" i="7"/>
  <c r="BAM64" i="7"/>
  <c r="BAN64" i="7"/>
  <c r="BAO64" i="7"/>
  <c r="BAP64" i="7"/>
  <c r="BAQ64" i="7"/>
  <c r="BAR64" i="7"/>
  <c r="BAS64" i="7"/>
  <c r="BAT64" i="7"/>
  <c r="BAU64" i="7"/>
  <c r="BAV64" i="7"/>
  <c r="BAW64" i="7"/>
  <c r="BAX64" i="7"/>
  <c r="BAY64" i="7"/>
  <c r="BAZ64" i="7"/>
  <c r="BBA64" i="7"/>
  <c r="BBB64" i="7"/>
  <c r="BBC64" i="7"/>
  <c r="BBD64" i="7"/>
  <c r="BBE64" i="7"/>
  <c r="BBF64" i="7"/>
  <c r="BBG64" i="7"/>
  <c r="BBH64" i="7"/>
  <c r="BBI64" i="7"/>
  <c r="BBJ64" i="7"/>
  <c r="BBK64" i="7"/>
  <c r="BBL64" i="7"/>
  <c r="BBM64" i="7"/>
  <c r="BBN64" i="7"/>
  <c r="BBO64" i="7"/>
  <c r="BBP64" i="7"/>
  <c r="BBQ64" i="7"/>
  <c r="BBR64" i="7"/>
  <c r="BBS64" i="7"/>
  <c r="BBT64" i="7"/>
  <c r="BBU64" i="7"/>
  <c r="BBV64" i="7"/>
  <c r="BBW64" i="7"/>
  <c r="BBX64" i="7"/>
  <c r="BBY64" i="7"/>
  <c r="BBZ64" i="7"/>
  <c r="BCA64" i="7"/>
  <c r="BCB64" i="7"/>
  <c r="BCC64" i="7"/>
  <c r="BCD64" i="7"/>
  <c r="BCE64" i="7"/>
  <c r="BCF64" i="7"/>
  <c r="BCG64" i="7"/>
  <c r="BCH64" i="7"/>
  <c r="BCI64" i="7"/>
  <c r="BCJ64" i="7"/>
  <c r="BCK64" i="7"/>
  <c r="BCL64" i="7"/>
  <c r="BCM64" i="7"/>
  <c r="BCN64" i="7"/>
  <c r="BCO64" i="7"/>
  <c r="BCP64" i="7"/>
  <c r="BCQ64" i="7"/>
  <c r="BCR64" i="7"/>
  <c r="BCS64" i="7"/>
  <c r="BCT64" i="7"/>
  <c r="BCU64" i="7"/>
  <c r="BCV64" i="7"/>
  <c r="BCW64" i="7"/>
  <c r="BCX64" i="7"/>
  <c r="BCY64" i="7"/>
  <c r="BCZ64" i="7"/>
  <c r="BDA64" i="7"/>
  <c r="BDB64" i="7"/>
  <c r="BDC64" i="7"/>
  <c r="BDD64" i="7"/>
  <c r="BDE64" i="7"/>
  <c r="BDF64" i="7"/>
  <c r="BDG64" i="7"/>
  <c r="BDH64" i="7"/>
  <c r="BDI64" i="7"/>
  <c r="BDJ64" i="7"/>
  <c r="BDK64" i="7"/>
  <c r="BDL64" i="7"/>
  <c r="BDM64" i="7"/>
  <c r="BDN64" i="7"/>
  <c r="BDO64" i="7"/>
  <c r="BDP64" i="7"/>
  <c r="BDQ64" i="7"/>
  <c r="BDR64" i="7"/>
  <c r="BDS64" i="7"/>
  <c r="BDT64" i="7"/>
  <c r="BDU64" i="7"/>
  <c r="BDV64" i="7"/>
  <c r="BDW64" i="7"/>
  <c r="BDX64" i="7"/>
  <c r="BDY64" i="7"/>
  <c r="BDZ64" i="7"/>
  <c r="BEA64" i="7"/>
  <c r="BEB64" i="7"/>
  <c r="BEC64" i="7"/>
  <c r="BED64" i="7"/>
  <c r="BEE64" i="7"/>
  <c r="BEF64" i="7"/>
  <c r="BEG64" i="7"/>
  <c r="BEH64" i="7"/>
  <c r="BEI64" i="7"/>
  <c r="BEJ64" i="7"/>
  <c r="BEK64" i="7"/>
  <c r="BEL64" i="7"/>
  <c r="BEM64" i="7"/>
  <c r="BEN64" i="7"/>
  <c r="BEO64" i="7"/>
  <c r="BEP64" i="7"/>
  <c r="BEQ64" i="7"/>
  <c r="BER64" i="7"/>
  <c r="BES64" i="7"/>
  <c r="BET64" i="7"/>
  <c r="BEU64" i="7"/>
  <c r="BEV64" i="7"/>
  <c r="BEW64" i="7"/>
  <c r="BEX64" i="7"/>
  <c r="BEY64" i="7"/>
  <c r="BEZ64" i="7"/>
  <c r="BFA64" i="7"/>
  <c r="BFB64" i="7"/>
  <c r="BFC64" i="7"/>
  <c r="BFD64" i="7"/>
  <c r="BFE64" i="7"/>
  <c r="BFF64" i="7"/>
  <c r="BFG64" i="7"/>
  <c r="BFH64" i="7"/>
  <c r="BFI64" i="7"/>
  <c r="BFJ64" i="7"/>
  <c r="BFK64" i="7"/>
  <c r="BFL64" i="7"/>
  <c r="BFM64" i="7"/>
  <c r="BFN64" i="7"/>
  <c r="BFO64" i="7"/>
  <c r="BFP64" i="7"/>
  <c r="BFQ64" i="7"/>
  <c r="BFR64" i="7"/>
  <c r="BFS64" i="7"/>
  <c r="BFT64" i="7"/>
  <c r="BFU64" i="7"/>
  <c r="BFV64" i="7"/>
  <c r="BFW64" i="7"/>
  <c r="BFX64" i="7"/>
  <c r="BFY64" i="7"/>
  <c r="BFZ64" i="7"/>
  <c r="BGA64" i="7"/>
  <c r="BGB64" i="7"/>
  <c r="BGC64" i="7"/>
  <c r="BGD64" i="7"/>
  <c r="BGE64" i="7"/>
  <c r="BGF64" i="7"/>
  <c r="BGG64" i="7"/>
  <c r="BGH64" i="7"/>
  <c r="BGI64" i="7"/>
  <c r="BGJ64" i="7"/>
  <c r="BGK64" i="7"/>
  <c r="BGL64" i="7"/>
  <c r="BGM64" i="7"/>
  <c r="BGN64" i="7"/>
  <c r="BGO64" i="7"/>
  <c r="BGP64" i="7"/>
  <c r="BGQ64" i="7"/>
  <c r="BGR64" i="7"/>
  <c r="BGS64" i="7"/>
  <c r="BGT64" i="7"/>
  <c r="BGU64" i="7"/>
  <c r="BGV64" i="7"/>
  <c r="BGW64" i="7"/>
  <c r="BGX64" i="7"/>
  <c r="BGY64" i="7"/>
  <c r="BGZ64" i="7"/>
  <c r="BHA64" i="7"/>
  <c r="BHB64" i="7"/>
  <c r="BHC64" i="7"/>
  <c r="BHD64" i="7"/>
  <c r="BHE64" i="7"/>
  <c r="BHF64" i="7"/>
  <c r="BHG64" i="7"/>
  <c r="BHH64" i="7"/>
  <c r="BHI64" i="7"/>
  <c r="BHJ64" i="7"/>
  <c r="BHK64" i="7"/>
  <c r="BHL64" i="7"/>
  <c r="BHM64" i="7"/>
  <c r="BHN64" i="7"/>
  <c r="BHO64" i="7"/>
  <c r="BHP64" i="7"/>
  <c r="BHQ64" i="7"/>
  <c r="BHR64" i="7"/>
  <c r="BHS64" i="7"/>
  <c r="BHT64" i="7"/>
  <c r="BHU64" i="7"/>
  <c r="BHV64" i="7"/>
  <c r="BHW64" i="7"/>
  <c r="BHX64" i="7"/>
  <c r="BHY64" i="7"/>
  <c r="BHZ64" i="7"/>
  <c r="BIA64" i="7"/>
  <c r="BIB64" i="7"/>
  <c r="BIC64" i="7"/>
  <c r="BID64" i="7"/>
  <c r="BIE64" i="7"/>
  <c r="BIF64" i="7"/>
  <c r="BIG64" i="7"/>
  <c r="BIH64" i="7"/>
  <c r="BII64" i="7"/>
  <c r="BIJ64" i="7"/>
  <c r="BIK64" i="7"/>
  <c r="BIL64" i="7"/>
  <c r="BIM64" i="7"/>
  <c r="BIN64" i="7"/>
  <c r="BIO64" i="7"/>
  <c r="BIP64" i="7"/>
  <c r="BIQ64" i="7"/>
  <c r="BIR64" i="7"/>
  <c r="BIS64" i="7"/>
  <c r="BIT64" i="7"/>
  <c r="BIU64" i="7"/>
  <c r="BIV64" i="7"/>
  <c r="BIW64" i="7"/>
  <c r="BIX64" i="7"/>
  <c r="BIY64" i="7"/>
  <c r="BIZ64" i="7"/>
  <c r="BJA64" i="7"/>
  <c r="BJB64" i="7"/>
  <c r="BJC64" i="7"/>
  <c r="BJD64" i="7"/>
  <c r="BJE64" i="7"/>
  <c r="BJF64" i="7"/>
  <c r="BJG64" i="7"/>
  <c r="BJH64" i="7"/>
  <c r="BJI64" i="7"/>
  <c r="BJJ64" i="7"/>
  <c r="BJK64" i="7"/>
  <c r="BJL64" i="7"/>
  <c r="BJM64" i="7"/>
  <c r="BJN64" i="7"/>
  <c r="BJO64" i="7"/>
  <c r="BJP64" i="7"/>
  <c r="BJQ64" i="7"/>
  <c r="BJR64" i="7"/>
  <c r="BJS64" i="7"/>
  <c r="BJT64" i="7"/>
  <c r="BJU64" i="7"/>
  <c r="BJV64" i="7"/>
  <c r="BJW64" i="7"/>
  <c r="BJX64" i="7"/>
  <c r="BJY64" i="7"/>
  <c r="BJZ64" i="7"/>
  <c r="BKA64" i="7"/>
  <c r="BKB64" i="7"/>
  <c r="BKC64" i="7"/>
  <c r="BKD64" i="7"/>
  <c r="BKE64" i="7"/>
  <c r="BKF64" i="7"/>
  <c r="BKG64" i="7"/>
  <c r="BKH64" i="7"/>
  <c r="BKI64" i="7"/>
  <c r="BKJ64" i="7"/>
  <c r="BKK64" i="7"/>
  <c r="BKL64" i="7"/>
  <c r="BKM64" i="7"/>
  <c r="BKN64" i="7"/>
  <c r="BKO64" i="7"/>
  <c r="BKP64" i="7"/>
  <c r="BKQ64" i="7"/>
  <c r="BKR64" i="7"/>
  <c r="BKS64" i="7"/>
  <c r="BKT64" i="7"/>
  <c r="BKU64" i="7"/>
  <c r="BKV64" i="7"/>
  <c r="BKW64" i="7"/>
  <c r="BKX64" i="7"/>
  <c r="BKY64" i="7"/>
  <c r="BKZ64" i="7"/>
  <c r="BLA64" i="7"/>
  <c r="BLB64" i="7"/>
  <c r="BLC64" i="7"/>
  <c r="BLD64" i="7"/>
  <c r="BLE64" i="7"/>
  <c r="BLF64" i="7"/>
  <c r="BLG64" i="7"/>
  <c r="BLH64" i="7"/>
  <c r="BLI64" i="7"/>
  <c r="BLJ64" i="7"/>
  <c r="BLK64" i="7"/>
  <c r="BLL64" i="7"/>
  <c r="BLM64" i="7"/>
  <c r="BLN64" i="7"/>
  <c r="BLO64" i="7"/>
  <c r="BLP64" i="7"/>
  <c r="BLQ64" i="7"/>
  <c r="BLR64" i="7"/>
  <c r="BLS64" i="7"/>
  <c r="BLT64" i="7"/>
  <c r="BLU64" i="7"/>
  <c r="BLV64" i="7"/>
  <c r="BLW64" i="7"/>
  <c r="BLX64" i="7"/>
  <c r="BLY64" i="7"/>
  <c r="BLZ64" i="7"/>
  <c r="BMA64" i="7"/>
  <c r="BMB64" i="7"/>
  <c r="BMC64" i="7"/>
  <c r="BMD64" i="7"/>
  <c r="BME64" i="7"/>
  <c r="BMF64" i="7"/>
  <c r="BMG64" i="7"/>
  <c r="BMH64" i="7"/>
  <c r="BMI64" i="7"/>
  <c r="BMJ64" i="7"/>
  <c r="BMK64" i="7"/>
  <c r="BML64" i="7"/>
  <c r="BMM64" i="7"/>
  <c r="BMN64" i="7"/>
  <c r="BMO64" i="7"/>
  <c r="BMP64" i="7"/>
  <c r="BMQ64" i="7"/>
  <c r="BMR64" i="7"/>
  <c r="BMS64" i="7"/>
  <c r="BMT64" i="7"/>
  <c r="BMU64" i="7"/>
  <c r="BMV64" i="7"/>
  <c r="BMW64" i="7"/>
  <c r="BMX64" i="7"/>
  <c r="BMY64" i="7"/>
  <c r="BMZ64" i="7"/>
  <c r="BNA64" i="7"/>
  <c r="BNB64" i="7"/>
  <c r="BNC64" i="7"/>
  <c r="BND64" i="7"/>
  <c r="BNE64" i="7"/>
  <c r="BNF64" i="7"/>
  <c r="BNG64" i="7"/>
  <c r="BNH64" i="7"/>
  <c r="BNI64" i="7"/>
  <c r="BNJ64" i="7"/>
  <c r="BNK64" i="7"/>
  <c r="BNL64" i="7"/>
  <c r="BNM64" i="7"/>
  <c r="BNN64" i="7"/>
  <c r="BNO64" i="7"/>
  <c r="BNP64" i="7"/>
  <c r="BNQ64" i="7"/>
  <c r="BNR64" i="7"/>
  <c r="BNS64" i="7"/>
  <c r="BNT64" i="7"/>
  <c r="BNU64" i="7"/>
  <c r="BNV64" i="7"/>
  <c r="BNW64" i="7"/>
  <c r="BNX64" i="7"/>
  <c r="BNY64" i="7"/>
  <c r="BNZ64" i="7"/>
  <c r="BOA64" i="7"/>
  <c r="BOB64" i="7"/>
  <c r="BOC64" i="7"/>
  <c r="BOD64" i="7"/>
  <c r="BOE64" i="7"/>
  <c r="BOF64" i="7"/>
  <c r="BOG64" i="7"/>
  <c r="BOH64" i="7"/>
  <c r="BOI64" i="7"/>
  <c r="BOJ64" i="7"/>
  <c r="BOK64" i="7"/>
  <c r="BOL64" i="7"/>
  <c r="BOM64" i="7"/>
  <c r="BON64" i="7"/>
  <c r="BOO64" i="7"/>
  <c r="BOP64" i="7"/>
  <c r="BOQ64" i="7"/>
  <c r="BOR64" i="7"/>
  <c r="BOS64" i="7"/>
  <c r="BOT64" i="7"/>
  <c r="BOU64" i="7"/>
  <c r="BOV64" i="7"/>
  <c r="BOW64" i="7"/>
  <c r="BOX64" i="7"/>
  <c r="BOY64" i="7"/>
  <c r="BOZ64" i="7"/>
  <c r="BPA64" i="7"/>
  <c r="BPB64" i="7"/>
  <c r="BPC64" i="7"/>
  <c r="BPD64" i="7"/>
  <c r="BPE64" i="7"/>
  <c r="BPF64" i="7"/>
  <c r="BPG64" i="7"/>
  <c r="BPH64" i="7"/>
  <c r="BPI64" i="7"/>
  <c r="BPJ64" i="7"/>
  <c r="BPK64" i="7"/>
  <c r="BPL64" i="7"/>
  <c r="BPM64" i="7"/>
  <c r="BPN64" i="7"/>
  <c r="BPO64" i="7"/>
  <c r="BPP64" i="7"/>
  <c r="BPQ64" i="7"/>
  <c r="BPR64" i="7"/>
  <c r="BPS64" i="7"/>
  <c r="BPT64" i="7"/>
  <c r="BPU64" i="7"/>
  <c r="BPV64" i="7"/>
  <c r="BPW64" i="7"/>
  <c r="BPX64" i="7"/>
  <c r="BPY64" i="7"/>
  <c r="BPZ64" i="7"/>
  <c r="BQA64" i="7"/>
  <c r="BQB64" i="7"/>
  <c r="BQC64" i="7"/>
  <c r="BQD64" i="7"/>
  <c r="BQE64" i="7"/>
  <c r="BQF64" i="7"/>
  <c r="BQG64" i="7"/>
  <c r="BQH64" i="7"/>
  <c r="BQI64" i="7"/>
  <c r="BQJ64" i="7"/>
  <c r="BQK64" i="7"/>
  <c r="BQL64" i="7"/>
  <c r="BQM64" i="7"/>
  <c r="BQN64" i="7"/>
  <c r="BQO64" i="7"/>
  <c r="BQP64" i="7"/>
  <c r="BQQ64" i="7"/>
  <c r="BQR64" i="7"/>
  <c r="BQS64" i="7"/>
  <c r="BQT64" i="7"/>
  <c r="BQU64" i="7"/>
  <c r="BQV64" i="7"/>
  <c r="BQW64" i="7"/>
  <c r="BQX64" i="7"/>
  <c r="BQY64" i="7"/>
  <c r="BQZ64" i="7"/>
  <c r="BRA64" i="7"/>
  <c r="BRB64" i="7"/>
  <c r="BRC64" i="7"/>
  <c r="BRD64" i="7"/>
  <c r="BRE64" i="7"/>
  <c r="BRF64" i="7"/>
  <c r="BRG64" i="7"/>
  <c r="BRH64" i="7"/>
  <c r="BRI64" i="7"/>
  <c r="BRJ64" i="7"/>
  <c r="BRK64" i="7"/>
  <c r="BRL64" i="7"/>
  <c r="BRM64" i="7"/>
  <c r="BRN64" i="7"/>
  <c r="BRO64" i="7"/>
  <c r="BRP64" i="7"/>
  <c r="BRQ64" i="7"/>
  <c r="BRR64" i="7"/>
  <c r="BRS64" i="7"/>
  <c r="BRT64" i="7"/>
  <c r="BRU64" i="7"/>
  <c r="BRV64" i="7"/>
  <c r="BRW64" i="7"/>
  <c r="BRX64" i="7"/>
  <c r="BRY64" i="7"/>
  <c r="BRZ64" i="7"/>
  <c r="BSA64" i="7"/>
  <c r="BSB64" i="7"/>
  <c r="BSC64" i="7"/>
  <c r="BSD64" i="7"/>
  <c r="BSE64" i="7"/>
  <c r="BSF64" i="7"/>
  <c r="BSG64" i="7"/>
  <c r="BSH64" i="7"/>
  <c r="BSI64" i="7"/>
  <c r="BSJ64" i="7"/>
  <c r="BSK64" i="7"/>
  <c r="BSL64" i="7"/>
  <c r="BSM64" i="7"/>
  <c r="BSN64" i="7"/>
  <c r="BSO64" i="7"/>
  <c r="BSP64" i="7"/>
  <c r="BSQ64" i="7"/>
  <c r="BSR64" i="7"/>
  <c r="BSS64" i="7"/>
  <c r="BST64" i="7"/>
  <c r="BSU64" i="7"/>
  <c r="BSV64" i="7"/>
  <c r="BSW64" i="7"/>
  <c r="BSX64" i="7"/>
  <c r="BSY64" i="7"/>
  <c r="BSZ64" i="7"/>
  <c r="BTA64" i="7"/>
  <c r="BTB64" i="7"/>
  <c r="BTC64" i="7"/>
  <c r="BTD64" i="7"/>
  <c r="BTE64" i="7"/>
  <c r="BTF64" i="7"/>
  <c r="BTG64" i="7"/>
  <c r="BTH64" i="7"/>
  <c r="BTI64" i="7"/>
  <c r="BTJ64" i="7"/>
  <c r="BTK64" i="7"/>
  <c r="BTL64" i="7"/>
  <c r="BTM64" i="7"/>
  <c r="BTN64" i="7"/>
  <c r="BTO64" i="7"/>
  <c r="BTP64" i="7"/>
  <c r="BTQ64" i="7"/>
  <c r="BTR64" i="7"/>
  <c r="BTS64" i="7"/>
  <c r="BTT64" i="7"/>
  <c r="BTU64" i="7"/>
  <c r="BTV64" i="7"/>
  <c r="BTW64" i="7"/>
  <c r="BTX64" i="7"/>
  <c r="BTY64" i="7"/>
  <c r="BTZ64" i="7"/>
  <c r="BUA64" i="7"/>
  <c r="BUB64" i="7"/>
  <c r="BUC64" i="7"/>
  <c r="BUD64" i="7"/>
  <c r="BUE64" i="7"/>
  <c r="BUF64" i="7"/>
  <c r="BUG64" i="7"/>
  <c r="BUH64" i="7"/>
  <c r="BUI64" i="7"/>
  <c r="BUJ64" i="7"/>
  <c r="BUK64" i="7"/>
  <c r="BUL64" i="7"/>
  <c r="BUM64" i="7"/>
  <c r="BUN64" i="7"/>
  <c r="BUO64" i="7"/>
  <c r="BUP64" i="7"/>
  <c r="BUQ64" i="7"/>
  <c r="BUR64" i="7"/>
  <c r="BUS64" i="7"/>
  <c r="BUT64" i="7"/>
  <c r="BUU64" i="7"/>
  <c r="BUV64" i="7"/>
  <c r="BUW64" i="7"/>
  <c r="BUX64" i="7"/>
  <c r="BUY64" i="7"/>
  <c r="BUZ64" i="7"/>
  <c r="BVA64" i="7"/>
  <c r="BVB64" i="7"/>
  <c r="BVC64" i="7"/>
  <c r="BVD64" i="7"/>
  <c r="BVE64" i="7"/>
  <c r="BVF64" i="7"/>
  <c r="BVG64" i="7"/>
  <c r="BVH64" i="7"/>
  <c r="BVI64" i="7"/>
  <c r="BVJ64" i="7"/>
  <c r="BVK64" i="7"/>
  <c r="BVL64" i="7"/>
  <c r="BVM64" i="7"/>
  <c r="BVN64" i="7"/>
  <c r="BVO64" i="7"/>
  <c r="BVP64" i="7"/>
  <c r="BVQ64" i="7"/>
  <c r="BVR64" i="7"/>
  <c r="BVS64" i="7"/>
  <c r="BVT64" i="7"/>
  <c r="BVU64" i="7"/>
  <c r="BVV64" i="7"/>
  <c r="BVW64" i="7"/>
  <c r="BVX64" i="7"/>
  <c r="BVY64" i="7"/>
  <c r="BVZ64" i="7"/>
  <c r="BWA64" i="7"/>
  <c r="BWB64" i="7"/>
  <c r="BWC64" i="7"/>
  <c r="BWD64" i="7"/>
  <c r="BWE64" i="7"/>
  <c r="BWF64" i="7"/>
  <c r="BWG64" i="7"/>
  <c r="BWH64" i="7"/>
  <c r="BWI64" i="7"/>
  <c r="BWJ64" i="7"/>
  <c r="BWK64" i="7"/>
  <c r="BWL64" i="7"/>
  <c r="BWM64" i="7"/>
  <c r="BWN64" i="7"/>
  <c r="BWO64" i="7"/>
  <c r="BWP64" i="7"/>
  <c r="BWQ64" i="7"/>
  <c r="BWR64" i="7"/>
  <c r="BWS64" i="7"/>
  <c r="BWT64" i="7"/>
  <c r="BWU64" i="7"/>
  <c r="BWV64" i="7"/>
  <c r="BWW64" i="7"/>
  <c r="BWX64" i="7"/>
  <c r="BWY64" i="7"/>
  <c r="BWZ64" i="7"/>
  <c r="BXA64" i="7"/>
  <c r="BXB64" i="7"/>
  <c r="BXC64" i="7"/>
  <c r="BXD64" i="7"/>
  <c r="BXE64" i="7"/>
  <c r="BXF64" i="7"/>
  <c r="BXG64" i="7"/>
  <c r="BXH64" i="7"/>
  <c r="BXI64" i="7"/>
  <c r="BXJ64" i="7"/>
  <c r="BXK64" i="7"/>
  <c r="BXL64" i="7"/>
  <c r="BXM64" i="7"/>
  <c r="BXN64" i="7"/>
  <c r="BXO64" i="7"/>
  <c r="BXP64" i="7"/>
  <c r="BXQ64" i="7"/>
  <c r="BXR64" i="7"/>
  <c r="BXS64" i="7"/>
  <c r="BXT64" i="7"/>
  <c r="BXU64" i="7"/>
  <c r="BXV64" i="7"/>
  <c r="BXW64" i="7"/>
  <c r="BXX64" i="7"/>
  <c r="BXY64" i="7"/>
  <c r="BXZ64" i="7"/>
  <c r="BYA64" i="7"/>
  <c r="BYB64" i="7"/>
  <c r="BYC64" i="7"/>
  <c r="BYD64" i="7"/>
  <c r="BYE64" i="7"/>
  <c r="BYF64" i="7"/>
  <c r="BYG64" i="7"/>
  <c r="BYH64" i="7"/>
  <c r="BYI64" i="7"/>
  <c r="BYJ64" i="7"/>
  <c r="BYK64" i="7"/>
  <c r="BYL64" i="7"/>
  <c r="BYM64" i="7"/>
  <c r="BYN64" i="7"/>
  <c r="BYO64" i="7"/>
  <c r="BYP64" i="7"/>
  <c r="BYQ64" i="7"/>
  <c r="BYR64" i="7"/>
  <c r="BYS64" i="7"/>
  <c r="BYT64" i="7"/>
  <c r="BYU64" i="7"/>
  <c r="BYV64" i="7"/>
  <c r="BYW64" i="7"/>
  <c r="BYX64" i="7"/>
  <c r="BYY64" i="7"/>
  <c r="BYZ64" i="7"/>
  <c r="BZA64" i="7"/>
  <c r="BZB64" i="7"/>
  <c r="BZC64" i="7"/>
  <c r="BZD64" i="7"/>
  <c r="BZE64" i="7"/>
  <c r="BZF64" i="7"/>
  <c r="BZG64" i="7"/>
  <c r="BZH64" i="7"/>
  <c r="BZI64" i="7"/>
  <c r="BZJ64" i="7"/>
  <c r="BZK64" i="7"/>
  <c r="BZL64" i="7"/>
  <c r="BZM64" i="7"/>
  <c r="BZN64" i="7"/>
  <c r="BZO64" i="7"/>
  <c r="BZP64" i="7"/>
  <c r="BZQ64" i="7"/>
  <c r="BZR64" i="7"/>
  <c r="BZS64" i="7"/>
  <c r="BZT64" i="7"/>
  <c r="BZU64" i="7"/>
  <c r="BZV64" i="7"/>
  <c r="BZW64" i="7"/>
  <c r="BZX64" i="7"/>
  <c r="BZY64" i="7"/>
  <c r="BZZ64" i="7"/>
  <c r="CAA64" i="7"/>
  <c r="CAB64" i="7"/>
  <c r="CAC64" i="7"/>
  <c r="CAD64" i="7"/>
  <c r="CAE64" i="7"/>
  <c r="CAF64" i="7"/>
  <c r="CAG64" i="7"/>
  <c r="CAH64" i="7"/>
  <c r="CAI64" i="7"/>
  <c r="CAJ64" i="7"/>
  <c r="CAK64" i="7"/>
  <c r="CAL64" i="7"/>
  <c r="CAM64" i="7"/>
  <c r="CAN64" i="7"/>
  <c r="CAO64" i="7"/>
  <c r="CAP64" i="7"/>
  <c r="CAQ64" i="7"/>
  <c r="CAR64" i="7"/>
  <c r="CAS64" i="7"/>
  <c r="CAT64" i="7"/>
  <c r="CAU64" i="7"/>
  <c r="CAV64" i="7"/>
  <c r="CAW64" i="7"/>
  <c r="CAX64" i="7"/>
  <c r="CAY64" i="7"/>
  <c r="CAZ64" i="7"/>
  <c r="CBA64" i="7"/>
  <c r="CBB64" i="7"/>
  <c r="CBC64" i="7"/>
  <c r="CBD64" i="7"/>
  <c r="CBE64" i="7"/>
  <c r="CBF64" i="7"/>
  <c r="CBG64" i="7"/>
  <c r="CBH64" i="7"/>
  <c r="CBI64" i="7"/>
  <c r="CBJ64" i="7"/>
  <c r="CBK64" i="7"/>
  <c r="CBL64" i="7"/>
  <c r="CBM64" i="7"/>
  <c r="CBN64" i="7"/>
  <c r="CBO64" i="7"/>
  <c r="CBP64" i="7"/>
  <c r="CBQ64" i="7"/>
  <c r="CBR64" i="7"/>
  <c r="CBS64" i="7"/>
  <c r="CBT64" i="7"/>
  <c r="CBU64" i="7"/>
  <c r="CBV64" i="7"/>
  <c r="CBW64" i="7"/>
  <c r="CBX64" i="7"/>
  <c r="CBY64" i="7"/>
  <c r="CBZ64" i="7"/>
  <c r="CCA64" i="7"/>
  <c r="CCB64" i="7"/>
  <c r="CCC64" i="7"/>
  <c r="CCD64" i="7"/>
  <c r="CCE64" i="7"/>
  <c r="CCF64" i="7"/>
  <c r="CCG64" i="7"/>
  <c r="CCH64" i="7"/>
  <c r="CCI64" i="7"/>
  <c r="CCJ64" i="7"/>
  <c r="CCK64" i="7"/>
  <c r="CCL64" i="7"/>
  <c r="CCM64" i="7"/>
  <c r="CCN64" i="7"/>
  <c r="CCO64" i="7"/>
  <c r="CCP64" i="7"/>
  <c r="CCQ64" i="7"/>
  <c r="CCR64" i="7"/>
  <c r="CCS64" i="7"/>
  <c r="CCT64" i="7"/>
  <c r="CCU64" i="7"/>
  <c r="CCV64" i="7"/>
  <c r="CCW64" i="7"/>
  <c r="CCX64" i="7"/>
  <c r="CCY64" i="7"/>
  <c r="CCZ64" i="7"/>
  <c r="CDA64" i="7"/>
  <c r="CDB64" i="7"/>
  <c r="CDC64" i="7"/>
  <c r="CDD64" i="7"/>
  <c r="CDE64" i="7"/>
  <c r="CDF64" i="7"/>
  <c r="CDG64" i="7"/>
  <c r="CDH64" i="7"/>
  <c r="CDI64" i="7"/>
  <c r="CDJ64" i="7"/>
  <c r="CDK64" i="7"/>
  <c r="CDL64" i="7"/>
  <c r="CDM64" i="7"/>
  <c r="CDN64" i="7"/>
  <c r="CDO64" i="7"/>
  <c r="CDP64" i="7"/>
  <c r="CDQ64" i="7"/>
  <c r="CDR64" i="7"/>
  <c r="CDS64" i="7"/>
  <c r="CDT64" i="7"/>
  <c r="CDU64" i="7"/>
  <c r="CDV64" i="7"/>
  <c r="CDW64" i="7"/>
  <c r="CDX64" i="7"/>
  <c r="CDY64" i="7"/>
  <c r="CDZ64" i="7"/>
  <c r="CEA64" i="7"/>
  <c r="CEB64" i="7"/>
  <c r="CEC64" i="7"/>
  <c r="CED64" i="7"/>
  <c r="CEE64" i="7"/>
  <c r="CEF64" i="7"/>
  <c r="CEG64" i="7"/>
  <c r="CEH64" i="7"/>
  <c r="CEI64" i="7"/>
  <c r="CEJ64" i="7"/>
  <c r="CEK64" i="7"/>
  <c r="CEL64" i="7"/>
  <c r="CEM64" i="7"/>
  <c r="CEN64" i="7"/>
  <c r="CEO64" i="7"/>
  <c r="CEP64" i="7"/>
  <c r="CEQ64" i="7"/>
  <c r="CER64" i="7"/>
  <c r="CES64" i="7"/>
  <c r="CET64" i="7"/>
  <c r="CEU64" i="7"/>
  <c r="CEV64" i="7"/>
  <c r="CEW64" i="7"/>
  <c r="CEX64" i="7"/>
  <c r="CEY64" i="7"/>
  <c r="CEZ64" i="7"/>
  <c r="CFA64" i="7"/>
  <c r="CFB64" i="7"/>
  <c r="CFC64" i="7"/>
  <c r="CFD64" i="7"/>
  <c r="CFE64" i="7"/>
  <c r="CFF64" i="7"/>
  <c r="CFG64" i="7"/>
  <c r="CFH64" i="7"/>
  <c r="CFI64" i="7"/>
  <c r="CFJ64" i="7"/>
  <c r="CFK64" i="7"/>
  <c r="CFL64" i="7"/>
  <c r="CFM64" i="7"/>
  <c r="CFN64" i="7"/>
  <c r="CFO64" i="7"/>
  <c r="CFP64" i="7"/>
  <c r="CFQ64" i="7"/>
  <c r="CFR64" i="7"/>
  <c r="CFS64" i="7"/>
  <c r="CFT64" i="7"/>
  <c r="CFU64" i="7"/>
  <c r="CFV64" i="7"/>
  <c r="CFW64" i="7"/>
  <c r="CFX64" i="7"/>
  <c r="CFY64" i="7"/>
  <c r="CFZ64" i="7"/>
  <c r="CGA64" i="7"/>
  <c r="CGB64" i="7"/>
  <c r="CGC64" i="7"/>
  <c r="CGD64" i="7"/>
  <c r="CGE64" i="7"/>
  <c r="CGF64" i="7"/>
  <c r="CGG64" i="7"/>
  <c r="CGH64" i="7"/>
  <c r="CGI64" i="7"/>
  <c r="CGJ64" i="7"/>
  <c r="CGK64" i="7"/>
  <c r="CGL64" i="7"/>
  <c r="CGM64" i="7"/>
  <c r="CGN64" i="7"/>
  <c r="CGO64" i="7"/>
  <c r="CGP64" i="7"/>
  <c r="CGQ64" i="7"/>
  <c r="CGR64" i="7"/>
  <c r="CGS64" i="7"/>
  <c r="CGT64" i="7"/>
  <c r="CGU64" i="7"/>
  <c r="CGV64" i="7"/>
  <c r="CGW64" i="7"/>
  <c r="CGX64" i="7"/>
  <c r="CGY64" i="7"/>
  <c r="CGZ64" i="7"/>
  <c r="CHA64" i="7"/>
  <c r="CHB64" i="7"/>
  <c r="CHC64" i="7"/>
  <c r="CHD64" i="7"/>
  <c r="CHE64" i="7"/>
  <c r="CHF64" i="7"/>
  <c r="CHG64" i="7"/>
  <c r="CHH64" i="7"/>
  <c r="CHI64" i="7"/>
  <c r="CHJ64" i="7"/>
  <c r="CHK64" i="7"/>
  <c r="CHL64" i="7"/>
  <c r="CHM64" i="7"/>
  <c r="CHN64" i="7"/>
  <c r="CHO64" i="7"/>
  <c r="CHP64" i="7"/>
  <c r="CHQ64" i="7"/>
  <c r="CHR64" i="7"/>
  <c r="CHS64" i="7"/>
  <c r="CHT64" i="7"/>
  <c r="CHU64" i="7"/>
  <c r="CHV64" i="7"/>
  <c r="CHW64" i="7"/>
  <c r="CHX64" i="7"/>
  <c r="CHY64" i="7"/>
  <c r="CHZ64" i="7"/>
  <c r="CIA64" i="7"/>
  <c r="CIB64" i="7"/>
  <c r="CIC64" i="7"/>
  <c r="CID64" i="7"/>
  <c r="CIE64" i="7"/>
  <c r="CIF64" i="7"/>
  <c r="CIG64" i="7"/>
  <c r="CIH64" i="7"/>
  <c r="CII64" i="7"/>
  <c r="CIJ64" i="7"/>
  <c r="CIK64" i="7"/>
  <c r="CIL64" i="7"/>
  <c r="CIM64" i="7"/>
  <c r="CIN64" i="7"/>
  <c r="CIO64" i="7"/>
  <c r="CIP64" i="7"/>
  <c r="CIQ64" i="7"/>
  <c r="CIR64" i="7"/>
  <c r="CIS64" i="7"/>
  <c r="CIT64" i="7"/>
  <c r="CIU64" i="7"/>
  <c r="CIV64" i="7"/>
  <c r="CIW64" i="7"/>
  <c r="CIX64" i="7"/>
  <c r="CIY64" i="7"/>
  <c r="CIZ64" i="7"/>
  <c r="CJA64" i="7"/>
  <c r="CJB64" i="7"/>
  <c r="CJC64" i="7"/>
  <c r="CJD64" i="7"/>
  <c r="CJE64" i="7"/>
  <c r="CJF64" i="7"/>
  <c r="CJG64" i="7"/>
  <c r="CJH64" i="7"/>
  <c r="CJI64" i="7"/>
  <c r="CJJ64" i="7"/>
  <c r="CJK64" i="7"/>
  <c r="CJL64" i="7"/>
  <c r="CJM64" i="7"/>
  <c r="CJN64" i="7"/>
  <c r="CJO64" i="7"/>
  <c r="CJP64" i="7"/>
  <c r="CJQ64" i="7"/>
  <c r="CJR64" i="7"/>
  <c r="CJS64" i="7"/>
  <c r="CJT64" i="7"/>
  <c r="CJU64" i="7"/>
  <c r="CJV64" i="7"/>
  <c r="CJW64" i="7"/>
  <c r="CJX64" i="7"/>
  <c r="CJY64" i="7"/>
  <c r="CJZ64" i="7"/>
  <c r="CKA64" i="7"/>
  <c r="CKB64" i="7"/>
  <c r="CKC64" i="7"/>
  <c r="CKD64" i="7"/>
  <c r="CKE64" i="7"/>
  <c r="CKF64" i="7"/>
  <c r="CKG64" i="7"/>
  <c r="CKH64" i="7"/>
  <c r="CKI64" i="7"/>
  <c r="CKJ64" i="7"/>
  <c r="CKK64" i="7"/>
  <c r="CKL64" i="7"/>
  <c r="CKM64" i="7"/>
  <c r="CKN64" i="7"/>
  <c r="CKO64" i="7"/>
  <c r="CKP64" i="7"/>
  <c r="CKQ64" i="7"/>
  <c r="CKR64" i="7"/>
  <c r="CKS64" i="7"/>
  <c r="CKT64" i="7"/>
  <c r="CKU64" i="7"/>
  <c r="CKV64" i="7"/>
  <c r="CKW64" i="7"/>
  <c r="CKX64" i="7"/>
  <c r="CKY64" i="7"/>
  <c r="CKZ64" i="7"/>
  <c r="CLA64" i="7"/>
  <c r="CLB64" i="7"/>
  <c r="CLC64" i="7"/>
  <c r="CLD64" i="7"/>
  <c r="CLE64" i="7"/>
  <c r="CLF64" i="7"/>
  <c r="CLG64" i="7"/>
  <c r="CLH64" i="7"/>
  <c r="CLI64" i="7"/>
  <c r="CLJ64" i="7"/>
  <c r="CLK64" i="7"/>
  <c r="CLL64" i="7"/>
  <c r="CLM64" i="7"/>
  <c r="CLN64" i="7"/>
  <c r="CLO64" i="7"/>
  <c r="CLP64" i="7"/>
  <c r="CLQ64" i="7"/>
  <c r="CLR64" i="7"/>
  <c r="CLS64" i="7"/>
  <c r="CLT64" i="7"/>
  <c r="CLU64" i="7"/>
  <c r="CLV64" i="7"/>
  <c r="CLW64" i="7"/>
  <c r="CLX64" i="7"/>
  <c r="CLY64" i="7"/>
  <c r="CLZ64" i="7"/>
  <c r="CMA64" i="7"/>
  <c r="CMB64" i="7"/>
  <c r="CMC64" i="7"/>
  <c r="CMD64" i="7"/>
  <c r="CME64" i="7"/>
  <c r="CMF64" i="7"/>
  <c r="CMG64" i="7"/>
  <c r="CMH64" i="7"/>
  <c r="CMI64" i="7"/>
  <c r="CMJ64" i="7"/>
  <c r="CMK64" i="7"/>
  <c r="CML64" i="7"/>
  <c r="CMM64" i="7"/>
  <c r="CMN64" i="7"/>
  <c r="CMO64" i="7"/>
  <c r="CMP64" i="7"/>
  <c r="CMQ64" i="7"/>
  <c r="CMR64" i="7"/>
  <c r="CMS64" i="7"/>
  <c r="CMT64" i="7"/>
  <c r="CMU64" i="7"/>
  <c r="CMV64" i="7"/>
  <c r="CMW64" i="7"/>
  <c r="CMX64" i="7"/>
  <c r="CMY64" i="7"/>
  <c r="CMZ64" i="7"/>
  <c r="CNA64" i="7"/>
  <c r="CNB64" i="7"/>
  <c r="CNC64" i="7"/>
  <c r="CND64" i="7"/>
  <c r="CNE64" i="7"/>
  <c r="CNF64" i="7"/>
  <c r="CNG64" i="7"/>
  <c r="CNH64" i="7"/>
  <c r="CNI64" i="7"/>
  <c r="CNJ64" i="7"/>
  <c r="CNK64" i="7"/>
  <c r="CNL64" i="7"/>
  <c r="CNM64" i="7"/>
  <c r="CNN64" i="7"/>
  <c r="CNO64" i="7"/>
  <c r="CNP64" i="7"/>
  <c r="CNQ64" i="7"/>
  <c r="CNR64" i="7"/>
  <c r="CNS64" i="7"/>
  <c r="CNT64" i="7"/>
  <c r="CNU64" i="7"/>
  <c r="CNV64" i="7"/>
  <c r="CNW64" i="7"/>
  <c r="CNX64" i="7"/>
  <c r="CNY64" i="7"/>
  <c r="CNZ64" i="7"/>
  <c r="COA64" i="7"/>
  <c r="COB64" i="7"/>
  <c r="COC64" i="7"/>
  <c r="COD64" i="7"/>
  <c r="COE64" i="7"/>
  <c r="COF64" i="7"/>
  <c r="COG64" i="7"/>
  <c r="COH64" i="7"/>
  <c r="COI64" i="7"/>
  <c r="COJ64" i="7"/>
  <c r="COK64" i="7"/>
  <c r="COL64" i="7"/>
  <c r="COM64" i="7"/>
  <c r="CON64" i="7"/>
  <c r="COO64" i="7"/>
  <c r="COP64" i="7"/>
  <c r="COQ64" i="7"/>
  <c r="COR64" i="7"/>
  <c r="COS64" i="7"/>
  <c r="COT64" i="7"/>
  <c r="COU64" i="7"/>
  <c r="COV64" i="7"/>
  <c r="COW64" i="7"/>
  <c r="COX64" i="7"/>
  <c r="COY64" i="7"/>
  <c r="COZ64" i="7"/>
  <c r="CPA64" i="7"/>
  <c r="CPB64" i="7"/>
  <c r="CPC64" i="7"/>
  <c r="CPD64" i="7"/>
  <c r="CPE64" i="7"/>
  <c r="CPF64" i="7"/>
  <c r="CPG64" i="7"/>
  <c r="CPH64" i="7"/>
  <c r="CPI64" i="7"/>
  <c r="CPJ64" i="7"/>
  <c r="CPK64" i="7"/>
  <c r="CPL64" i="7"/>
  <c r="CPM64" i="7"/>
  <c r="CPN64" i="7"/>
  <c r="CPO64" i="7"/>
  <c r="CPP64" i="7"/>
  <c r="CPQ64" i="7"/>
  <c r="CPR64" i="7"/>
  <c r="CPS64" i="7"/>
  <c r="CPT64" i="7"/>
  <c r="CPU64" i="7"/>
  <c r="CPV64" i="7"/>
  <c r="CPW64" i="7"/>
  <c r="CPX64" i="7"/>
  <c r="CPY64" i="7"/>
  <c r="CPZ64" i="7"/>
  <c r="CQA64" i="7"/>
  <c r="CQB64" i="7"/>
  <c r="CQC64" i="7"/>
  <c r="CQD64" i="7"/>
  <c r="CQE64" i="7"/>
  <c r="CQF64" i="7"/>
  <c r="CQG64" i="7"/>
  <c r="CQH64" i="7"/>
  <c r="CQI64" i="7"/>
  <c r="CQJ64" i="7"/>
  <c r="CQK64" i="7"/>
  <c r="CQL64" i="7"/>
  <c r="CQM64" i="7"/>
  <c r="CQN64" i="7"/>
  <c r="CQO64" i="7"/>
  <c r="CQP64" i="7"/>
  <c r="CQQ64" i="7"/>
  <c r="CQR64" i="7"/>
  <c r="CQS64" i="7"/>
  <c r="CQT64" i="7"/>
  <c r="CQU64" i="7"/>
  <c r="CQV64" i="7"/>
  <c r="CQW64" i="7"/>
  <c r="CQX64" i="7"/>
  <c r="CQY64" i="7"/>
  <c r="CQZ64" i="7"/>
  <c r="CRA64" i="7"/>
  <c r="CRB64" i="7"/>
  <c r="CRC64" i="7"/>
  <c r="CRD64" i="7"/>
  <c r="CRE64" i="7"/>
  <c r="CRF64" i="7"/>
  <c r="CRG64" i="7"/>
  <c r="CRH64" i="7"/>
  <c r="CRI64" i="7"/>
  <c r="CRJ64" i="7"/>
  <c r="CRK64" i="7"/>
  <c r="CRL64" i="7"/>
  <c r="CRM64" i="7"/>
  <c r="CRN64" i="7"/>
  <c r="CRO64" i="7"/>
  <c r="CRP64" i="7"/>
  <c r="CRQ64" i="7"/>
  <c r="CRR64" i="7"/>
  <c r="CRS64" i="7"/>
  <c r="CRT64" i="7"/>
  <c r="CRU64" i="7"/>
  <c r="CRV64" i="7"/>
  <c r="CRW64" i="7"/>
  <c r="CRX64" i="7"/>
  <c r="CRY64" i="7"/>
  <c r="CRZ64" i="7"/>
  <c r="CSA64" i="7"/>
  <c r="CSB64" i="7"/>
  <c r="CSC64" i="7"/>
  <c r="CSD64" i="7"/>
  <c r="CSE64" i="7"/>
  <c r="CSF64" i="7"/>
  <c r="CSG64" i="7"/>
  <c r="CSH64" i="7"/>
  <c r="CSI64" i="7"/>
  <c r="CSJ64" i="7"/>
  <c r="CSK64" i="7"/>
  <c r="CSL64" i="7"/>
  <c r="CSM64" i="7"/>
  <c r="CSN64" i="7"/>
  <c r="CSO64" i="7"/>
  <c r="CSP64" i="7"/>
  <c r="CSQ64" i="7"/>
  <c r="CSR64" i="7"/>
  <c r="CSS64" i="7"/>
  <c r="CST64" i="7"/>
  <c r="CSU64" i="7"/>
  <c r="CSV64" i="7"/>
  <c r="CSW64" i="7"/>
  <c r="CSX64" i="7"/>
  <c r="CSY64" i="7"/>
  <c r="CSZ64" i="7"/>
  <c r="CTA64" i="7"/>
  <c r="CTB64" i="7"/>
  <c r="CTC64" i="7"/>
  <c r="CTD64" i="7"/>
  <c r="CTE64" i="7"/>
  <c r="CTF64" i="7"/>
  <c r="CTG64" i="7"/>
  <c r="CTH64" i="7"/>
  <c r="CTI64" i="7"/>
  <c r="CTJ64" i="7"/>
  <c r="CTK64" i="7"/>
  <c r="CTL64" i="7"/>
  <c r="CTM64" i="7"/>
  <c r="CTN64" i="7"/>
  <c r="CTO64" i="7"/>
  <c r="CTP64" i="7"/>
  <c r="CTQ64" i="7"/>
  <c r="CTR64" i="7"/>
  <c r="CTS64" i="7"/>
  <c r="CTT64" i="7"/>
  <c r="CTU64" i="7"/>
  <c r="CTV64" i="7"/>
  <c r="CTW64" i="7"/>
  <c r="CTX64" i="7"/>
  <c r="CTY64" i="7"/>
  <c r="CTZ64" i="7"/>
  <c r="CUA64" i="7"/>
  <c r="CUB64" i="7"/>
  <c r="CUC64" i="7"/>
  <c r="CUD64" i="7"/>
  <c r="CUE64" i="7"/>
  <c r="CUF64" i="7"/>
  <c r="CUG64" i="7"/>
  <c r="CUH64" i="7"/>
  <c r="CUI64" i="7"/>
  <c r="CUJ64" i="7"/>
  <c r="CUK64" i="7"/>
  <c r="CUL64" i="7"/>
  <c r="CUM64" i="7"/>
  <c r="CUN64" i="7"/>
  <c r="CUO64" i="7"/>
  <c r="CUP64" i="7"/>
  <c r="CUQ64" i="7"/>
  <c r="CUR64" i="7"/>
  <c r="CUS64" i="7"/>
  <c r="CUT64" i="7"/>
  <c r="CUU64" i="7"/>
  <c r="CUV64" i="7"/>
  <c r="CUW64" i="7"/>
  <c r="CUX64" i="7"/>
  <c r="CUY64" i="7"/>
  <c r="CUZ64" i="7"/>
  <c r="CVA64" i="7"/>
  <c r="CVB64" i="7"/>
  <c r="CVC64" i="7"/>
  <c r="CVD64" i="7"/>
  <c r="CVE64" i="7"/>
  <c r="CVF64" i="7"/>
  <c r="CVG64" i="7"/>
  <c r="CVH64" i="7"/>
  <c r="CVI64" i="7"/>
  <c r="CVJ64" i="7"/>
  <c r="CVK64" i="7"/>
  <c r="CVL64" i="7"/>
  <c r="CVM64" i="7"/>
  <c r="CVN64" i="7"/>
  <c r="CVO64" i="7"/>
  <c r="CVP64" i="7"/>
  <c r="CVQ64" i="7"/>
  <c r="CVR64" i="7"/>
  <c r="CVS64" i="7"/>
  <c r="CVT64" i="7"/>
  <c r="CVU64" i="7"/>
  <c r="CVV64" i="7"/>
  <c r="CVW64" i="7"/>
  <c r="CVX64" i="7"/>
  <c r="CVY64" i="7"/>
  <c r="CVZ64" i="7"/>
  <c r="CWA64" i="7"/>
  <c r="CWB64" i="7"/>
  <c r="CWC64" i="7"/>
  <c r="CWD64" i="7"/>
  <c r="CWE64" i="7"/>
  <c r="CWF64" i="7"/>
  <c r="CWG64" i="7"/>
  <c r="CWH64" i="7"/>
  <c r="CWI64" i="7"/>
  <c r="CWJ64" i="7"/>
  <c r="CWK64" i="7"/>
  <c r="CWL64" i="7"/>
  <c r="CWM64" i="7"/>
  <c r="CWN64" i="7"/>
  <c r="CWO64" i="7"/>
  <c r="CWP64" i="7"/>
  <c r="CWQ64" i="7"/>
  <c r="CWR64" i="7"/>
  <c r="CWS64" i="7"/>
  <c r="CWT64" i="7"/>
  <c r="CWU64" i="7"/>
  <c r="CWV64" i="7"/>
  <c r="CWW64" i="7"/>
  <c r="CWX64" i="7"/>
  <c r="CWY64" i="7"/>
  <c r="CWZ64" i="7"/>
  <c r="CXA64" i="7"/>
  <c r="CXB64" i="7"/>
  <c r="CXC64" i="7"/>
  <c r="CXD64" i="7"/>
  <c r="CXE64" i="7"/>
  <c r="CXF64" i="7"/>
  <c r="CXG64" i="7"/>
  <c r="CXH64" i="7"/>
  <c r="CXI64" i="7"/>
  <c r="CXJ64" i="7"/>
  <c r="CXK64" i="7"/>
  <c r="CXL64" i="7"/>
  <c r="CXM64" i="7"/>
  <c r="CXN64" i="7"/>
  <c r="CXO64" i="7"/>
  <c r="CXP64" i="7"/>
  <c r="CXQ64" i="7"/>
  <c r="CXR64" i="7"/>
  <c r="CXS64" i="7"/>
  <c r="CXT64" i="7"/>
  <c r="CXU64" i="7"/>
  <c r="CXV64" i="7"/>
  <c r="CXW64" i="7"/>
  <c r="CXX64" i="7"/>
  <c r="CXY64" i="7"/>
  <c r="CXZ64" i="7"/>
  <c r="CYA64" i="7"/>
  <c r="CYB64" i="7"/>
  <c r="CYC64" i="7"/>
  <c r="CYD64" i="7"/>
  <c r="CYE64" i="7"/>
  <c r="CYF64" i="7"/>
  <c r="CYG64" i="7"/>
  <c r="CYH64" i="7"/>
  <c r="CYI64" i="7"/>
  <c r="CYJ64" i="7"/>
  <c r="CYK64" i="7"/>
  <c r="CYL64" i="7"/>
  <c r="CYM64" i="7"/>
  <c r="CYN64" i="7"/>
  <c r="CYO64" i="7"/>
  <c r="CYP64" i="7"/>
  <c r="CYQ64" i="7"/>
  <c r="CYR64" i="7"/>
  <c r="CYS64" i="7"/>
  <c r="CYT64" i="7"/>
  <c r="CYU64" i="7"/>
  <c r="CYV64" i="7"/>
  <c r="CYW64" i="7"/>
  <c r="CYX64" i="7"/>
  <c r="CYY64" i="7"/>
  <c r="CYZ64" i="7"/>
  <c r="CZA64" i="7"/>
  <c r="CZB64" i="7"/>
  <c r="CZC64" i="7"/>
  <c r="CZD64" i="7"/>
  <c r="CZE64" i="7"/>
  <c r="CZF64" i="7"/>
  <c r="CZG64" i="7"/>
  <c r="CZH64" i="7"/>
  <c r="CZI64" i="7"/>
  <c r="CZJ64" i="7"/>
  <c r="CZK64" i="7"/>
  <c r="CZL64" i="7"/>
  <c r="CZM64" i="7"/>
  <c r="CZN64" i="7"/>
  <c r="CZO64" i="7"/>
  <c r="CZP64" i="7"/>
  <c r="CZQ64" i="7"/>
  <c r="CZR64" i="7"/>
  <c r="CZS64" i="7"/>
  <c r="CZT64" i="7"/>
  <c r="CZU64" i="7"/>
  <c r="CZV64" i="7"/>
  <c r="CZW64" i="7"/>
  <c r="CZX64" i="7"/>
  <c r="CZY64" i="7"/>
  <c r="CZZ64" i="7"/>
  <c r="DAA64" i="7"/>
  <c r="DAB64" i="7"/>
  <c r="DAC64" i="7"/>
  <c r="DAD64" i="7"/>
  <c r="DAE64" i="7"/>
  <c r="DAF64" i="7"/>
  <c r="DAG64" i="7"/>
  <c r="DAH64" i="7"/>
  <c r="DAI64" i="7"/>
  <c r="DAJ64" i="7"/>
  <c r="DAK64" i="7"/>
  <c r="DAL64" i="7"/>
  <c r="DAM64" i="7"/>
  <c r="DAN64" i="7"/>
  <c r="DAO64" i="7"/>
  <c r="DAP64" i="7"/>
  <c r="DAQ64" i="7"/>
  <c r="DAR64" i="7"/>
  <c r="DAS64" i="7"/>
  <c r="DAT64" i="7"/>
  <c r="DAU64" i="7"/>
  <c r="DAV64" i="7"/>
  <c r="DAW64" i="7"/>
  <c r="DAX64" i="7"/>
  <c r="DAY64" i="7"/>
  <c r="DAZ64" i="7"/>
  <c r="DBA64" i="7"/>
  <c r="DBB64" i="7"/>
  <c r="DBC64" i="7"/>
  <c r="DBD64" i="7"/>
  <c r="DBE64" i="7"/>
  <c r="DBF64" i="7"/>
  <c r="DBG64" i="7"/>
  <c r="DBH64" i="7"/>
  <c r="DBI64" i="7"/>
  <c r="DBJ64" i="7"/>
  <c r="DBK64" i="7"/>
  <c r="DBL64" i="7"/>
  <c r="DBM64" i="7"/>
  <c r="DBN64" i="7"/>
  <c r="DBO64" i="7"/>
  <c r="DBP64" i="7"/>
  <c r="DBQ64" i="7"/>
  <c r="DBR64" i="7"/>
  <c r="DBS64" i="7"/>
  <c r="DBT64" i="7"/>
  <c r="DBU64" i="7"/>
  <c r="DBV64" i="7"/>
  <c r="DBW64" i="7"/>
  <c r="DBX64" i="7"/>
  <c r="DBY64" i="7"/>
  <c r="DBZ64" i="7"/>
  <c r="DCA64" i="7"/>
  <c r="DCB64" i="7"/>
  <c r="DCC64" i="7"/>
  <c r="DCD64" i="7"/>
  <c r="DCE64" i="7"/>
  <c r="DCF64" i="7"/>
  <c r="DCG64" i="7"/>
  <c r="DCH64" i="7"/>
  <c r="DCI64" i="7"/>
  <c r="DCJ64" i="7"/>
  <c r="DCK64" i="7"/>
  <c r="DCL64" i="7"/>
  <c r="DCM64" i="7"/>
  <c r="DCN64" i="7"/>
  <c r="DCO64" i="7"/>
  <c r="DCP64" i="7"/>
  <c r="DCQ64" i="7"/>
  <c r="DCR64" i="7"/>
  <c r="DCS64" i="7"/>
  <c r="DCT64" i="7"/>
  <c r="DCU64" i="7"/>
  <c r="DCV64" i="7"/>
  <c r="DCW64" i="7"/>
  <c r="DCX64" i="7"/>
  <c r="DCY64" i="7"/>
  <c r="DCZ64" i="7"/>
  <c r="DDA64" i="7"/>
  <c r="DDB64" i="7"/>
  <c r="DDC64" i="7"/>
  <c r="DDD64" i="7"/>
  <c r="DDE64" i="7"/>
  <c r="DDF64" i="7"/>
  <c r="DDG64" i="7"/>
  <c r="DDH64" i="7"/>
  <c r="DDI64" i="7"/>
  <c r="DDJ64" i="7"/>
  <c r="DDK64" i="7"/>
  <c r="DDL64" i="7"/>
  <c r="DDM64" i="7"/>
  <c r="DDN64" i="7"/>
  <c r="DDO64" i="7"/>
  <c r="DDP64" i="7"/>
  <c r="DDQ64" i="7"/>
  <c r="DDR64" i="7"/>
  <c r="DDS64" i="7"/>
  <c r="DDT64" i="7"/>
  <c r="DDU64" i="7"/>
  <c r="DDV64" i="7"/>
  <c r="DDW64" i="7"/>
  <c r="DDX64" i="7"/>
  <c r="DDY64" i="7"/>
  <c r="DDZ64" i="7"/>
  <c r="DEA64" i="7"/>
  <c r="DEB64" i="7"/>
  <c r="DEC64" i="7"/>
  <c r="DED64" i="7"/>
  <c r="DEE64" i="7"/>
  <c r="DEF64" i="7"/>
  <c r="DEG64" i="7"/>
  <c r="DEH64" i="7"/>
  <c r="DEI64" i="7"/>
  <c r="DEJ64" i="7"/>
  <c r="DEK64" i="7"/>
  <c r="DEL64" i="7"/>
  <c r="DEM64" i="7"/>
  <c r="DEN64" i="7"/>
  <c r="DEO64" i="7"/>
  <c r="DEP64" i="7"/>
  <c r="DEQ64" i="7"/>
  <c r="DER64" i="7"/>
  <c r="DES64" i="7"/>
  <c r="DET64" i="7"/>
  <c r="DEU64" i="7"/>
  <c r="DEV64" i="7"/>
  <c r="DEW64" i="7"/>
  <c r="DEX64" i="7"/>
  <c r="DEY64" i="7"/>
  <c r="DEZ64" i="7"/>
  <c r="DFA64" i="7"/>
  <c r="DFB64" i="7"/>
  <c r="DFC64" i="7"/>
  <c r="DFD64" i="7"/>
  <c r="DFE64" i="7"/>
  <c r="DFF64" i="7"/>
  <c r="DFG64" i="7"/>
  <c r="DFH64" i="7"/>
  <c r="DFI64" i="7"/>
  <c r="DFJ64" i="7"/>
  <c r="DFK64" i="7"/>
  <c r="DFL64" i="7"/>
  <c r="DFM64" i="7"/>
  <c r="DFN64" i="7"/>
  <c r="DFO64" i="7"/>
  <c r="DFP64" i="7"/>
  <c r="DFQ64" i="7"/>
  <c r="DFR64" i="7"/>
  <c r="DFS64" i="7"/>
  <c r="DFT64" i="7"/>
  <c r="DFU64" i="7"/>
  <c r="DFV64" i="7"/>
  <c r="DFW64" i="7"/>
  <c r="DFX64" i="7"/>
  <c r="DFY64" i="7"/>
  <c r="DFZ64" i="7"/>
  <c r="DGA64" i="7"/>
  <c r="DGB64" i="7"/>
  <c r="DGC64" i="7"/>
  <c r="DGD64" i="7"/>
  <c r="DGE64" i="7"/>
  <c r="DGF64" i="7"/>
  <c r="DGG64" i="7"/>
  <c r="DGH64" i="7"/>
  <c r="DGI64" i="7"/>
  <c r="DGJ64" i="7"/>
  <c r="DGK64" i="7"/>
  <c r="DGL64" i="7"/>
  <c r="DGM64" i="7"/>
  <c r="DGN64" i="7"/>
  <c r="DGO64" i="7"/>
  <c r="DGP64" i="7"/>
  <c r="DGQ64" i="7"/>
  <c r="DGR64" i="7"/>
  <c r="DGS64" i="7"/>
  <c r="DGT64" i="7"/>
  <c r="DGU64" i="7"/>
  <c r="DGV64" i="7"/>
  <c r="DGW64" i="7"/>
  <c r="DGX64" i="7"/>
  <c r="DGY64" i="7"/>
  <c r="DGZ64" i="7"/>
  <c r="DHA64" i="7"/>
  <c r="DHB64" i="7"/>
  <c r="DHC64" i="7"/>
  <c r="DHD64" i="7"/>
  <c r="DHE64" i="7"/>
  <c r="DHF64" i="7"/>
  <c r="DHG64" i="7"/>
  <c r="DHH64" i="7"/>
  <c r="DHI64" i="7"/>
  <c r="DHJ64" i="7"/>
  <c r="DHK64" i="7"/>
  <c r="DHL64" i="7"/>
  <c r="DHM64" i="7"/>
  <c r="DHN64" i="7"/>
  <c r="DHO64" i="7"/>
  <c r="DHP64" i="7"/>
  <c r="DHQ64" i="7"/>
  <c r="DHR64" i="7"/>
  <c r="DHS64" i="7"/>
  <c r="DHT64" i="7"/>
  <c r="DHU64" i="7"/>
  <c r="DHV64" i="7"/>
  <c r="DHW64" i="7"/>
  <c r="DHX64" i="7"/>
  <c r="DHY64" i="7"/>
  <c r="DHZ64" i="7"/>
  <c r="DIA64" i="7"/>
  <c r="DIB64" i="7"/>
  <c r="DIC64" i="7"/>
  <c r="DID64" i="7"/>
  <c r="DIE64" i="7"/>
  <c r="DIF64" i="7"/>
  <c r="DIG64" i="7"/>
  <c r="DIH64" i="7"/>
  <c r="DII64" i="7"/>
  <c r="DIJ64" i="7"/>
  <c r="DIK64" i="7"/>
  <c r="DIL64" i="7"/>
  <c r="DIM64" i="7"/>
  <c r="DIN64" i="7"/>
  <c r="DIO64" i="7"/>
  <c r="DIP64" i="7"/>
  <c r="DIQ64" i="7"/>
  <c r="DIR64" i="7"/>
  <c r="DIS64" i="7"/>
  <c r="DIT64" i="7"/>
  <c r="DIU64" i="7"/>
  <c r="DIV64" i="7"/>
  <c r="DIW64" i="7"/>
  <c r="DIX64" i="7"/>
  <c r="DIY64" i="7"/>
  <c r="DIZ64" i="7"/>
  <c r="DJA64" i="7"/>
  <c r="DJB64" i="7"/>
  <c r="DJC64" i="7"/>
  <c r="DJD64" i="7"/>
  <c r="DJE64" i="7"/>
  <c r="DJF64" i="7"/>
  <c r="DJG64" i="7"/>
  <c r="DJH64" i="7"/>
  <c r="DJI64" i="7"/>
  <c r="DJJ64" i="7"/>
  <c r="DJK64" i="7"/>
  <c r="DJL64" i="7"/>
  <c r="DJM64" i="7"/>
  <c r="DJN64" i="7"/>
  <c r="DJO64" i="7"/>
  <c r="DJP64" i="7"/>
  <c r="DJQ64" i="7"/>
  <c r="DJR64" i="7"/>
  <c r="DJS64" i="7"/>
  <c r="DJT64" i="7"/>
  <c r="DJU64" i="7"/>
  <c r="DJV64" i="7"/>
  <c r="DJW64" i="7"/>
  <c r="DJX64" i="7"/>
  <c r="DJY64" i="7"/>
  <c r="DJZ64" i="7"/>
  <c r="DKA64" i="7"/>
  <c r="DKB64" i="7"/>
  <c r="DKC64" i="7"/>
  <c r="DKD64" i="7"/>
  <c r="DKE64" i="7"/>
  <c r="DKF64" i="7"/>
  <c r="DKG64" i="7"/>
  <c r="DKH64" i="7"/>
  <c r="DKI64" i="7"/>
  <c r="DKJ64" i="7"/>
  <c r="DKK64" i="7"/>
  <c r="DKL64" i="7"/>
  <c r="DKM64" i="7"/>
  <c r="DKN64" i="7"/>
  <c r="DKO64" i="7"/>
  <c r="DKP64" i="7"/>
  <c r="DKQ64" i="7"/>
  <c r="DKR64" i="7"/>
  <c r="DKS64" i="7"/>
  <c r="DKT64" i="7"/>
  <c r="DKU64" i="7"/>
  <c r="DKV64" i="7"/>
  <c r="DKW64" i="7"/>
  <c r="DKX64" i="7"/>
  <c r="DKY64" i="7"/>
  <c r="DKZ64" i="7"/>
  <c r="DLA64" i="7"/>
  <c r="DLB64" i="7"/>
  <c r="DLC64" i="7"/>
  <c r="DLD64" i="7"/>
  <c r="DLE64" i="7"/>
  <c r="DLF64" i="7"/>
  <c r="DLG64" i="7"/>
  <c r="DLH64" i="7"/>
  <c r="DLI64" i="7"/>
  <c r="DLJ64" i="7"/>
  <c r="DLK64" i="7"/>
  <c r="DLL64" i="7"/>
  <c r="DLM64" i="7"/>
  <c r="DLN64" i="7"/>
  <c r="DLO64" i="7"/>
  <c r="DLP64" i="7"/>
  <c r="DLQ64" i="7"/>
  <c r="DLR64" i="7"/>
  <c r="DLS64" i="7"/>
  <c r="DLT64" i="7"/>
  <c r="DLU64" i="7"/>
  <c r="DLV64" i="7"/>
  <c r="DLW64" i="7"/>
  <c r="DLX64" i="7"/>
  <c r="DLY64" i="7"/>
  <c r="DLZ64" i="7"/>
  <c r="DMA64" i="7"/>
  <c r="DMB64" i="7"/>
  <c r="DMC64" i="7"/>
  <c r="DMD64" i="7"/>
  <c r="DME64" i="7"/>
  <c r="DMF64" i="7"/>
  <c r="DMG64" i="7"/>
  <c r="DMH64" i="7"/>
  <c r="DMI64" i="7"/>
  <c r="DMJ64" i="7"/>
  <c r="DMK64" i="7"/>
  <c r="DML64" i="7"/>
  <c r="DMM64" i="7"/>
  <c r="DMN64" i="7"/>
  <c r="DMO64" i="7"/>
  <c r="DMP64" i="7"/>
  <c r="DMQ64" i="7"/>
  <c r="DMR64" i="7"/>
  <c r="DMS64" i="7"/>
  <c r="DMT64" i="7"/>
  <c r="DMU64" i="7"/>
  <c r="DMV64" i="7"/>
  <c r="DMW64" i="7"/>
  <c r="DMX64" i="7"/>
  <c r="DMY64" i="7"/>
  <c r="DMZ64" i="7"/>
  <c r="DNA64" i="7"/>
  <c r="DNB64" i="7"/>
  <c r="DNC64" i="7"/>
  <c r="DND64" i="7"/>
  <c r="DNE64" i="7"/>
  <c r="DNF64" i="7"/>
  <c r="DNG64" i="7"/>
  <c r="DNH64" i="7"/>
  <c r="DNI64" i="7"/>
  <c r="DNJ64" i="7"/>
  <c r="DNK64" i="7"/>
  <c r="DNL64" i="7"/>
  <c r="DNM64" i="7"/>
  <c r="DNN64" i="7"/>
  <c r="DNO64" i="7"/>
  <c r="DNP64" i="7"/>
  <c r="DNQ64" i="7"/>
  <c r="DNR64" i="7"/>
  <c r="DNS64" i="7"/>
  <c r="DNT64" i="7"/>
  <c r="DNU64" i="7"/>
  <c r="DNV64" i="7"/>
  <c r="DNW64" i="7"/>
  <c r="DNX64" i="7"/>
  <c r="DNY64" i="7"/>
  <c r="DNZ64" i="7"/>
  <c r="DOA64" i="7"/>
  <c r="DOB64" i="7"/>
  <c r="DOC64" i="7"/>
  <c r="DOD64" i="7"/>
  <c r="DOE64" i="7"/>
  <c r="DOF64" i="7"/>
  <c r="DOG64" i="7"/>
  <c r="DOH64" i="7"/>
  <c r="DOI64" i="7"/>
  <c r="DOJ64" i="7"/>
  <c r="DOK64" i="7"/>
  <c r="DOL64" i="7"/>
  <c r="DOM64" i="7"/>
  <c r="DON64" i="7"/>
  <c r="DOO64" i="7"/>
  <c r="DOP64" i="7"/>
  <c r="DOQ64" i="7"/>
  <c r="DOR64" i="7"/>
  <c r="DOS64" i="7"/>
  <c r="DOT64" i="7"/>
  <c r="DOU64" i="7"/>
  <c r="DOV64" i="7"/>
  <c r="DOW64" i="7"/>
  <c r="DOX64" i="7"/>
  <c r="DOY64" i="7"/>
  <c r="DOZ64" i="7"/>
  <c r="DPA64" i="7"/>
  <c r="DPB64" i="7"/>
  <c r="DPC64" i="7"/>
  <c r="DPD64" i="7"/>
  <c r="DPE64" i="7"/>
  <c r="DPF64" i="7"/>
  <c r="DPG64" i="7"/>
  <c r="DPH64" i="7"/>
  <c r="DPI64" i="7"/>
  <c r="DPJ64" i="7"/>
  <c r="DPK64" i="7"/>
  <c r="DPL64" i="7"/>
  <c r="DPM64" i="7"/>
  <c r="DPN64" i="7"/>
  <c r="DPO64" i="7"/>
  <c r="DPP64" i="7"/>
  <c r="DPQ64" i="7"/>
  <c r="DPR64" i="7"/>
  <c r="DPS64" i="7"/>
  <c r="DPT64" i="7"/>
  <c r="DPU64" i="7"/>
  <c r="DPV64" i="7"/>
  <c r="DPW64" i="7"/>
  <c r="DPX64" i="7"/>
  <c r="DPY64" i="7"/>
  <c r="DPZ64" i="7"/>
  <c r="DQA64" i="7"/>
  <c r="DQB64" i="7"/>
  <c r="DQC64" i="7"/>
  <c r="DQD64" i="7"/>
  <c r="DQE64" i="7"/>
  <c r="DQF64" i="7"/>
  <c r="DQG64" i="7"/>
  <c r="DQH64" i="7"/>
  <c r="DQI64" i="7"/>
  <c r="DQJ64" i="7"/>
  <c r="DQK64" i="7"/>
  <c r="DQL64" i="7"/>
  <c r="DQM64" i="7"/>
  <c r="DQN64" i="7"/>
  <c r="DQO64" i="7"/>
  <c r="DQP64" i="7"/>
  <c r="DQQ64" i="7"/>
  <c r="DQR64" i="7"/>
  <c r="DQS64" i="7"/>
  <c r="DQT64" i="7"/>
  <c r="DQU64" i="7"/>
  <c r="DQV64" i="7"/>
  <c r="DQW64" i="7"/>
  <c r="DQX64" i="7"/>
  <c r="DQY64" i="7"/>
  <c r="DQZ64" i="7"/>
  <c r="DRA64" i="7"/>
  <c r="DRB64" i="7"/>
  <c r="DRC64" i="7"/>
  <c r="DRD64" i="7"/>
  <c r="DRE64" i="7"/>
  <c r="DRF64" i="7"/>
  <c r="DRG64" i="7"/>
  <c r="DRH64" i="7"/>
  <c r="DRI64" i="7"/>
  <c r="DRJ64" i="7"/>
  <c r="DRK64" i="7"/>
  <c r="DRL64" i="7"/>
  <c r="DRM64" i="7"/>
  <c r="DRN64" i="7"/>
  <c r="DRO64" i="7"/>
  <c r="DRP64" i="7"/>
  <c r="DRQ64" i="7"/>
  <c r="DRR64" i="7"/>
  <c r="DRS64" i="7"/>
  <c r="DRT64" i="7"/>
  <c r="DRU64" i="7"/>
  <c r="DRV64" i="7"/>
  <c r="DRW64" i="7"/>
  <c r="DRX64" i="7"/>
  <c r="DRY64" i="7"/>
  <c r="DRZ64" i="7"/>
  <c r="DSA64" i="7"/>
  <c r="DSB64" i="7"/>
  <c r="DSC64" i="7"/>
  <c r="DSD64" i="7"/>
  <c r="DSE64" i="7"/>
  <c r="DSF64" i="7"/>
  <c r="DSG64" i="7"/>
  <c r="DSH64" i="7"/>
  <c r="DSI64" i="7"/>
  <c r="DSJ64" i="7"/>
  <c r="DSK64" i="7"/>
  <c r="DSL64" i="7"/>
  <c r="DSM64" i="7"/>
  <c r="DSN64" i="7"/>
  <c r="DSO64" i="7"/>
  <c r="DSP64" i="7"/>
  <c r="DSQ64" i="7"/>
  <c r="DSR64" i="7"/>
  <c r="DSS64" i="7"/>
  <c r="DST64" i="7"/>
  <c r="DSU64" i="7"/>
  <c r="DSV64" i="7"/>
  <c r="DSW64" i="7"/>
  <c r="DSX64" i="7"/>
  <c r="DSY64" i="7"/>
  <c r="DSZ64" i="7"/>
  <c r="DTA64" i="7"/>
  <c r="DTB64" i="7"/>
  <c r="DTC64" i="7"/>
  <c r="DTD64" i="7"/>
  <c r="DTE64" i="7"/>
  <c r="DTF64" i="7"/>
  <c r="DTG64" i="7"/>
  <c r="DTH64" i="7"/>
  <c r="DTI64" i="7"/>
  <c r="DTJ64" i="7"/>
  <c r="DTK64" i="7"/>
  <c r="DTL64" i="7"/>
  <c r="DTM64" i="7"/>
  <c r="DTN64" i="7"/>
  <c r="DTO64" i="7"/>
  <c r="DTP64" i="7"/>
  <c r="DTQ64" i="7"/>
  <c r="DTR64" i="7"/>
  <c r="DTS64" i="7"/>
  <c r="DTT64" i="7"/>
  <c r="DTU64" i="7"/>
  <c r="DTV64" i="7"/>
  <c r="DTW64" i="7"/>
  <c r="DTX64" i="7"/>
  <c r="DTY64" i="7"/>
  <c r="DTZ64" i="7"/>
  <c r="DUA64" i="7"/>
  <c r="DUB64" i="7"/>
  <c r="DUC64" i="7"/>
  <c r="DUD64" i="7"/>
  <c r="DUE64" i="7"/>
  <c r="DUF64" i="7"/>
  <c r="DUG64" i="7"/>
  <c r="DUH64" i="7"/>
  <c r="DUI64" i="7"/>
  <c r="DUJ64" i="7"/>
  <c r="DUK64" i="7"/>
  <c r="DUL64" i="7"/>
  <c r="DUM64" i="7"/>
  <c r="DUN64" i="7"/>
  <c r="DUO64" i="7"/>
  <c r="DUP64" i="7"/>
  <c r="DUQ64" i="7"/>
  <c r="DUR64" i="7"/>
  <c r="DUS64" i="7"/>
  <c r="DUT64" i="7"/>
  <c r="DUU64" i="7"/>
  <c r="DUV64" i="7"/>
  <c r="DUW64" i="7"/>
  <c r="DUX64" i="7"/>
  <c r="DUY64" i="7"/>
  <c r="DUZ64" i="7"/>
  <c r="DVA64" i="7"/>
  <c r="DVB64" i="7"/>
  <c r="DVC64" i="7"/>
  <c r="DVD64" i="7"/>
  <c r="DVE64" i="7"/>
  <c r="DVF64" i="7"/>
  <c r="DVG64" i="7"/>
  <c r="DVH64" i="7"/>
  <c r="DVI64" i="7"/>
  <c r="DVJ64" i="7"/>
  <c r="DVK64" i="7"/>
  <c r="DVL64" i="7"/>
  <c r="DVM64" i="7"/>
  <c r="DVN64" i="7"/>
  <c r="DVO64" i="7"/>
  <c r="DVP64" i="7"/>
  <c r="DVQ64" i="7"/>
  <c r="DVR64" i="7"/>
  <c r="DVS64" i="7"/>
  <c r="DVT64" i="7"/>
  <c r="DVU64" i="7"/>
  <c r="DVV64" i="7"/>
  <c r="DVW64" i="7"/>
  <c r="DVX64" i="7"/>
  <c r="DVY64" i="7"/>
  <c r="DVZ64" i="7"/>
  <c r="DWA64" i="7"/>
  <c r="DWB64" i="7"/>
  <c r="DWC64" i="7"/>
  <c r="DWD64" i="7"/>
  <c r="DWE64" i="7"/>
  <c r="DWF64" i="7"/>
  <c r="DWG64" i="7"/>
  <c r="DWH64" i="7"/>
  <c r="DWI64" i="7"/>
  <c r="DWJ64" i="7"/>
  <c r="DWK64" i="7"/>
  <c r="DWL64" i="7"/>
  <c r="DWM64" i="7"/>
  <c r="DWN64" i="7"/>
  <c r="DWO64" i="7"/>
  <c r="DWP64" i="7"/>
  <c r="DWQ64" i="7"/>
  <c r="DWR64" i="7"/>
  <c r="DWS64" i="7"/>
  <c r="DWT64" i="7"/>
  <c r="DWU64" i="7"/>
  <c r="DWV64" i="7"/>
  <c r="DWW64" i="7"/>
  <c r="DWX64" i="7"/>
  <c r="DWY64" i="7"/>
  <c r="DWZ64" i="7"/>
  <c r="DXA64" i="7"/>
  <c r="DXB64" i="7"/>
  <c r="DXC64" i="7"/>
  <c r="DXD64" i="7"/>
  <c r="DXE64" i="7"/>
  <c r="DXF64" i="7"/>
  <c r="DXG64" i="7"/>
  <c r="DXH64" i="7"/>
  <c r="DXI64" i="7"/>
  <c r="DXJ64" i="7"/>
  <c r="DXK64" i="7"/>
  <c r="DXL64" i="7"/>
  <c r="DXM64" i="7"/>
  <c r="DXN64" i="7"/>
  <c r="DXO64" i="7"/>
  <c r="DXP64" i="7"/>
  <c r="DXQ64" i="7"/>
  <c r="DXR64" i="7"/>
  <c r="DXS64" i="7"/>
  <c r="DXT64" i="7"/>
  <c r="DXU64" i="7"/>
  <c r="DXV64" i="7"/>
  <c r="DXW64" i="7"/>
  <c r="DXX64" i="7"/>
  <c r="DXY64" i="7"/>
  <c r="DXZ64" i="7"/>
  <c r="DYA64" i="7"/>
  <c r="DYB64" i="7"/>
  <c r="DYC64" i="7"/>
  <c r="DYD64" i="7"/>
  <c r="DYE64" i="7"/>
  <c r="DYF64" i="7"/>
  <c r="DYG64" i="7"/>
  <c r="DYH64" i="7"/>
  <c r="DYI64" i="7"/>
  <c r="DYJ64" i="7"/>
  <c r="DYK64" i="7"/>
  <c r="DYL64" i="7"/>
  <c r="DYM64" i="7"/>
  <c r="DYN64" i="7"/>
  <c r="DYO64" i="7"/>
  <c r="DYP64" i="7"/>
  <c r="DYQ64" i="7"/>
  <c r="DYR64" i="7"/>
  <c r="DYS64" i="7"/>
  <c r="DYT64" i="7"/>
  <c r="DYU64" i="7"/>
  <c r="DYV64" i="7"/>
  <c r="DYW64" i="7"/>
  <c r="DYX64" i="7"/>
  <c r="DYY64" i="7"/>
  <c r="DYZ64" i="7"/>
  <c r="DZA64" i="7"/>
  <c r="DZB64" i="7"/>
  <c r="DZC64" i="7"/>
  <c r="DZD64" i="7"/>
  <c r="DZE64" i="7"/>
  <c r="DZF64" i="7"/>
  <c r="DZG64" i="7"/>
  <c r="DZH64" i="7"/>
  <c r="DZI64" i="7"/>
  <c r="DZJ64" i="7"/>
  <c r="DZK64" i="7"/>
  <c r="DZL64" i="7"/>
  <c r="DZM64" i="7"/>
  <c r="DZN64" i="7"/>
  <c r="DZO64" i="7"/>
  <c r="DZP64" i="7"/>
  <c r="DZQ64" i="7"/>
  <c r="DZR64" i="7"/>
  <c r="DZS64" i="7"/>
  <c r="DZT64" i="7"/>
  <c r="DZU64" i="7"/>
  <c r="DZV64" i="7"/>
  <c r="DZW64" i="7"/>
  <c r="DZX64" i="7"/>
  <c r="DZY64" i="7"/>
  <c r="DZZ64" i="7"/>
  <c r="EAA64" i="7"/>
  <c r="EAB64" i="7"/>
  <c r="EAC64" i="7"/>
  <c r="EAD64" i="7"/>
  <c r="EAE64" i="7"/>
  <c r="EAF64" i="7"/>
  <c r="EAG64" i="7"/>
  <c r="EAH64" i="7"/>
  <c r="EAI64" i="7"/>
  <c r="EAJ64" i="7"/>
  <c r="EAK64" i="7"/>
  <c r="EAL64" i="7"/>
  <c r="EAM64" i="7"/>
  <c r="EAN64" i="7"/>
  <c r="EAO64" i="7"/>
  <c r="EAP64" i="7"/>
  <c r="EAQ64" i="7"/>
  <c r="EAR64" i="7"/>
  <c r="EAS64" i="7"/>
  <c r="EAT64" i="7"/>
  <c r="EAU64" i="7"/>
  <c r="EAV64" i="7"/>
  <c r="EAW64" i="7"/>
  <c r="EAX64" i="7"/>
  <c r="EAY64" i="7"/>
  <c r="EAZ64" i="7"/>
  <c r="EBA64" i="7"/>
  <c r="EBB64" i="7"/>
  <c r="EBC64" i="7"/>
  <c r="EBD64" i="7"/>
  <c r="EBE64" i="7"/>
  <c r="EBF64" i="7"/>
  <c r="EBG64" i="7"/>
  <c r="EBH64" i="7"/>
  <c r="EBI64" i="7"/>
  <c r="EBJ64" i="7"/>
  <c r="EBK64" i="7"/>
  <c r="EBL64" i="7"/>
  <c r="EBM64" i="7"/>
  <c r="EBN64" i="7"/>
  <c r="EBO64" i="7"/>
  <c r="EBP64" i="7"/>
  <c r="EBQ64" i="7"/>
  <c r="EBR64" i="7"/>
  <c r="EBS64" i="7"/>
  <c r="EBT64" i="7"/>
  <c r="EBU64" i="7"/>
  <c r="EBV64" i="7"/>
  <c r="EBW64" i="7"/>
  <c r="EBX64" i="7"/>
  <c r="EBY64" i="7"/>
  <c r="EBZ64" i="7"/>
  <c r="ECA64" i="7"/>
  <c r="ECB64" i="7"/>
  <c r="ECC64" i="7"/>
  <c r="ECD64" i="7"/>
  <c r="ECE64" i="7"/>
  <c r="ECF64" i="7"/>
  <c r="ECG64" i="7"/>
  <c r="ECH64" i="7"/>
  <c r="ECI64" i="7"/>
  <c r="ECJ64" i="7"/>
  <c r="ECK64" i="7"/>
  <c r="ECL64" i="7"/>
  <c r="ECM64" i="7"/>
  <c r="ECN64" i="7"/>
  <c r="ECO64" i="7"/>
  <c r="ECP64" i="7"/>
  <c r="ECQ64" i="7"/>
  <c r="ECR64" i="7"/>
  <c r="ECS64" i="7"/>
  <c r="ECT64" i="7"/>
  <c r="ECU64" i="7"/>
  <c r="ECV64" i="7"/>
  <c r="ECW64" i="7"/>
  <c r="ECX64" i="7"/>
  <c r="ECY64" i="7"/>
  <c r="ECZ64" i="7"/>
  <c r="EDA64" i="7"/>
  <c r="EDB64" i="7"/>
  <c r="EDC64" i="7"/>
  <c r="EDD64" i="7"/>
  <c r="EDE64" i="7"/>
  <c r="EDF64" i="7"/>
  <c r="EDG64" i="7"/>
  <c r="EDH64" i="7"/>
  <c r="EDI64" i="7"/>
  <c r="EDJ64" i="7"/>
  <c r="EDK64" i="7"/>
  <c r="EDL64" i="7"/>
  <c r="EDM64" i="7"/>
  <c r="EDN64" i="7"/>
  <c r="EDO64" i="7"/>
  <c r="EDP64" i="7"/>
  <c r="EDQ64" i="7"/>
  <c r="EDR64" i="7"/>
  <c r="EDS64" i="7"/>
  <c r="EDT64" i="7"/>
  <c r="EDU64" i="7"/>
  <c r="EDV64" i="7"/>
  <c r="EDW64" i="7"/>
  <c r="EDX64" i="7"/>
  <c r="EDY64" i="7"/>
  <c r="EDZ64" i="7"/>
  <c r="EEA64" i="7"/>
  <c r="EEB64" i="7"/>
  <c r="EEC64" i="7"/>
  <c r="EED64" i="7"/>
  <c r="EEE64" i="7"/>
  <c r="EEF64" i="7"/>
  <c r="EEG64" i="7"/>
  <c r="EEH64" i="7"/>
  <c r="EEI64" i="7"/>
  <c r="EEJ64" i="7"/>
  <c r="EEK64" i="7"/>
  <c r="EEL64" i="7"/>
  <c r="EEM64" i="7"/>
  <c r="EEN64" i="7"/>
  <c r="EEO64" i="7"/>
  <c r="EEP64" i="7"/>
  <c r="EEQ64" i="7"/>
  <c r="EER64" i="7"/>
  <c r="EES64" i="7"/>
  <c r="EET64" i="7"/>
  <c r="EEU64" i="7"/>
  <c r="EEV64" i="7"/>
  <c r="EEW64" i="7"/>
  <c r="EEX64" i="7"/>
  <c r="EEY64" i="7"/>
  <c r="EEZ64" i="7"/>
  <c r="EFA64" i="7"/>
  <c r="EFB64" i="7"/>
  <c r="EFC64" i="7"/>
  <c r="EFD64" i="7"/>
  <c r="EFE64" i="7"/>
  <c r="EFF64" i="7"/>
  <c r="EFG64" i="7"/>
  <c r="EFH64" i="7"/>
  <c r="EFI64" i="7"/>
  <c r="EFJ64" i="7"/>
  <c r="EFK64" i="7"/>
  <c r="EFL64" i="7"/>
  <c r="EFM64" i="7"/>
  <c r="EFN64" i="7"/>
  <c r="EFO64" i="7"/>
  <c r="EFP64" i="7"/>
  <c r="EFQ64" i="7"/>
  <c r="EFR64" i="7"/>
  <c r="EFS64" i="7"/>
  <c r="EFT64" i="7"/>
  <c r="EFU64" i="7"/>
  <c r="EFV64" i="7"/>
  <c r="EFW64" i="7"/>
  <c r="EFX64" i="7"/>
  <c r="EFY64" i="7"/>
  <c r="EFZ64" i="7"/>
  <c r="EGA64" i="7"/>
  <c r="EGB64" i="7"/>
  <c r="EGC64" i="7"/>
  <c r="EGD64" i="7"/>
  <c r="EGE64" i="7"/>
  <c r="EGF64" i="7"/>
  <c r="EGG64" i="7"/>
  <c r="EGH64" i="7"/>
  <c r="EGI64" i="7"/>
  <c r="EGJ64" i="7"/>
  <c r="EGK64" i="7"/>
  <c r="EGL64" i="7"/>
  <c r="EGM64" i="7"/>
  <c r="EGN64" i="7"/>
  <c r="EGO64" i="7"/>
  <c r="EGP64" i="7"/>
  <c r="EGQ64" i="7"/>
  <c r="EGR64" i="7"/>
  <c r="EGS64" i="7"/>
  <c r="EGT64" i="7"/>
  <c r="EGU64" i="7"/>
  <c r="EGV64" i="7"/>
  <c r="EGW64" i="7"/>
  <c r="EGX64" i="7"/>
  <c r="EGY64" i="7"/>
  <c r="EGZ64" i="7"/>
  <c r="EHA64" i="7"/>
  <c r="EHB64" i="7"/>
  <c r="EHC64" i="7"/>
  <c r="EHD64" i="7"/>
  <c r="EHE64" i="7"/>
  <c r="EHF64" i="7"/>
  <c r="EHG64" i="7"/>
  <c r="EHH64" i="7"/>
  <c r="EHI64" i="7"/>
  <c r="EHJ64" i="7"/>
  <c r="EHK64" i="7"/>
  <c r="EHL64" i="7"/>
  <c r="EHM64" i="7"/>
  <c r="EHN64" i="7"/>
  <c r="EHO64" i="7"/>
  <c r="EHP64" i="7"/>
  <c r="EHQ64" i="7"/>
  <c r="EHR64" i="7"/>
  <c r="EHS64" i="7"/>
  <c r="EHT64" i="7"/>
  <c r="EHU64" i="7"/>
  <c r="EHV64" i="7"/>
  <c r="EHW64" i="7"/>
  <c r="EHX64" i="7"/>
  <c r="EHY64" i="7"/>
  <c r="EHZ64" i="7"/>
  <c r="EIA64" i="7"/>
  <c r="EIB64" i="7"/>
  <c r="EIC64" i="7"/>
  <c r="EID64" i="7"/>
  <c r="EIE64" i="7"/>
  <c r="EIF64" i="7"/>
  <c r="EIG64" i="7"/>
  <c r="EIH64" i="7"/>
  <c r="EII64" i="7"/>
  <c r="EIJ64" i="7"/>
  <c r="EIK64" i="7"/>
  <c r="EIL64" i="7"/>
  <c r="EIM64" i="7"/>
  <c r="EIN64" i="7"/>
  <c r="EIO64" i="7"/>
  <c r="EIP64" i="7"/>
  <c r="EIQ64" i="7"/>
  <c r="EIR64" i="7"/>
  <c r="EIS64" i="7"/>
  <c r="EIT64" i="7"/>
  <c r="EIU64" i="7"/>
  <c r="EIV64" i="7"/>
  <c r="EIW64" i="7"/>
  <c r="EIX64" i="7"/>
  <c r="EIY64" i="7"/>
  <c r="EIZ64" i="7"/>
  <c r="EJA64" i="7"/>
  <c r="EJB64" i="7"/>
  <c r="EJC64" i="7"/>
  <c r="EJD64" i="7"/>
  <c r="EJE64" i="7"/>
  <c r="EJF64" i="7"/>
  <c r="EJG64" i="7"/>
  <c r="EJH64" i="7"/>
  <c r="EJI64" i="7"/>
  <c r="EJJ64" i="7"/>
  <c r="EJK64" i="7"/>
  <c r="EJL64" i="7"/>
  <c r="EJM64" i="7"/>
  <c r="EJN64" i="7"/>
  <c r="EJO64" i="7"/>
  <c r="EJP64" i="7"/>
  <c r="EJQ64" i="7"/>
  <c r="EJR64" i="7"/>
  <c r="EJS64" i="7"/>
  <c r="EJT64" i="7"/>
  <c r="EJU64" i="7"/>
  <c r="EJV64" i="7"/>
  <c r="EJW64" i="7"/>
  <c r="EJX64" i="7"/>
  <c r="EJY64" i="7"/>
  <c r="EJZ64" i="7"/>
  <c r="EKA64" i="7"/>
  <c r="EKB64" i="7"/>
  <c r="EKC64" i="7"/>
  <c r="EKD64" i="7"/>
  <c r="EKE64" i="7"/>
  <c r="EKF64" i="7"/>
  <c r="EKG64" i="7"/>
  <c r="EKH64" i="7"/>
  <c r="EKI64" i="7"/>
  <c r="EKJ64" i="7"/>
  <c r="EKK64" i="7"/>
  <c r="EKL64" i="7"/>
  <c r="EKM64" i="7"/>
  <c r="EKN64" i="7"/>
  <c r="EKO64" i="7"/>
  <c r="EKP64" i="7"/>
  <c r="EKQ64" i="7"/>
  <c r="EKR64" i="7"/>
  <c r="EKS64" i="7"/>
  <c r="EKT64" i="7"/>
  <c r="EKU64" i="7"/>
  <c r="EKV64" i="7"/>
  <c r="EKW64" i="7"/>
  <c r="EKX64" i="7"/>
  <c r="EKY64" i="7"/>
  <c r="EKZ64" i="7"/>
  <c r="ELA64" i="7"/>
  <c r="ELB64" i="7"/>
  <c r="ELC64" i="7"/>
  <c r="ELD64" i="7"/>
  <c r="ELE64" i="7"/>
  <c r="ELF64" i="7"/>
  <c r="ELG64" i="7"/>
  <c r="ELH64" i="7"/>
  <c r="ELI64" i="7"/>
  <c r="ELJ64" i="7"/>
  <c r="ELK64" i="7"/>
  <c r="ELL64" i="7"/>
  <c r="ELM64" i="7"/>
  <c r="ELN64" i="7"/>
  <c r="ELO64" i="7"/>
  <c r="ELP64" i="7"/>
  <c r="ELQ64" i="7"/>
  <c r="ELR64" i="7"/>
  <c r="ELS64" i="7"/>
  <c r="ELT64" i="7"/>
  <c r="ELU64" i="7"/>
  <c r="ELV64" i="7"/>
  <c r="ELW64" i="7"/>
  <c r="ELX64" i="7"/>
  <c r="ELY64" i="7"/>
  <c r="ELZ64" i="7"/>
  <c r="EMA64" i="7"/>
  <c r="EMB64" i="7"/>
  <c r="EMC64" i="7"/>
  <c r="EMD64" i="7"/>
  <c r="EME64" i="7"/>
  <c r="EMF64" i="7"/>
  <c r="EMG64" i="7"/>
  <c r="EMH64" i="7"/>
  <c r="EMI64" i="7"/>
  <c r="EMJ64" i="7"/>
  <c r="EMK64" i="7"/>
  <c r="EML64" i="7"/>
  <c r="EMM64" i="7"/>
  <c r="EMN64" i="7"/>
  <c r="EMO64" i="7"/>
  <c r="EMP64" i="7"/>
  <c r="EMQ64" i="7"/>
  <c r="EMR64" i="7"/>
  <c r="EMS64" i="7"/>
  <c r="EMT64" i="7"/>
  <c r="EMU64" i="7"/>
  <c r="EMV64" i="7"/>
  <c r="EMW64" i="7"/>
  <c r="EMX64" i="7"/>
  <c r="EMY64" i="7"/>
  <c r="EMZ64" i="7"/>
  <c r="ENA64" i="7"/>
  <c r="ENB64" i="7"/>
  <c r="ENC64" i="7"/>
  <c r="END64" i="7"/>
  <c r="ENE64" i="7"/>
  <c r="ENF64" i="7"/>
  <c r="ENG64" i="7"/>
  <c r="ENH64" i="7"/>
  <c r="ENI64" i="7"/>
  <c r="ENJ64" i="7"/>
  <c r="ENK64" i="7"/>
  <c r="ENL64" i="7"/>
  <c r="ENM64" i="7"/>
  <c r="ENN64" i="7"/>
  <c r="ENO64" i="7"/>
  <c r="ENP64" i="7"/>
  <c r="ENQ64" i="7"/>
  <c r="ENR64" i="7"/>
  <c r="ENS64" i="7"/>
  <c r="ENT64" i="7"/>
  <c r="ENU64" i="7"/>
  <c r="ENV64" i="7"/>
  <c r="ENW64" i="7"/>
  <c r="ENX64" i="7"/>
  <c r="ENY64" i="7"/>
  <c r="ENZ64" i="7"/>
  <c r="EOA64" i="7"/>
  <c r="EOB64" i="7"/>
  <c r="EOC64" i="7"/>
  <c r="EOD64" i="7"/>
  <c r="EOE64" i="7"/>
  <c r="EOF64" i="7"/>
  <c r="EOG64" i="7"/>
  <c r="EOH64" i="7"/>
  <c r="EOI64" i="7"/>
  <c r="EOJ64" i="7"/>
  <c r="EOK64" i="7"/>
  <c r="EOL64" i="7"/>
  <c r="EOM64" i="7"/>
  <c r="EON64" i="7"/>
  <c r="EOO64" i="7"/>
  <c r="EOP64" i="7"/>
  <c r="EOQ64" i="7"/>
  <c r="EOR64" i="7"/>
  <c r="EOS64" i="7"/>
  <c r="EOT64" i="7"/>
  <c r="EOU64" i="7"/>
  <c r="EOV64" i="7"/>
  <c r="EOW64" i="7"/>
  <c r="EOX64" i="7"/>
  <c r="EOY64" i="7"/>
  <c r="EOZ64" i="7"/>
  <c r="EPA64" i="7"/>
  <c r="EPB64" i="7"/>
  <c r="EPC64" i="7"/>
  <c r="EPD64" i="7"/>
  <c r="EPE64" i="7"/>
  <c r="EPF64" i="7"/>
  <c r="EPG64" i="7"/>
  <c r="EPH64" i="7"/>
  <c r="EPI64" i="7"/>
  <c r="EPJ64" i="7"/>
  <c r="EPK64" i="7"/>
  <c r="EPL64" i="7"/>
  <c r="EPM64" i="7"/>
  <c r="EPN64" i="7"/>
  <c r="EPO64" i="7"/>
  <c r="EPP64" i="7"/>
  <c r="EPQ64" i="7"/>
  <c r="EPR64" i="7"/>
  <c r="EPS64" i="7"/>
  <c r="EPT64" i="7"/>
  <c r="EPU64" i="7"/>
  <c r="EPV64" i="7"/>
  <c r="EPW64" i="7"/>
  <c r="EPX64" i="7"/>
  <c r="EPY64" i="7"/>
  <c r="EPZ64" i="7"/>
  <c r="EQA64" i="7"/>
  <c r="EQB64" i="7"/>
  <c r="EQC64" i="7"/>
  <c r="EQD64" i="7"/>
  <c r="EQE64" i="7"/>
  <c r="EQF64" i="7"/>
  <c r="EQG64" i="7"/>
  <c r="EQH64" i="7"/>
  <c r="EQI64" i="7"/>
  <c r="EQJ64" i="7"/>
  <c r="EQK64" i="7"/>
  <c r="EQL64" i="7"/>
  <c r="EQM64" i="7"/>
  <c r="EQN64" i="7"/>
  <c r="EQO64" i="7"/>
  <c r="EQP64" i="7"/>
  <c r="EQQ64" i="7"/>
  <c r="EQR64" i="7"/>
  <c r="EQS64" i="7"/>
  <c r="EQT64" i="7"/>
  <c r="EQU64" i="7"/>
  <c r="EQV64" i="7"/>
  <c r="EQW64" i="7"/>
  <c r="EQX64" i="7"/>
  <c r="EQY64" i="7"/>
  <c r="EQZ64" i="7"/>
  <c r="ERA64" i="7"/>
  <c r="ERB64" i="7"/>
  <c r="ERC64" i="7"/>
  <c r="ERD64" i="7"/>
  <c r="ERE64" i="7"/>
  <c r="ERF64" i="7"/>
  <c r="ERG64" i="7"/>
  <c r="ERH64" i="7"/>
  <c r="ERI64" i="7"/>
  <c r="ERJ64" i="7"/>
  <c r="ERK64" i="7"/>
  <c r="ERL64" i="7"/>
  <c r="ERM64" i="7"/>
  <c r="ERN64" i="7"/>
  <c r="ERO64" i="7"/>
  <c r="ERP64" i="7"/>
  <c r="ERQ64" i="7"/>
  <c r="ERR64" i="7"/>
  <c r="ERS64" i="7"/>
  <c r="ERT64" i="7"/>
  <c r="ERU64" i="7"/>
  <c r="ERV64" i="7"/>
  <c r="ERW64" i="7"/>
  <c r="ERX64" i="7"/>
  <c r="ERY64" i="7"/>
  <c r="ERZ64" i="7"/>
  <c r="ESA64" i="7"/>
  <c r="ESB64" i="7"/>
  <c r="ESC64" i="7"/>
  <c r="ESD64" i="7"/>
  <c r="ESE64" i="7"/>
  <c r="ESF64" i="7"/>
  <c r="ESG64" i="7"/>
  <c r="ESH64" i="7"/>
  <c r="ESI64" i="7"/>
  <c r="ESJ64" i="7"/>
  <c r="ESK64" i="7"/>
  <c r="ESL64" i="7"/>
  <c r="ESM64" i="7"/>
  <c r="ESN64" i="7"/>
  <c r="ESO64" i="7"/>
  <c r="ESP64" i="7"/>
  <c r="ESQ64" i="7"/>
  <c r="ESR64" i="7"/>
  <c r="ESS64" i="7"/>
  <c r="EST64" i="7"/>
  <c r="ESU64" i="7"/>
  <c r="ESV64" i="7"/>
  <c r="ESW64" i="7"/>
  <c r="ESX64" i="7"/>
  <c r="ESY64" i="7"/>
  <c r="ESZ64" i="7"/>
  <c r="ETA64" i="7"/>
  <c r="ETB64" i="7"/>
  <c r="ETC64" i="7"/>
  <c r="ETD64" i="7"/>
  <c r="ETE64" i="7"/>
  <c r="ETF64" i="7"/>
  <c r="ETG64" i="7"/>
  <c r="ETH64" i="7"/>
  <c r="ETI64" i="7"/>
  <c r="ETJ64" i="7"/>
  <c r="ETK64" i="7"/>
  <c r="ETL64" i="7"/>
  <c r="ETM64" i="7"/>
  <c r="ETN64" i="7"/>
  <c r="ETO64" i="7"/>
  <c r="ETP64" i="7"/>
  <c r="ETQ64" i="7"/>
  <c r="ETR64" i="7"/>
  <c r="ETS64" i="7"/>
  <c r="ETT64" i="7"/>
  <c r="ETU64" i="7"/>
  <c r="ETV64" i="7"/>
  <c r="ETW64" i="7"/>
  <c r="ETX64" i="7"/>
  <c r="ETY64" i="7"/>
  <c r="ETZ64" i="7"/>
  <c r="EUA64" i="7"/>
  <c r="EUB64" i="7"/>
  <c r="EUC64" i="7"/>
  <c r="EUD64" i="7"/>
  <c r="EUE64" i="7"/>
  <c r="EUF64" i="7"/>
  <c r="EUG64" i="7"/>
  <c r="EUH64" i="7"/>
  <c r="EUI64" i="7"/>
  <c r="EUJ64" i="7"/>
  <c r="EUK64" i="7"/>
  <c r="EUL64" i="7"/>
  <c r="EUM64" i="7"/>
  <c r="EUN64" i="7"/>
  <c r="EUO64" i="7"/>
  <c r="EUP64" i="7"/>
  <c r="EUQ64" i="7"/>
  <c r="EUR64" i="7"/>
  <c r="EUS64" i="7"/>
  <c r="EUT64" i="7"/>
  <c r="EUU64" i="7"/>
  <c r="EUV64" i="7"/>
  <c r="EUW64" i="7"/>
  <c r="EUX64" i="7"/>
  <c r="EUY64" i="7"/>
  <c r="EUZ64" i="7"/>
  <c r="EVA64" i="7"/>
  <c r="EVB64" i="7"/>
  <c r="EVC64" i="7"/>
  <c r="EVD64" i="7"/>
  <c r="EVE64" i="7"/>
  <c r="EVF64" i="7"/>
  <c r="EVG64" i="7"/>
  <c r="EVH64" i="7"/>
  <c r="EVI64" i="7"/>
  <c r="EVJ64" i="7"/>
  <c r="EVK64" i="7"/>
  <c r="EVL64" i="7"/>
  <c r="EVM64" i="7"/>
  <c r="EVN64" i="7"/>
  <c r="EVO64" i="7"/>
  <c r="EVP64" i="7"/>
  <c r="EVQ64" i="7"/>
  <c r="EVR64" i="7"/>
  <c r="EVS64" i="7"/>
  <c r="EVT64" i="7"/>
  <c r="EVU64" i="7"/>
  <c r="EVV64" i="7"/>
  <c r="EVW64" i="7"/>
  <c r="EVX64" i="7"/>
  <c r="EVY64" i="7"/>
  <c r="EVZ64" i="7"/>
  <c r="EWA64" i="7"/>
  <c r="EWB64" i="7"/>
  <c r="EWC64" i="7"/>
  <c r="EWD64" i="7"/>
  <c r="EWE64" i="7"/>
  <c r="EWF64" i="7"/>
  <c r="EWG64" i="7"/>
  <c r="EWH64" i="7"/>
  <c r="EWI64" i="7"/>
  <c r="EWJ64" i="7"/>
  <c r="EWK64" i="7"/>
  <c r="EWL64" i="7"/>
  <c r="EWM64" i="7"/>
  <c r="EWN64" i="7"/>
  <c r="EWO64" i="7"/>
  <c r="EWP64" i="7"/>
  <c r="EWQ64" i="7"/>
  <c r="EWR64" i="7"/>
  <c r="EWS64" i="7"/>
  <c r="EWT64" i="7"/>
  <c r="EWU64" i="7"/>
  <c r="EWV64" i="7"/>
  <c r="EWW64" i="7"/>
  <c r="EWX64" i="7"/>
  <c r="EWY64" i="7"/>
  <c r="EWZ64" i="7"/>
  <c r="EXA64" i="7"/>
  <c r="EXB64" i="7"/>
  <c r="EXC64" i="7"/>
  <c r="EXD64" i="7"/>
  <c r="EXE64" i="7"/>
  <c r="EXF64" i="7"/>
  <c r="EXG64" i="7"/>
  <c r="EXH64" i="7"/>
  <c r="EXI64" i="7"/>
  <c r="EXJ64" i="7"/>
  <c r="EXK64" i="7"/>
  <c r="EXL64" i="7"/>
  <c r="EXM64" i="7"/>
  <c r="EXN64" i="7"/>
  <c r="EXO64" i="7"/>
  <c r="EXP64" i="7"/>
  <c r="EXQ64" i="7"/>
  <c r="EXR64" i="7"/>
  <c r="EXS64" i="7"/>
  <c r="EXT64" i="7"/>
  <c r="EXU64" i="7"/>
  <c r="EXV64" i="7"/>
  <c r="EXW64" i="7"/>
  <c r="EXX64" i="7"/>
  <c r="EXY64" i="7"/>
  <c r="EXZ64" i="7"/>
  <c r="EYA64" i="7"/>
  <c r="EYB64" i="7"/>
  <c r="EYC64" i="7"/>
  <c r="EYD64" i="7"/>
  <c r="EYE64" i="7"/>
  <c r="EYF64" i="7"/>
  <c r="EYG64" i="7"/>
  <c r="EYH64" i="7"/>
  <c r="EYI64" i="7"/>
  <c r="EYJ64" i="7"/>
  <c r="EYK64" i="7"/>
  <c r="EYL64" i="7"/>
  <c r="EYM64" i="7"/>
  <c r="EYN64" i="7"/>
  <c r="EYO64" i="7"/>
  <c r="EYP64" i="7"/>
  <c r="EYQ64" i="7"/>
  <c r="EYR64" i="7"/>
  <c r="EYS64" i="7"/>
  <c r="EYT64" i="7"/>
  <c r="EYU64" i="7"/>
  <c r="EYV64" i="7"/>
  <c r="EYW64" i="7"/>
  <c r="EYX64" i="7"/>
  <c r="EYY64" i="7"/>
  <c r="EYZ64" i="7"/>
  <c r="EZA64" i="7"/>
  <c r="EZB64" i="7"/>
  <c r="EZC64" i="7"/>
  <c r="EZD64" i="7"/>
  <c r="EZE64" i="7"/>
  <c r="EZF64" i="7"/>
  <c r="EZG64" i="7"/>
  <c r="EZH64" i="7"/>
  <c r="EZI64" i="7"/>
  <c r="EZJ64" i="7"/>
  <c r="EZK64" i="7"/>
  <c r="EZL64" i="7"/>
  <c r="EZM64" i="7"/>
  <c r="EZN64" i="7"/>
  <c r="EZO64" i="7"/>
  <c r="EZP64" i="7"/>
  <c r="EZQ64" i="7"/>
  <c r="EZR64" i="7"/>
  <c r="EZS64" i="7"/>
  <c r="EZT64" i="7"/>
  <c r="EZU64" i="7"/>
  <c r="EZV64" i="7"/>
  <c r="EZW64" i="7"/>
  <c r="EZX64" i="7"/>
  <c r="EZY64" i="7"/>
  <c r="EZZ64" i="7"/>
  <c r="FAA64" i="7"/>
  <c r="FAB64" i="7"/>
  <c r="FAC64" i="7"/>
  <c r="FAD64" i="7"/>
  <c r="FAE64" i="7"/>
  <c r="FAF64" i="7"/>
  <c r="FAG64" i="7"/>
  <c r="FAH64" i="7"/>
  <c r="FAI64" i="7"/>
  <c r="FAJ64" i="7"/>
  <c r="FAK64" i="7"/>
  <c r="FAL64" i="7"/>
  <c r="FAM64" i="7"/>
  <c r="FAN64" i="7"/>
  <c r="FAO64" i="7"/>
  <c r="FAP64" i="7"/>
  <c r="FAQ64" i="7"/>
  <c r="FAR64" i="7"/>
  <c r="FAS64" i="7"/>
  <c r="FAT64" i="7"/>
  <c r="FAU64" i="7"/>
  <c r="FAV64" i="7"/>
  <c r="FAW64" i="7"/>
  <c r="FAX64" i="7"/>
  <c r="FAY64" i="7"/>
  <c r="FAZ64" i="7"/>
  <c r="FBA64" i="7"/>
  <c r="FBB64" i="7"/>
  <c r="FBC64" i="7"/>
  <c r="FBD64" i="7"/>
  <c r="FBE64" i="7"/>
  <c r="FBF64" i="7"/>
  <c r="FBG64" i="7"/>
  <c r="FBH64" i="7"/>
  <c r="FBI64" i="7"/>
  <c r="FBJ64" i="7"/>
  <c r="FBK64" i="7"/>
  <c r="FBL64" i="7"/>
  <c r="FBM64" i="7"/>
  <c r="FBN64" i="7"/>
  <c r="FBO64" i="7"/>
  <c r="FBP64" i="7"/>
  <c r="FBQ64" i="7"/>
  <c r="FBR64" i="7"/>
  <c r="FBS64" i="7"/>
  <c r="FBT64" i="7"/>
  <c r="FBU64" i="7"/>
  <c r="FBV64" i="7"/>
  <c r="FBW64" i="7"/>
  <c r="FBX64" i="7"/>
  <c r="FBY64" i="7"/>
  <c r="FBZ64" i="7"/>
  <c r="FCA64" i="7"/>
  <c r="FCB64" i="7"/>
  <c r="FCC64" i="7"/>
  <c r="FCD64" i="7"/>
  <c r="FCE64" i="7"/>
  <c r="FCF64" i="7"/>
  <c r="FCG64" i="7"/>
  <c r="FCH64" i="7"/>
  <c r="FCI64" i="7"/>
  <c r="FCJ64" i="7"/>
  <c r="FCK64" i="7"/>
  <c r="FCL64" i="7"/>
  <c r="FCM64" i="7"/>
  <c r="FCN64" i="7"/>
  <c r="FCO64" i="7"/>
  <c r="FCP64" i="7"/>
  <c r="FCQ64" i="7"/>
  <c r="FCR64" i="7"/>
  <c r="FCS64" i="7"/>
  <c r="FCT64" i="7"/>
  <c r="FCU64" i="7"/>
  <c r="FCV64" i="7"/>
  <c r="FCW64" i="7"/>
  <c r="FCX64" i="7"/>
  <c r="FCY64" i="7"/>
  <c r="FCZ64" i="7"/>
  <c r="FDA64" i="7"/>
  <c r="FDB64" i="7"/>
  <c r="FDC64" i="7"/>
  <c r="FDD64" i="7"/>
  <c r="FDE64" i="7"/>
  <c r="FDF64" i="7"/>
  <c r="FDG64" i="7"/>
  <c r="FDH64" i="7"/>
  <c r="FDI64" i="7"/>
  <c r="FDJ64" i="7"/>
  <c r="FDK64" i="7"/>
  <c r="FDL64" i="7"/>
  <c r="FDM64" i="7"/>
  <c r="FDN64" i="7"/>
  <c r="FDO64" i="7"/>
  <c r="FDP64" i="7"/>
  <c r="FDQ64" i="7"/>
  <c r="FDR64" i="7"/>
  <c r="FDS64" i="7"/>
  <c r="FDT64" i="7"/>
  <c r="FDU64" i="7"/>
  <c r="FDV64" i="7"/>
  <c r="FDW64" i="7"/>
  <c r="FDX64" i="7"/>
  <c r="FDY64" i="7"/>
  <c r="FDZ64" i="7"/>
  <c r="FEA64" i="7"/>
  <c r="FEB64" i="7"/>
  <c r="FEC64" i="7"/>
  <c r="FED64" i="7"/>
  <c r="FEE64" i="7"/>
  <c r="FEF64" i="7"/>
  <c r="FEG64" i="7"/>
  <c r="FEH64" i="7"/>
  <c r="FEI64" i="7"/>
  <c r="FEJ64" i="7"/>
  <c r="FEK64" i="7"/>
  <c r="FEL64" i="7"/>
  <c r="FEM64" i="7"/>
  <c r="FEN64" i="7"/>
  <c r="FEO64" i="7"/>
  <c r="FEP64" i="7"/>
  <c r="FEQ64" i="7"/>
  <c r="FER64" i="7"/>
  <c r="FES64" i="7"/>
  <c r="FET64" i="7"/>
  <c r="FEU64" i="7"/>
  <c r="FEV64" i="7"/>
  <c r="FEW64" i="7"/>
  <c r="FEX64" i="7"/>
  <c r="FEY64" i="7"/>
  <c r="FEZ64" i="7"/>
  <c r="FFA64" i="7"/>
  <c r="FFB64" i="7"/>
  <c r="FFC64" i="7"/>
  <c r="FFD64" i="7"/>
  <c r="FFE64" i="7"/>
  <c r="FFF64" i="7"/>
  <c r="FFG64" i="7"/>
  <c r="FFH64" i="7"/>
  <c r="FFI64" i="7"/>
  <c r="FFJ64" i="7"/>
  <c r="FFK64" i="7"/>
  <c r="FFL64" i="7"/>
  <c r="FFM64" i="7"/>
  <c r="FFN64" i="7"/>
  <c r="FFO64" i="7"/>
  <c r="FFP64" i="7"/>
  <c r="FFQ64" i="7"/>
  <c r="FFR64" i="7"/>
  <c r="FFS64" i="7"/>
  <c r="FFT64" i="7"/>
  <c r="FFU64" i="7"/>
  <c r="FFV64" i="7"/>
  <c r="FFW64" i="7"/>
  <c r="FFX64" i="7"/>
  <c r="FFY64" i="7"/>
  <c r="FFZ64" i="7"/>
  <c r="FGA64" i="7"/>
  <c r="FGB64" i="7"/>
  <c r="FGC64" i="7"/>
  <c r="FGD64" i="7"/>
  <c r="FGE64" i="7"/>
  <c r="FGF64" i="7"/>
  <c r="FGG64" i="7"/>
  <c r="FGH64" i="7"/>
  <c r="FGI64" i="7"/>
  <c r="FGJ64" i="7"/>
  <c r="FGK64" i="7"/>
  <c r="FGL64" i="7"/>
  <c r="FGM64" i="7"/>
  <c r="FGN64" i="7"/>
  <c r="FGO64" i="7"/>
  <c r="FGP64" i="7"/>
  <c r="FGQ64" i="7"/>
  <c r="FGR64" i="7"/>
  <c r="FGS64" i="7"/>
  <c r="FGT64" i="7"/>
  <c r="FGU64" i="7"/>
  <c r="FGV64" i="7"/>
  <c r="FGW64" i="7"/>
  <c r="FGX64" i="7"/>
  <c r="FGY64" i="7"/>
  <c r="FGZ64" i="7"/>
  <c r="FHA64" i="7"/>
  <c r="FHB64" i="7"/>
  <c r="FHC64" i="7"/>
  <c r="FHD64" i="7"/>
  <c r="FHE64" i="7"/>
  <c r="FHF64" i="7"/>
  <c r="FHG64" i="7"/>
  <c r="FHH64" i="7"/>
  <c r="FHI64" i="7"/>
  <c r="FHJ64" i="7"/>
  <c r="FHK64" i="7"/>
  <c r="FHL64" i="7"/>
  <c r="FHM64" i="7"/>
  <c r="FHN64" i="7"/>
  <c r="FHO64" i="7"/>
  <c r="FHP64" i="7"/>
  <c r="FHQ64" i="7"/>
  <c r="FHR64" i="7"/>
  <c r="FHS64" i="7"/>
  <c r="FHT64" i="7"/>
  <c r="FHU64" i="7"/>
  <c r="FHV64" i="7"/>
  <c r="FHW64" i="7"/>
  <c r="FHX64" i="7"/>
  <c r="FHY64" i="7"/>
  <c r="FHZ64" i="7"/>
  <c r="FIA64" i="7"/>
  <c r="FIB64" i="7"/>
  <c r="FIC64" i="7"/>
  <c r="FID64" i="7"/>
  <c r="FIE64" i="7"/>
  <c r="FIF64" i="7"/>
  <c r="FIG64" i="7"/>
  <c r="FIH64" i="7"/>
  <c r="FII64" i="7"/>
  <c r="FIJ64" i="7"/>
  <c r="FIK64" i="7"/>
  <c r="FIL64" i="7"/>
  <c r="FIM64" i="7"/>
  <c r="FIN64" i="7"/>
  <c r="FIO64" i="7"/>
  <c r="FIP64" i="7"/>
  <c r="FIQ64" i="7"/>
  <c r="FIR64" i="7"/>
  <c r="FIS64" i="7"/>
  <c r="FIT64" i="7"/>
  <c r="FIU64" i="7"/>
  <c r="FIV64" i="7"/>
  <c r="FIW64" i="7"/>
  <c r="FIX64" i="7"/>
  <c r="FIY64" i="7"/>
  <c r="FIZ64" i="7"/>
  <c r="FJA64" i="7"/>
  <c r="FJB64" i="7"/>
  <c r="FJC64" i="7"/>
  <c r="FJD64" i="7"/>
  <c r="FJE64" i="7"/>
  <c r="FJF64" i="7"/>
  <c r="FJG64" i="7"/>
  <c r="FJH64" i="7"/>
  <c r="FJI64" i="7"/>
  <c r="FJJ64" i="7"/>
  <c r="FJK64" i="7"/>
  <c r="FJL64" i="7"/>
  <c r="FJM64" i="7"/>
  <c r="FJN64" i="7"/>
  <c r="FJO64" i="7"/>
  <c r="FJP64" i="7"/>
  <c r="FJQ64" i="7"/>
  <c r="FJR64" i="7"/>
  <c r="FJS64" i="7"/>
  <c r="FJT64" i="7"/>
  <c r="FJU64" i="7"/>
  <c r="FJV64" i="7"/>
  <c r="FJW64" i="7"/>
  <c r="FJX64" i="7"/>
  <c r="FJY64" i="7"/>
  <c r="FJZ64" i="7"/>
  <c r="FKA64" i="7"/>
  <c r="FKB64" i="7"/>
  <c r="FKC64" i="7"/>
  <c r="FKD64" i="7"/>
  <c r="FKE64" i="7"/>
  <c r="FKF64" i="7"/>
  <c r="FKG64" i="7"/>
  <c r="FKH64" i="7"/>
  <c r="FKI64" i="7"/>
  <c r="FKJ64" i="7"/>
  <c r="FKK64" i="7"/>
  <c r="FKL64" i="7"/>
  <c r="FKM64" i="7"/>
  <c r="FKN64" i="7"/>
  <c r="FKO64" i="7"/>
  <c r="FKP64" i="7"/>
  <c r="FKQ64" i="7"/>
  <c r="FKR64" i="7"/>
  <c r="FKS64" i="7"/>
  <c r="FKT64" i="7"/>
  <c r="FKU64" i="7"/>
  <c r="FKV64" i="7"/>
  <c r="FKW64" i="7"/>
  <c r="FKX64" i="7"/>
  <c r="FKY64" i="7"/>
  <c r="FKZ64" i="7"/>
  <c r="FLA64" i="7"/>
  <c r="FLB64" i="7"/>
  <c r="FLC64" i="7"/>
  <c r="FLD64" i="7"/>
  <c r="FLE64" i="7"/>
  <c r="FLF64" i="7"/>
  <c r="FLG64" i="7"/>
  <c r="FLH64" i="7"/>
  <c r="FLI64" i="7"/>
  <c r="FLJ64" i="7"/>
  <c r="FLK64" i="7"/>
  <c r="FLL64" i="7"/>
  <c r="FLM64" i="7"/>
  <c r="FLN64" i="7"/>
  <c r="FLO64" i="7"/>
  <c r="FLP64" i="7"/>
  <c r="FLQ64" i="7"/>
  <c r="FLR64" i="7"/>
  <c r="FLS64" i="7"/>
  <c r="FLT64" i="7"/>
  <c r="FLU64" i="7"/>
  <c r="FLV64" i="7"/>
  <c r="FLW64" i="7"/>
  <c r="FLX64" i="7"/>
  <c r="FLY64" i="7"/>
  <c r="FLZ64" i="7"/>
  <c r="FMA64" i="7"/>
  <c r="FMB64" i="7"/>
  <c r="FMC64" i="7"/>
  <c r="FMD64" i="7"/>
  <c r="FME64" i="7"/>
  <c r="FMF64" i="7"/>
  <c r="FMG64" i="7"/>
  <c r="FMH64" i="7"/>
  <c r="FMI64" i="7"/>
  <c r="FMJ64" i="7"/>
  <c r="FMK64" i="7"/>
  <c r="FML64" i="7"/>
  <c r="FMM64" i="7"/>
  <c r="FMN64" i="7"/>
  <c r="FMO64" i="7"/>
  <c r="FMP64" i="7"/>
  <c r="FMQ64" i="7"/>
  <c r="FMR64" i="7"/>
  <c r="FMS64" i="7"/>
  <c r="FMT64" i="7"/>
  <c r="FMU64" i="7"/>
  <c r="FMV64" i="7"/>
  <c r="FMW64" i="7"/>
  <c r="FMX64" i="7"/>
  <c r="FMY64" i="7"/>
  <c r="FMZ64" i="7"/>
  <c r="FNA64" i="7"/>
  <c r="FNB64" i="7"/>
  <c r="FNC64" i="7"/>
  <c r="FND64" i="7"/>
  <c r="FNE64" i="7"/>
  <c r="FNF64" i="7"/>
  <c r="FNG64" i="7"/>
  <c r="FNH64" i="7"/>
  <c r="FNI64" i="7"/>
  <c r="FNJ64" i="7"/>
  <c r="FNK64" i="7"/>
  <c r="FNL64" i="7"/>
  <c r="FNM64" i="7"/>
  <c r="FNN64" i="7"/>
  <c r="FNO64" i="7"/>
  <c r="FNP64" i="7"/>
  <c r="FNQ64" i="7"/>
  <c r="FNR64" i="7"/>
  <c r="FNS64" i="7"/>
  <c r="FNT64" i="7"/>
  <c r="FNU64" i="7"/>
  <c r="FNV64" i="7"/>
  <c r="FNW64" i="7"/>
  <c r="FNX64" i="7"/>
  <c r="FNY64" i="7"/>
  <c r="FNZ64" i="7"/>
  <c r="FOA64" i="7"/>
  <c r="FOB64" i="7"/>
  <c r="FOC64" i="7"/>
  <c r="FOD64" i="7"/>
  <c r="FOE64" i="7"/>
  <c r="FOF64" i="7"/>
  <c r="FOG64" i="7"/>
  <c r="FOH64" i="7"/>
  <c r="FOI64" i="7"/>
  <c r="FOJ64" i="7"/>
  <c r="FOK64" i="7"/>
  <c r="FOL64" i="7"/>
  <c r="FOM64" i="7"/>
  <c r="FON64" i="7"/>
  <c r="FOO64" i="7"/>
  <c r="FOP64" i="7"/>
  <c r="FOQ64" i="7"/>
  <c r="FOR64" i="7"/>
  <c r="FOS64" i="7"/>
  <c r="FOT64" i="7"/>
  <c r="FOU64" i="7"/>
  <c r="FOV64" i="7"/>
  <c r="FOW64" i="7"/>
  <c r="FOX64" i="7"/>
  <c r="FOY64" i="7"/>
  <c r="FOZ64" i="7"/>
  <c r="FPA64" i="7"/>
  <c r="FPB64" i="7"/>
  <c r="FPC64" i="7"/>
  <c r="FPD64" i="7"/>
  <c r="FPE64" i="7"/>
  <c r="FPF64" i="7"/>
  <c r="FPG64" i="7"/>
  <c r="FPH64" i="7"/>
  <c r="FPI64" i="7"/>
  <c r="FPJ64" i="7"/>
  <c r="FPK64" i="7"/>
  <c r="FPL64" i="7"/>
  <c r="FPM64" i="7"/>
  <c r="FPN64" i="7"/>
  <c r="FPO64" i="7"/>
  <c r="FPP64" i="7"/>
  <c r="FPQ64" i="7"/>
  <c r="FPR64" i="7"/>
  <c r="FPS64" i="7"/>
  <c r="FPT64" i="7"/>
  <c r="FPU64" i="7"/>
  <c r="FPV64" i="7"/>
  <c r="FPW64" i="7"/>
  <c r="FPX64" i="7"/>
  <c r="FPY64" i="7"/>
  <c r="FPZ64" i="7"/>
  <c r="FQA64" i="7"/>
  <c r="FQB64" i="7"/>
  <c r="FQC64" i="7"/>
  <c r="FQD64" i="7"/>
  <c r="FQE64" i="7"/>
  <c r="FQF64" i="7"/>
  <c r="FQG64" i="7"/>
  <c r="FQH64" i="7"/>
  <c r="FQI64" i="7"/>
  <c r="FQJ64" i="7"/>
  <c r="FQK64" i="7"/>
  <c r="FQL64" i="7"/>
  <c r="FQM64" i="7"/>
  <c r="FQN64" i="7"/>
  <c r="FQO64" i="7"/>
  <c r="FQP64" i="7"/>
  <c r="FQQ64" i="7"/>
  <c r="FQR64" i="7"/>
  <c r="FQS64" i="7"/>
  <c r="FQT64" i="7"/>
  <c r="FQU64" i="7"/>
  <c r="FQV64" i="7"/>
  <c r="FQW64" i="7"/>
  <c r="FQX64" i="7"/>
  <c r="FQY64" i="7"/>
  <c r="FQZ64" i="7"/>
  <c r="FRA64" i="7"/>
  <c r="FRB64" i="7"/>
  <c r="FRC64" i="7"/>
  <c r="FRD64" i="7"/>
  <c r="FRE64" i="7"/>
  <c r="FRF64" i="7"/>
  <c r="FRG64" i="7"/>
  <c r="FRH64" i="7"/>
  <c r="FRI64" i="7"/>
  <c r="FRJ64" i="7"/>
  <c r="FRK64" i="7"/>
  <c r="FRL64" i="7"/>
  <c r="FRM64" i="7"/>
  <c r="FRN64" i="7"/>
  <c r="FRO64" i="7"/>
  <c r="FRP64" i="7"/>
  <c r="FRQ64" i="7"/>
  <c r="FRR64" i="7"/>
  <c r="FRS64" i="7"/>
  <c r="FRT64" i="7"/>
  <c r="FRU64" i="7"/>
  <c r="FRV64" i="7"/>
  <c r="FRW64" i="7"/>
  <c r="FRX64" i="7"/>
  <c r="FRY64" i="7"/>
  <c r="FRZ64" i="7"/>
  <c r="FSA64" i="7"/>
  <c r="FSB64" i="7"/>
  <c r="FSC64" i="7"/>
  <c r="FSD64" i="7"/>
  <c r="FSE64" i="7"/>
  <c r="FSF64" i="7"/>
  <c r="FSG64" i="7"/>
  <c r="FSH64" i="7"/>
  <c r="FSI64" i="7"/>
  <c r="FSJ64" i="7"/>
  <c r="FSK64" i="7"/>
  <c r="FSL64" i="7"/>
  <c r="FSM64" i="7"/>
  <c r="FSN64" i="7"/>
  <c r="FSO64" i="7"/>
  <c r="FSP64" i="7"/>
  <c r="FSQ64" i="7"/>
  <c r="FSR64" i="7"/>
  <c r="FSS64" i="7"/>
  <c r="FST64" i="7"/>
  <c r="FSU64" i="7"/>
  <c r="FSV64" i="7"/>
  <c r="FSW64" i="7"/>
  <c r="FSX64" i="7"/>
  <c r="FSY64" i="7"/>
  <c r="FSZ64" i="7"/>
  <c r="FTA64" i="7"/>
  <c r="FTB64" i="7"/>
  <c r="FTC64" i="7"/>
  <c r="FTD64" i="7"/>
  <c r="FTE64" i="7"/>
  <c r="FTF64" i="7"/>
  <c r="FTG64" i="7"/>
  <c r="FTH64" i="7"/>
  <c r="FTI64" i="7"/>
  <c r="FTJ64" i="7"/>
  <c r="FTK64" i="7"/>
  <c r="FTL64" i="7"/>
  <c r="FTM64" i="7"/>
  <c r="FTN64" i="7"/>
  <c r="FTO64" i="7"/>
  <c r="FTP64" i="7"/>
  <c r="FTQ64" i="7"/>
  <c r="FTR64" i="7"/>
  <c r="FTS64" i="7"/>
  <c r="FTT64" i="7"/>
  <c r="FTU64" i="7"/>
  <c r="FTV64" i="7"/>
  <c r="FTW64" i="7"/>
  <c r="FTX64" i="7"/>
  <c r="FTY64" i="7"/>
  <c r="FTZ64" i="7"/>
  <c r="FUA64" i="7"/>
  <c r="FUB64" i="7"/>
  <c r="FUC64" i="7"/>
  <c r="FUD64" i="7"/>
  <c r="FUE64" i="7"/>
  <c r="FUF64" i="7"/>
  <c r="FUG64" i="7"/>
  <c r="FUH64" i="7"/>
  <c r="FUI64" i="7"/>
  <c r="FUJ64" i="7"/>
  <c r="FUK64" i="7"/>
  <c r="FUL64" i="7"/>
  <c r="FUM64" i="7"/>
  <c r="FUN64" i="7"/>
  <c r="FUO64" i="7"/>
  <c r="FUP64" i="7"/>
  <c r="FUQ64" i="7"/>
  <c r="FUR64" i="7"/>
  <c r="FUS64" i="7"/>
  <c r="FUT64" i="7"/>
  <c r="FUU64" i="7"/>
  <c r="FUV64" i="7"/>
  <c r="FUW64" i="7"/>
  <c r="FUX64" i="7"/>
  <c r="FUY64" i="7"/>
  <c r="FUZ64" i="7"/>
  <c r="FVA64" i="7"/>
  <c r="FVB64" i="7"/>
  <c r="FVC64" i="7"/>
  <c r="FVD64" i="7"/>
  <c r="FVE64" i="7"/>
  <c r="FVF64" i="7"/>
  <c r="FVG64" i="7"/>
  <c r="FVH64" i="7"/>
  <c r="FVI64" i="7"/>
  <c r="FVJ64" i="7"/>
  <c r="FVK64" i="7"/>
  <c r="FVL64" i="7"/>
  <c r="FVM64" i="7"/>
  <c r="FVN64" i="7"/>
  <c r="FVO64" i="7"/>
  <c r="FVP64" i="7"/>
  <c r="FVQ64" i="7"/>
  <c r="FVR64" i="7"/>
  <c r="FVS64" i="7"/>
  <c r="FVT64" i="7"/>
  <c r="FVU64" i="7"/>
  <c r="FVV64" i="7"/>
  <c r="FVW64" i="7"/>
  <c r="FVX64" i="7"/>
  <c r="FVY64" i="7"/>
  <c r="FVZ64" i="7"/>
  <c r="FWA64" i="7"/>
  <c r="FWB64" i="7"/>
  <c r="FWC64" i="7"/>
  <c r="FWD64" i="7"/>
  <c r="FWE64" i="7"/>
  <c r="FWF64" i="7"/>
  <c r="FWG64" i="7"/>
  <c r="FWH64" i="7"/>
  <c r="FWI64" i="7"/>
  <c r="FWJ64" i="7"/>
  <c r="FWK64" i="7"/>
  <c r="FWL64" i="7"/>
  <c r="FWM64" i="7"/>
  <c r="FWN64" i="7"/>
  <c r="FWO64" i="7"/>
  <c r="FWP64" i="7"/>
  <c r="FWQ64" i="7"/>
  <c r="FWR64" i="7"/>
  <c r="FWS64" i="7"/>
  <c r="FWT64" i="7"/>
  <c r="FWU64" i="7"/>
  <c r="FWV64" i="7"/>
  <c r="FWW64" i="7"/>
  <c r="FWX64" i="7"/>
  <c r="FWY64" i="7"/>
  <c r="FWZ64" i="7"/>
  <c r="FXA64" i="7"/>
  <c r="FXB64" i="7"/>
  <c r="FXC64" i="7"/>
  <c r="FXD64" i="7"/>
  <c r="FXE64" i="7"/>
  <c r="FXF64" i="7"/>
  <c r="FXG64" i="7"/>
  <c r="FXH64" i="7"/>
  <c r="FXI64" i="7"/>
  <c r="FXJ64" i="7"/>
  <c r="FXK64" i="7"/>
  <c r="FXL64" i="7"/>
  <c r="FXM64" i="7"/>
  <c r="FXN64" i="7"/>
  <c r="FXO64" i="7"/>
  <c r="FXP64" i="7"/>
  <c r="FXQ64" i="7"/>
  <c r="FXR64" i="7"/>
  <c r="FXS64" i="7"/>
  <c r="FXT64" i="7"/>
  <c r="FXU64" i="7"/>
  <c r="FXV64" i="7"/>
  <c r="FXW64" i="7"/>
  <c r="FXX64" i="7"/>
  <c r="FXY64" i="7"/>
  <c r="FXZ64" i="7"/>
  <c r="FYA64" i="7"/>
  <c r="FYB64" i="7"/>
  <c r="FYC64" i="7"/>
  <c r="FYD64" i="7"/>
  <c r="FYE64" i="7"/>
  <c r="FYF64" i="7"/>
  <c r="FYG64" i="7"/>
  <c r="FYH64" i="7"/>
  <c r="FYI64" i="7"/>
  <c r="FYJ64" i="7"/>
  <c r="FYK64" i="7"/>
  <c r="FYL64" i="7"/>
  <c r="FYM64" i="7"/>
  <c r="FYN64" i="7"/>
  <c r="FYO64" i="7"/>
  <c r="FYP64" i="7"/>
  <c r="FYQ64" i="7"/>
  <c r="FYR64" i="7"/>
  <c r="FYS64" i="7"/>
  <c r="FYT64" i="7"/>
  <c r="FYU64" i="7"/>
  <c r="FYV64" i="7"/>
  <c r="FYW64" i="7"/>
  <c r="FYX64" i="7"/>
  <c r="FYY64" i="7"/>
  <c r="FYZ64" i="7"/>
  <c r="FZA64" i="7"/>
  <c r="FZB64" i="7"/>
  <c r="FZC64" i="7"/>
  <c r="FZD64" i="7"/>
  <c r="FZE64" i="7"/>
  <c r="FZF64" i="7"/>
  <c r="FZG64" i="7"/>
  <c r="FZH64" i="7"/>
  <c r="FZI64" i="7"/>
  <c r="FZJ64" i="7"/>
  <c r="FZK64" i="7"/>
  <c r="FZL64" i="7"/>
  <c r="FZM64" i="7"/>
  <c r="FZN64" i="7"/>
  <c r="FZO64" i="7"/>
  <c r="FZP64" i="7"/>
  <c r="FZQ64" i="7"/>
  <c r="FZR64" i="7"/>
  <c r="FZS64" i="7"/>
  <c r="FZT64" i="7"/>
  <c r="FZU64" i="7"/>
  <c r="FZV64" i="7"/>
  <c r="FZW64" i="7"/>
  <c r="FZX64" i="7"/>
  <c r="FZY64" i="7"/>
  <c r="FZZ64" i="7"/>
  <c r="GAA64" i="7"/>
  <c r="GAB64" i="7"/>
  <c r="GAC64" i="7"/>
  <c r="GAD64" i="7"/>
  <c r="GAE64" i="7"/>
  <c r="GAF64" i="7"/>
  <c r="GAG64" i="7"/>
  <c r="GAH64" i="7"/>
  <c r="GAI64" i="7"/>
  <c r="GAJ64" i="7"/>
  <c r="GAK64" i="7"/>
  <c r="GAL64" i="7"/>
  <c r="GAM64" i="7"/>
  <c r="GAN64" i="7"/>
  <c r="GAO64" i="7"/>
  <c r="GAP64" i="7"/>
  <c r="GAQ64" i="7"/>
  <c r="GAR64" i="7"/>
  <c r="GAS64" i="7"/>
  <c r="GAT64" i="7"/>
  <c r="GAU64" i="7"/>
  <c r="GAV64" i="7"/>
  <c r="GAW64" i="7"/>
  <c r="GAX64" i="7"/>
  <c r="GAY64" i="7"/>
  <c r="GAZ64" i="7"/>
  <c r="GBA64" i="7"/>
  <c r="GBB64" i="7"/>
  <c r="GBC64" i="7"/>
  <c r="GBD64" i="7"/>
  <c r="GBE64" i="7"/>
  <c r="GBF64" i="7"/>
  <c r="GBG64" i="7"/>
  <c r="GBH64" i="7"/>
  <c r="GBI64" i="7"/>
  <c r="GBJ64" i="7"/>
  <c r="GBK64" i="7"/>
  <c r="GBL64" i="7"/>
  <c r="GBM64" i="7"/>
  <c r="GBN64" i="7"/>
  <c r="GBO64" i="7"/>
  <c r="GBP64" i="7"/>
  <c r="GBQ64" i="7"/>
  <c r="GBR64" i="7"/>
  <c r="GBS64" i="7"/>
  <c r="GBT64" i="7"/>
  <c r="GBU64" i="7"/>
  <c r="GBV64" i="7"/>
  <c r="GBW64" i="7"/>
  <c r="GBX64" i="7"/>
  <c r="GBY64" i="7"/>
  <c r="GBZ64" i="7"/>
  <c r="GCA64" i="7"/>
  <c r="GCB64" i="7"/>
  <c r="GCC64" i="7"/>
  <c r="GCD64" i="7"/>
  <c r="GCE64" i="7"/>
  <c r="GCF64" i="7"/>
  <c r="GCG64" i="7"/>
  <c r="GCH64" i="7"/>
  <c r="GCI64" i="7"/>
  <c r="GCJ64" i="7"/>
  <c r="GCK64" i="7"/>
  <c r="GCL64" i="7"/>
  <c r="GCM64" i="7"/>
  <c r="GCN64" i="7"/>
  <c r="GCO64" i="7"/>
  <c r="GCP64" i="7"/>
  <c r="GCQ64" i="7"/>
  <c r="GCR64" i="7"/>
  <c r="GCS64" i="7"/>
  <c r="GCT64" i="7"/>
  <c r="GCU64" i="7"/>
  <c r="GCV64" i="7"/>
  <c r="GCW64" i="7"/>
  <c r="GCX64" i="7"/>
  <c r="GCY64" i="7"/>
  <c r="GCZ64" i="7"/>
  <c r="GDA64" i="7"/>
  <c r="GDB64" i="7"/>
  <c r="GDC64" i="7"/>
  <c r="GDD64" i="7"/>
  <c r="GDE64" i="7"/>
  <c r="GDF64" i="7"/>
  <c r="GDG64" i="7"/>
  <c r="GDH64" i="7"/>
  <c r="GDI64" i="7"/>
  <c r="GDJ64" i="7"/>
  <c r="GDK64" i="7"/>
  <c r="GDL64" i="7"/>
  <c r="GDM64" i="7"/>
  <c r="GDN64" i="7"/>
  <c r="GDO64" i="7"/>
  <c r="GDP64" i="7"/>
  <c r="GDQ64" i="7"/>
  <c r="GDR64" i="7"/>
  <c r="GDS64" i="7"/>
  <c r="GDT64" i="7"/>
  <c r="GDU64" i="7"/>
  <c r="GDV64" i="7"/>
  <c r="GDW64" i="7"/>
  <c r="GDX64" i="7"/>
  <c r="GDY64" i="7"/>
  <c r="GDZ64" i="7"/>
  <c r="GEA64" i="7"/>
  <c r="GEB64" i="7"/>
  <c r="GEC64" i="7"/>
  <c r="GED64" i="7"/>
  <c r="GEE64" i="7"/>
  <c r="GEF64" i="7"/>
  <c r="GEG64" i="7"/>
  <c r="GEH64" i="7"/>
  <c r="GEI64" i="7"/>
  <c r="GEJ64" i="7"/>
  <c r="GEK64" i="7"/>
  <c r="GEL64" i="7"/>
  <c r="GEM64" i="7"/>
  <c r="GEN64" i="7"/>
  <c r="GEO64" i="7"/>
  <c r="GEP64" i="7"/>
  <c r="GEQ64" i="7"/>
  <c r="GER64" i="7"/>
  <c r="GES64" i="7"/>
  <c r="GET64" i="7"/>
  <c r="GEU64" i="7"/>
  <c r="GEV64" i="7"/>
  <c r="GEW64" i="7"/>
  <c r="GEX64" i="7"/>
  <c r="GEY64" i="7"/>
  <c r="GEZ64" i="7"/>
  <c r="GFA64" i="7"/>
  <c r="GFB64" i="7"/>
  <c r="GFC64" i="7"/>
  <c r="GFD64" i="7"/>
  <c r="GFE64" i="7"/>
  <c r="GFF64" i="7"/>
  <c r="GFG64" i="7"/>
  <c r="GFH64" i="7"/>
  <c r="GFI64" i="7"/>
  <c r="GFJ64" i="7"/>
  <c r="GFK64" i="7"/>
  <c r="GFL64" i="7"/>
  <c r="GFM64" i="7"/>
  <c r="GFN64" i="7"/>
  <c r="GFO64" i="7"/>
  <c r="GFP64" i="7"/>
  <c r="GFQ64" i="7"/>
  <c r="GFR64" i="7"/>
  <c r="GFS64" i="7"/>
  <c r="GFT64" i="7"/>
  <c r="GFU64" i="7"/>
  <c r="GFV64" i="7"/>
  <c r="GFW64" i="7"/>
  <c r="GFX64" i="7"/>
  <c r="GFY64" i="7"/>
  <c r="GFZ64" i="7"/>
  <c r="GGA64" i="7"/>
  <c r="GGB64" i="7"/>
  <c r="GGC64" i="7"/>
  <c r="GGD64" i="7"/>
  <c r="GGE64" i="7"/>
  <c r="GGF64" i="7"/>
  <c r="GGG64" i="7"/>
  <c r="GGH64" i="7"/>
  <c r="GGI64" i="7"/>
  <c r="GGJ64" i="7"/>
  <c r="GGK64" i="7"/>
  <c r="GGL64" i="7"/>
  <c r="GGM64" i="7"/>
  <c r="GGN64" i="7"/>
  <c r="GGO64" i="7"/>
  <c r="GGP64" i="7"/>
  <c r="GGQ64" i="7"/>
  <c r="GGR64" i="7"/>
  <c r="GGS64" i="7"/>
  <c r="GGT64" i="7"/>
  <c r="GGU64" i="7"/>
  <c r="GGV64" i="7"/>
  <c r="GGW64" i="7"/>
  <c r="GGX64" i="7"/>
  <c r="GGY64" i="7"/>
  <c r="GGZ64" i="7"/>
  <c r="GHA64" i="7"/>
  <c r="GHB64" i="7"/>
  <c r="GHC64" i="7"/>
  <c r="GHD64" i="7"/>
  <c r="GHE64" i="7"/>
  <c r="GHF64" i="7"/>
  <c r="GHG64" i="7"/>
  <c r="GHH64" i="7"/>
  <c r="GHI64" i="7"/>
  <c r="GHJ64" i="7"/>
  <c r="GHK64" i="7"/>
  <c r="GHL64" i="7"/>
  <c r="GHM64" i="7"/>
  <c r="GHN64" i="7"/>
  <c r="GHO64" i="7"/>
  <c r="GHP64" i="7"/>
  <c r="GHQ64" i="7"/>
  <c r="GHR64" i="7"/>
  <c r="GHS64" i="7"/>
  <c r="GHT64" i="7"/>
  <c r="GHU64" i="7"/>
  <c r="GHV64" i="7"/>
  <c r="GHW64" i="7"/>
  <c r="GHX64" i="7"/>
  <c r="GHY64" i="7"/>
  <c r="GHZ64" i="7"/>
  <c r="GIA64" i="7"/>
  <c r="GIB64" i="7"/>
  <c r="GIC64" i="7"/>
  <c r="GID64" i="7"/>
  <c r="GIE64" i="7"/>
  <c r="GIF64" i="7"/>
  <c r="GIG64" i="7"/>
  <c r="GIH64" i="7"/>
  <c r="GII64" i="7"/>
  <c r="GIJ64" i="7"/>
  <c r="GIK64" i="7"/>
  <c r="GIL64" i="7"/>
  <c r="GIM64" i="7"/>
  <c r="GIN64" i="7"/>
  <c r="GIO64" i="7"/>
  <c r="GIP64" i="7"/>
  <c r="GIQ64" i="7"/>
  <c r="GIR64" i="7"/>
  <c r="GIS64" i="7"/>
  <c r="GIT64" i="7"/>
  <c r="GIU64" i="7"/>
  <c r="GIV64" i="7"/>
  <c r="GIW64" i="7"/>
  <c r="GIX64" i="7"/>
  <c r="GIY64" i="7"/>
  <c r="GIZ64" i="7"/>
  <c r="GJA64" i="7"/>
  <c r="GJB64" i="7"/>
  <c r="GJC64" i="7"/>
  <c r="GJD64" i="7"/>
  <c r="GJE64" i="7"/>
  <c r="GJF64" i="7"/>
  <c r="GJG64" i="7"/>
  <c r="GJH64" i="7"/>
  <c r="GJI64" i="7"/>
  <c r="GJJ64" i="7"/>
  <c r="GJK64" i="7"/>
  <c r="GJL64" i="7"/>
  <c r="GJM64" i="7"/>
  <c r="GJN64" i="7"/>
  <c r="GJO64" i="7"/>
  <c r="GJP64" i="7"/>
  <c r="GJQ64" i="7"/>
  <c r="GJR64" i="7"/>
  <c r="GJS64" i="7"/>
  <c r="GJT64" i="7"/>
  <c r="GJU64" i="7"/>
  <c r="GJV64" i="7"/>
  <c r="GJW64" i="7"/>
  <c r="GJX64" i="7"/>
  <c r="GJY64" i="7"/>
  <c r="GJZ64" i="7"/>
  <c r="GKA64" i="7"/>
  <c r="GKB64" i="7"/>
  <c r="GKC64" i="7"/>
  <c r="GKD64" i="7"/>
  <c r="GKE64" i="7"/>
  <c r="GKF64" i="7"/>
  <c r="GKG64" i="7"/>
  <c r="GKH64" i="7"/>
  <c r="GKI64" i="7"/>
  <c r="GKJ64" i="7"/>
  <c r="GKK64" i="7"/>
  <c r="GKL64" i="7"/>
  <c r="GKM64" i="7"/>
  <c r="GKN64" i="7"/>
  <c r="GKO64" i="7"/>
  <c r="GKP64" i="7"/>
  <c r="GKQ64" i="7"/>
  <c r="GKR64" i="7"/>
  <c r="GKS64" i="7"/>
  <c r="GKT64" i="7"/>
  <c r="GKU64" i="7"/>
  <c r="GKV64" i="7"/>
  <c r="GKW64" i="7"/>
  <c r="GKX64" i="7"/>
  <c r="GKY64" i="7"/>
  <c r="GKZ64" i="7"/>
  <c r="GLA64" i="7"/>
  <c r="GLB64" i="7"/>
  <c r="GLC64" i="7"/>
  <c r="GLD64" i="7"/>
  <c r="GLE64" i="7"/>
  <c r="GLF64" i="7"/>
  <c r="GLG64" i="7"/>
  <c r="GLH64" i="7"/>
  <c r="GLI64" i="7"/>
  <c r="GLJ64" i="7"/>
  <c r="GLK64" i="7"/>
  <c r="GLL64" i="7"/>
  <c r="GLM64" i="7"/>
  <c r="GLN64" i="7"/>
  <c r="GLO64" i="7"/>
  <c r="GLP64" i="7"/>
  <c r="GLQ64" i="7"/>
  <c r="GLR64" i="7"/>
  <c r="GLS64" i="7"/>
  <c r="GLT64" i="7"/>
  <c r="GLU64" i="7"/>
  <c r="GLV64" i="7"/>
  <c r="GLW64" i="7"/>
  <c r="GLX64" i="7"/>
  <c r="GLY64" i="7"/>
  <c r="GLZ64" i="7"/>
  <c r="GMA64" i="7"/>
  <c r="GMB64" i="7"/>
  <c r="GMC64" i="7"/>
  <c r="GMD64" i="7"/>
  <c r="GME64" i="7"/>
  <c r="GMF64" i="7"/>
  <c r="GMG64" i="7"/>
  <c r="GMH64" i="7"/>
  <c r="GMI64" i="7"/>
  <c r="GMJ64" i="7"/>
  <c r="GMK64" i="7"/>
  <c r="GML64" i="7"/>
  <c r="GMM64" i="7"/>
  <c r="GMN64" i="7"/>
  <c r="GMO64" i="7"/>
  <c r="GMP64" i="7"/>
  <c r="GMQ64" i="7"/>
  <c r="GMR64" i="7"/>
  <c r="GMS64" i="7"/>
  <c r="GMT64" i="7"/>
  <c r="GMU64" i="7"/>
  <c r="GMV64" i="7"/>
  <c r="GMW64" i="7"/>
  <c r="GMX64" i="7"/>
  <c r="GMY64" i="7"/>
  <c r="GMZ64" i="7"/>
  <c r="GNA64" i="7"/>
  <c r="GNB64" i="7"/>
  <c r="GNC64" i="7"/>
  <c r="GND64" i="7"/>
  <c r="GNE64" i="7"/>
  <c r="GNF64" i="7"/>
  <c r="GNG64" i="7"/>
  <c r="GNH64" i="7"/>
  <c r="GNI64" i="7"/>
  <c r="GNJ64" i="7"/>
  <c r="GNK64" i="7"/>
  <c r="GNL64" i="7"/>
  <c r="GNM64" i="7"/>
  <c r="GNN64" i="7"/>
  <c r="GNO64" i="7"/>
  <c r="GNP64" i="7"/>
  <c r="GNQ64" i="7"/>
  <c r="GNR64" i="7"/>
  <c r="GNS64" i="7"/>
  <c r="GNT64" i="7"/>
  <c r="GNU64" i="7"/>
  <c r="GNV64" i="7"/>
  <c r="GNW64" i="7"/>
  <c r="GNX64" i="7"/>
  <c r="GNY64" i="7"/>
  <c r="GNZ64" i="7"/>
  <c r="GOA64" i="7"/>
  <c r="GOB64" i="7"/>
  <c r="GOC64" i="7"/>
  <c r="GOD64" i="7"/>
  <c r="GOE64" i="7"/>
  <c r="GOF64" i="7"/>
  <c r="GOG64" i="7"/>
  <c r="GOH64" i="7"/>
  <c r="GOI64" i="7"/>
  <c r="GOJ64" i="7"/>
  <c r="GOK64" i="7"/>
  <c r="GOL64" i="7"/>
  <c r="GOM64" i="7"/>
  <c r="GON64" i="7"/>
  <c r="GOO64" i="7"/>
  <c r="GOP64" i="7"/>
  <c r="GOQ64" i="7"/>
  <c r="GOR64" i="7"/>
  <c r="GOS64" i="7"/>
  <c r="GOT64" i="7"/>
  <c r="GOU64" i="7"/>
  <c r="GOV64" i="7"/>
  <c r="GOW64" i="7"/>
  <c r="GOX64" i="7"/>
  <c r="GOY64" i="7"/>
  <c r="GOZ64" i="7"/>
  <c r="GPA64" i="7"/>
  <c r="GPB64" i="7"/>
  <c r="GPC64" i="7"/>
  <c r="GPD64" i="7"/>
  <c r="GPE64" i="7"/>
  <c r="GPF64" i="7"/>
  <c r="GPG64" i="7"/>
  <c r="GPH64" i="7"/>
  <c r="GPI64" i="7"/>
  <c r="GPJ64" i="7"/>
  <c r="GPK64" i="7"/>
  <c r="GPL64" i="7"/>
  <c r="GPM64" i="7"/>
  <c r="GPN64" i="7"/>
  <c r="GPO64" i="7"/>
  <c r="GPP64" i="7"/>
  <c r="GPQ64" i="7"/>
  <c r="GPR64" i="7"/>
  <c r="GPS64" i="7"/>
  <c r="GPT64" i="7"/>
  <c r="GPU64" i="7"/>
  <c r="GPV64" i="7"/>
  <c r="GPW64" i="7"/>
  <c r="GPX64" i="7"/>
  <c r="GPY64" i="7"/>
  <c r="GPZ64" i="7"/>
  <c r="GQA64" i="7"/>
  <c r="GQB64" i="7"/>
  <c r="GQC64" i="7"/>
  <c r="GQD64" i="7"/>
  <c r="GQE64" i="7"/>
  <c r="GQF64" i="7"/>
  <c r="GQG64" i="7"/>
  <c r="GQH64" i="7"/>
  <c r="GQI64" i="7"/>
  <c r="GQJ64" i="7"/>
  <c r="GQK64" i="7"/>
  <c r="GQL64" i="7"/>
  <c r="GQM64" i="7"/>
  <c r="GQN64" i="7"/>
  <c r="GQO64" i="7"/>
  <c r="GQP64" i="7"/>
  <c r="GQQ64" i="7"/>
  <c r="GQR64" i="7"/>
  <c r="GQS64" i="7"/>
  <c r="GQT64" i="7"/>
  <c r="GQU64" i="7"/>
  <c r="GQV64" i="7"/>
  <c r="GQW64" i="7"/>
  <c r="GQX64" i="7"/>
  <c r="GQY64" i="7"/>
  <c r="GQZ64" i="7"/>
  <c r="GRA64" i="7"/>
  <c r="GRB64" i="7"/>
  <c r="GRC64" i="7"/>
  <c r="GRD64" i="7"/>
  <c r="GRE64" i="7"/>
  <c r="GRF64" i="7"/>
  <c r="GRG64" i="7"/>
  <c r="GRH64" i="7"/>
  <c r="GRI64" i="7"/>
  <c r="GRJ64" i="7"/>
  <c r="GRK64" i="7"/>
  <c r="GRL64" i="7"/>
  <c r="GRM64" i="7"/>
  <c r="GRN64" i="7"/>
  <c r="GRO64" i="7"/>
  <c r="GRP64" i="7"/>
  <c r="GRQ64" i="7"/>
  <c r="GRR64" i="7"/>
  <c r="GRS64" i="7"/>
  <c r="GRT64" i="7"/>
  <c r="GRU64" i="7"/>
  <c r="GRV64" i="7"/>
  <c r="GRW64" i="7"/>
  <c r="GRX64" i="7"/>
  <c r="GRY64" i="7"/>
  <c r="GRZ64" i="7"/>
  <c r="GSA64" i="7"/>
  <c r="GSB64" i="7"/>
  <c r="GSC64" i="7"/>
  <c r="GSD64" i="7"/>
  <c r="GSE64" i="7"/>
  <c r="GSF64" i="7"/>
  <c r="GSG64" i="7"/>
  <c r="GSH64" i="7"/>
  <c r="GSI64" i="7"/>
  <c r="GSJ64" i="7"/>
  <c r="GSK64" i="7"/>
  <c r="GSL64" i="7"/>
  <c r="GSM64" i="7"/>
  <c r="GSN64" i="7"/>
  <c r="GSO64" i="7"/>
  <c r="GSP64" i="7"/>
  <c r="GSQ64" i="7"/>
  <c r="GSR64" i="7"/>
  <c r="GSS64" i="7"/>
  <c r="GST64" i="7"/>
  <c r="GSU64" i="7"/>
  <c r="GSV64" i="7"/>
  <c r="GSW64" i="7"/>
  <c r="GSX64" i="7"/>
  <c r="GSY64" i="7"/>
  <c r="GSZ64" i="7"/>
  <c r="GTA64" i="7"/>
  <c r="GTB64" i="7"/>
  <c r="GTC64" i="7"/>
  <c r="GTD64" i="7"/>
  <c r="GTE64" i="7"/>
  <c r="GTF64" i="7"/>
  <c r="GTG64" i="7"/>
  <c r="GTH64" i="7"/>
  <c r="GTI64" i="7"/>
  <c r="GTJ64" i="7"/>
  <c r="GTK64" i="7"/>
  <c r="GTL64" i="7"/>
  <c r="GTM64" i="7"/>
  <c r="GTN64" i="7"/>
  <c r="GTO64" i="7"/>
  <c r="GTP64" i="7"/>
  <c r="GTQ64" i="7"/>
  <c r="GTR64" i="7"/>
  <c r="GTS64" i="7"/>
  <c r="GTT64" i="7"/>
  <c r="GTU64" i="7"/>
  <c r="GTV64" i="7"/>
  <c r="GTW64" i="7"/>
  <c r="GTX64" i="7"/>
  <c r="GTY64" i="7"/>
  <c r="GTZ64" i="7"/>
  <c r="GUA64" i="7"/>
  <c r="GUB64" i="7"/>
  <c r="GUC64" i="7"/>
  <c r="GUD64" i="7"/>
  <c r="GUE64" i="7"/>
  <c r="GUF64" i="7"/>
  <c r="GUG64" i="7"/>
  <c r="GUH64" i="7"/>
  <c r="GUI64" i="7"/>
  <c r="GUJ64" i="7"/>
  <c r="GUK64" i="7"/>
  <c r="GUL64" i="7"/>
  <c r="GUM64" i="7"/>
  <c r="GUN64" i="7"/>
  <c r="GUO64" i="7"/>
  <c r="GUP64" i="7"/>
  <c r="GUQ64" i="7"/>
  <c r="GUR64" i="7"/>
  <c r="GUS64" i="7"/>
  <c r="GUT64" i="7"/>
  <c r="GUU64" i="7"/>
  <c r="GUV64" i="7"/>
  <c r="GUW64" i="7"/>
  <c r="GUX64" i="7"/>
  <c r="GUY64" i="7"/>
  <c r="GUZ64" i="7"/>
  <c r="GVA64" i="7"/>
  <c r="GVB64" i="7"/>
  <c r="GVC64" i="7"/>
  <c r="GVD64" i="7"/>
  <c r="GVE64" i="7"/>
  <c r="GVF64" i="7"/>
  <c r="GVG64" i="7"/>
  <c r="GVH64" i="7"/>
  <c r="GVI64" i="7"/>
  <c r="GVJ64" i="7"/>
  <c r="GVK64" i="7"/>
  <c r="GVL64" i="7"/>
  <c r="GVM64" i="7"/>
  <c r="GVN64" i="7"/>
  <c r="GVO64" i="7"/>
  <c r="GVP64" i="7"/>
  <c r="GVQ64" i="7"/>
  <c r="GVR64" i="7"/>
  <c r="GVS64" i="7"/>
  <c r="GVT64" i="7"/>
  <c r="GVU64" i="7"/>
  <c r="GVV64" i="7"/>
  <c r="GVW64" i="7"/>
  <c r="GVX64" i="7"/>
  <c r="GVY64" i="7"/>
  <c r="GVZ64" i="7"/>
  <c r="GWA64" i="7"/>
  <c r="GWB64" i="7"/>
  <c r="GWC64" i="7"/>
  <c r="GWD64" i="7"/>
  <c r="GWE64" i="7"/>
  <c r="GWF64" i="7"/>
  <c r="GWG64" i="7"/>
  <c r="GWH64" i="7"/>
  <c r="GWI64" i="7"/>
  <c r="GWJ64" i="7"/>
  <c r="GWK64" i="7"/>
  <c r="GWL64" i="7"/>
  <c r="GWM64" i="7"/>
  <c r="GWN64" i="7"/>
  <c r="GWO64" i="7"/>
  <c r="GWP64" i="7"/>
  <c r="GWQ64" i="7"/>
  <c r="GWR64" i="7"/>
  <c r="GWS64" i="7"/>
  <c r="GWT64" i="7"/>
  <c r="GWU64" i="7"/>
  <c r="GWV64" i="7"/>
  <c r="GWW64" i="7"/>
  <c r="GWX64" i="7"/>
  <c r="GWY64" i="7"/>
  <c r="GWZ64" i="7"/>
  <c r="GXA64" i="7"/>
  <c r="GXB64" i="7"/>
  <c r="GXC64" i="7"/>
  <c r="GXD64" i="7"/>
  <c r="GXE64" i="7"/>
  <c r="GXF64" i="7"/>
  <c r="GXG64" i="7"/>
  <c r="GXH64" i="7"/>
  <c r="GXI64" i="7"/>
  <c r="GXJ64" i="7"/>
  <c r="GXK64" i="7"/>
  <c r="GXL64" i="7"/>
  <c r="GXM64" i="7"/>
  <c r="GXN64" i="7"/>
  <c r="GXO64" i="7"/>
  <c r="GXP64" i="7"/>
  <c r="GXQ64" i="7"/>
  <c r="GXR64" i="7"/>
  <c r="GXS64" i="7"/>
  <c r="GXT64" i="7"/>
  <c r="GXU64" i="7"/>
  <c r="GXV64" i="7"/>
  <c r="GXW64" i="7"/>
  <c r="GXX64" i="7"/>
  <c r="GXY64" i="7"/>
  <c r="GXZ64" i="7"/>
  <c r="GYA64" i="7"/>
  <c r="GYB64" i="7"/>
  <c r="GYC64" i="7"/>
  <c r="GYD64" i="7"/>
  <c r="GYE64" i="7"/>
  <c r="GYF64" i="7"/>
  <c r="GYG64" i="7"/>
  <c r="GYH64" i="7"/>
  <c r="GYI64" i="7"/>
  <c r="GYJ64" i="7"/>
  <c r="GYK64" i="7"/>
  <c r="GYL64" i="7"/>
  <c r="GYM64" i="7"/>
  <c r="GYN64" i="7"/>
  <c r="GYO64" i="7"/>
  <c r="GYP64" i="7"/>
  <c r="GYQ64" i="7"/>
  <c r="GYR64" i="7"/>
  <c r="GYS64" i="7"/>
  <c r="GYT64" i="7"/>
  <c r="GYU64" i="7"/>
  <c r="GYV64" i="7"/>
  <c r="GYW64" i="7"/>
  <c r="GYX64" i="7"/>
  <c r="GYY64" i="7"/>
  <c r="GYZ64" i="7"/>
  <c r="GZA64" i="7"/>
  <c r="GZB64" i="7"/>
  <c r="GZC64" i="7"/>
  <c r="GZD64" i="7"/>
  <c r="GZE64" i="7"/>
  <c r="GZF64" i="7"/>
  <c r="GZG64" i="7"/>
  <c r="GZH64" i="7"/>
  <c r="GZI64" i="7"/>
  <c r="GZJ64" i="7"/>
  <c r="GZK64" i="7"/>
  <c r="GZL64" i="7"/>
  <c r="GZM64" i="7"/>
  <c r="GZN64" i="7"/>
  <c r="GZO64" i="7"/>
  <c r="GZP64" i="7"/>
  <c r="GZQ64" i="7"/>
  <c r="GZR64" i="7"/>
  <c r="GZS64" i="7"/>
  <c r="GZT64" i="7"/>
  <c r="GZU64" i="7"/>
  <c r="GZV64" i="7"/>
  <c r="GZW64" i="7"/>
  <c r="GZX64" i="7"/>
  <c r="GZY64" i="7"/>
  <c r="GZZ64" i="7"/>
  <c r="HAA64" i="7"/>
  <c r="HAB64" i="7"/>
  <c r="HAC64" i="7"/>
  <c r="HAD64" i="7"/>
  <c r="HAE64" i="7"/>
  <c r="HAF64" i="7"/>
  <c r="HAG64" i="7"/>
  <c r="HAH64" i="7"/>
  <c r="HAI64" i="7"/>
  <c r="HAJ64" i="7"/>
  <c r="HAK64" i="7"/>
  <c r="HAL64" i="7"/>
  <c r="HAM64" i="7"/>
  <c r="HAN64" i="7"/>
  <c r="HAO64" i="7"/>
  <c r="HAP64" i="7"/>
  <c r="HAQ64" i="7"/>
  <c r="HAR64" i="7"/>
  <c r="HAS64" i="7"/>
  <c r="HAT64" i="7"/>
  <c r="HAU64" i="7"/>
  <c r="HAV64" i="7"/>
  <c r="HAW64" i="7"/>
  <c r="HAX64" i="7"/>
  <c r="HAY64" i="7"/>
  <c r="HAZ64" i="7"/>
  <c r="HBA64" i="7"/>
  <c r="HBB64" i="7"/>
  <c r="HBC64" i="7"/>
  <c r="HBD64" i="7"/>
  <c r="HBE64" i="7"/>
  <c r="HBF64" i="7"/>
  <c r="HBG64" i="7"/>
  <c r="HBH64" i="7"/>
  <c r="HBI64" i="7"/>
  <c r="HBJ64" i="7"/>
  <c r="HBK64" i="7"/>
  <c r="HBL64" i="7"/>
  <c r="HBM64" i="7"/>
  <c r="HBN64" i="7"/>
  <c r="HBO64" i="7"/>
  <c r="HBP64" i="7"/>
  <c r="HBQ64" i="7"/>
  <c r="HBR64" i="7"/>
  <c r="HBS64" i="7"/>
  <c r="HBT64" i="7"/>
  <c r="HBU64" i="7"/>
  <c r="HBV64" i="7"/>
  <c r="HBW64" i="7"/>
  <c r="HBX64" i="7"/>
  <c r="HBY64" i="7"/>
  <c r="HBZ64" i="7"/>
  <c r="HCA64" i="7"/>
  <c r="HCB64" i="7"/>
  <c r="HCC64" i="7"/>
  <c r="HCD64" i="7"/>
  <c r="HCE64" i="7"/>
  <c r="HCF64" i="7"/>
  <c r="HCG64" i="7"/>
  <c r="HCH64" i="7"/>
  <c r="HCI64" i="7"/>
  <c r="HCJ64" i="7"/>
  <c r="HCK64" i="7"/>
  <c r="HCL64" i="7"/>
  <c r="HCM64" i="7"/>
  <c r="HCN64" i="7"/>
  <c r="HCO64" i="7"/>
  <c r="HCP64" i="7"/>
  <c r="HCQ64" i="7"/>
  <c r="HCR64" i="7"/>
  <c r="HCS64" i="7"/>
  <c r="HCT64" i="7"/>
  <c r="HCU64" i="7"/>
  <c r="HCV64" i="7"/>
  <c r="HCW64" i="7"/>
  <c r="HCX64" i="7"/>
  <c r="HCY64" i="7"/>
  <c r="HCZ64" i="7"/>
  <c r="HDA64" i="7"/>
  <c r="HDB64" i="7"/>
  <c r="HDC64" i="7"/>
  <c r="HDD64" i="7"/>
  <c r="HDE64" i="7"/>
  <c r="HDF64" i="7"/>
  <c r="HDG64" i="7"/>
  <c r="HDH64" i="7"/>
  <c r="HDI64" i="7"/>
  <c r="HDJ64" i="7"/>
  <c r="HDK64" i="7"/>
  <c r="HDL64" i="7"/>
  <c r="HDM64" i="7"/>
  <c r="HDN64" i="7"/>
  <c r="HDO64" i="7"/>
  <c r="HDP64" i="7"/>
  <c r="HDQ64" i="7"/>
  <c r="HDR64" i="7"/>
  <c r="HDS64" i="7"/>
  <c r="HDT64" i="7"/>
  <c r="HDU64" i="7"/>
  <c r="HDV64" i="7"/>
  <c r="HDW64" i="7"/>
  <c r="HDX64" i="7"/>
  <c r="HDY64" i="7"/>
  <c r="HDZ64" i="7"/>
  <c r="HEA64" i="7"/>
  <c r="HEB64" i="7"/>
  <c r="HEC64" i="7"/>
  <c r="HED64" i="7"/>
  <c r="HEE64" i="7"/>
  <c r="HEF64" i="7"/>
  <c r="HEG64" i="7"/>
  <c r="HEH64" i="7"/>
  <c r="HEI64" i="7"/>
  <c r="HEJ64" i="7"/>
  <c r="HEK64" i="7"/>
  <c r="HEL64" i="7"/>
  <c r="HEM64" i="7"/>
  <c r="HEN64" i="7"/>
  <c r="HEO64" i="7"/>
  <c r="HEP64" i="7"/>
  <c r="HEQ64" i="7"/>
  <c r="HER64" i="7"/>
  <c r="HES64" i="7"/>
  <c r="HET64" i="7"/>
  <c r="HEU64" i="7"/>
  <c r="HEV64" i="7"/>
  <c r="HEW64" i="7"/>
  <c r="HEX64" i="7"/>
  <c r="HEY64" i="7"/>
  <c r="HEZ64" i="7"/>
  <c r="HFA64" i="7"/>
  <c r="HFB64" i="7"/>
  <c r="HFC64" i="7"/>
  <c r="HFD64" i="7"/>
  <c r="HFE64" i="7"/>
  <c r="HFF64" i="7"/>
  <c r="HFG64" i="7"/>
  <c r="HFH64" i="7"/>
  <c r="HFI64" i="7"/>
  <c r="HFJ64" i="7"/>
  <c r="HFK64" i="7"/>
  <c r="HFL64" i="7"/>
  <c r="HFM64" i="7"/>
  <c r="HFN64" i="7"/>
  <c r="HFO64" i="7"/>
  <c r="HFP64" i="7"/>
  <c r="HFQ64" i="7"/>
  <c r="HFR64" i="7"/>
  <c r="HFS64" i="7"/>
  <c r="HFT64" i="7"/>
  <c r="HFU64" i="7"/>
  <c r="HFV64" i="7"/>
  <c r="HFW64" i="7"/>
  <c r="HFX64" i="7"/>
  <c r="HFY64" i="7"/>
  <c r="HFZ64" i="7"/>
  <c r="HGA64" i="7"/>
  <c r="HGB64" i="7"/>
  <c r="HGC64" i="7"/>
  <c r="HGD64" i="7"/>
  <c r="HGE64" i="7"/>
  <c r="HGF64" i="7"/>
  <c r="HGG64" i="7"/>
  <c r="HGH64" i="7"/>
  <c r="HGI64" i="7"/>
  <c r="HGJ64" i="7"/>
  <c r="HGK64" i="7"/>
  <c r="HGL64" i="7"/>
  <c r="HGM64" i="7"/>
  <c r="HGN64" i="7"/>
  <c r="HGO64" i="7"/>
  <c r="HGP64" i="7"/>
  <c r="HGQ64" i="7"/>
  <c r="HGR64" i="7"/>
  <c r="HGS64" i="7"/>
  <c r="HGT64" i="7"/>
  <c r="HGU64" i="7"/>
  <c r="HGV64" i="7"/>
  <c r="HGW64" i="7"/>
  <c r="HGX64" i="7"/>
  <c r="HGY64" i="7"/>
  <c r="HGZ64" i="7"/>
  <c r="HHA64" i="7"/>
  <c r="HHB64" i="7"/>
  <c r="HHC64" i="7"/>
  <c r="HHD64" i="7"/>
  <c r="HHE64" i="7"/>
  <c r="HHF64" i="7"/>
  <c r="HHG64" i="7"/>
  <c r="HHH64" i="7"/>
  <c r="HHI64" i="7"/>
  <c r="HHJ64" i="7"/>
  <c r="HHK64" i="7"/>
  <c r="HHL64" i="7"/>
  <c r="HHM64" i="7"/>
  <c r="HHN64" i="7"/>
  <c r="HHO64" i="7"/>
  <c r="HHP64" i="7"/>
  <c r="HHQ64" i="7"/>
  <c r="HHR64" i="7"/>
  <c r="HHS64" i="7"/>
  <c r="HHT64" i="7"/>
  <c r="HHU64" i="7"/>
  <c r="HHV64" i="7"/>
  <c r="HHW64" i="7"/>
  <c r="HHX64" i="7"/>
  <c r="HHY64" i="7"/>
  <c r="HHZ64" i="7"/>
  <c r="HIA64" i="7"/>
  <c r="HIB64" i="7"/>
  <c r="HIC64" i="7"/>
  <c r="HID64" i="7"/>
  <c r="HIE64" i="7"/>
  <c r="HIF64" i="7"/>
  <c r="HIG64" i="7"/>
  <c r="HIH64" i="7"/>
  <c r="HII64" i="7"/>
  <c r="HIJ64" i="7"/>
  <c r="HIK64" i="7"/>
  <c r="HIL64" i="7"/>
  <c r="HIM64" i="7"/>
  <c r="HIN64" i="7"/>
  <c r="HIO64" i="7"/>
  <c r="HIP64" i="7"/>
  <c r="HIQ64" i="7"/>
  <c r="HIR64" i="7"/>
  <c r="HIS64" i="7"/>
  <c r="HIT64" i="7"/>
  <c r="HIU64" i="7"/>
  <c r="HIV64" i="7"/>
  <c r="HIW64" i="7"/>
  <c r="HIX64" i="7"/>
  <c r="HIY64" i="7"/>
  <c r="HIZ64" i="7"/>
  <c r="HJA64" i="7"/>
  <c r="HJB64" i="7"/>
  <c r="HJC64" i="7"/>
  <c r="HJD64" i="7"/>
  <c r="HJE64" i="7"/>
  <c r="HJF64" i="7"/>
  <c r="HJG64" i="7"/>
  <c r="HJH64" i="7"/>
  <c r="HJI64" i="7"/>
  <c r="HJJ64" i="7"/>
  <c r="HJK64" i="7"/>
  <c r="HJL64" i="7"/>
  <c r="HJM64" i="7"/>
  <c r="HJN64" i="7"/>
  <c r="HJO64" i="7"/>
  <c r="HJP64" i="7"/>
  <c r="HJQ64" i="7"/>
  <c r="HJR64" i="7"/>
  <c r="HJS64" i="7"/>
  <c r="HJT64" i="7"/>
  <c r="HJU64" i="7"/>
  <c r="HJV64" i="7"/>
  <c r="HJW64" i="7"/>
  <c r="HJX64" i="7"/>
  <c r="HJY64" i="7"/>
  <c r="HJZ64" i="7"/>
  <c r="HKA64" i="7"/>
  <c r="HKB64" i="7"/>
  <c r="HKC64" i="7"/>
  <c r="HKD64" i="7"/>
  <c r="HKE64" i="7"/>
  <c r="HKF64" i="7"/>
  <c r="HKG64" i="7"/>
  <c r="HKH64" i="7"/>
  <c r="HKI64" i="7"/>
  <c r="HKJ64" i="7"/>
  <c r="HKK64" i="7"/>
  <c r="HKL64" i="7"/>
  <c r="HKM64" i="7"/>
  <c r="HKN64" i="7"/>
  <c r="HKO64" i="7"/>
  <c r="HKP64" i="7"/>
  <c r="HKQ64" i="7"/>
  <c r="HKR64" i="7"/>
  <c r="HKS64" i="7"/>
  <c r="HKT64" i="7"/>
  <c r="HKU64" i="7"/>
  <c r="HKV64" i="7"/>
  <c r="HKW64" i="7"/>
  <c r="HKX64" i="7"/>
  <c r="HKY64" i="7"/>
  <c r="HKZ64" i="7"/>
  <c r="HLA64" i="7"/>
  <c r="HLB64" i="7"/>
  <c r="HLC64" i="7"/>
  <c r="HLD64" i="7"/>
  <c r="HLE64" i="7"/>
  <c r="HLF64" i="7"/>
  <c r="HLG64" i="7"/>
  <c r="HLH64" i="7"/>
  <c r="HLI64" i="7"/>
  <c r="HLJ64" i="7"/>
  <c r="HLK64" i="7"/>
  <c r="HLL64" i="7"/>
  <c r="HLM64" i="7"/>
  <c r="HLN64" i="7"/>
  <c r="HLO64" i="7"/>
  <c r="HLP64" i="7"/>
  <c r="HLQ64" i="7"/>
  <c r="HLR64" i="7"/>
  <c r="HLS64" i="7"/>
  <c r="HLT64" i="7"/>
  <c r="HLU64" i="7"/>
  <c r="HLV64" i="7"/>
  <c r="HLW64" i="7"/>
  <c r="HLX64" i="7"/>
  <c r="HLY64" i="7"/>
  <c r="HLZ64" i="7"/>
  <c r="HMA64" i="7"/>
  <c r="HMB64" i="7"/>
  <c r="HMC64" i="7"/>
  <c r="HMD64" i="7"/>
  <c r="HME64" i="7"/>
  <c r="HMF64" i="7"/>
  <c r="HMG64" i="7"/>
  <c r="HMH64" i="7"/>
  <c r="HMI64" i="7"/>
  <c r="HMJ64" i="7"/>
  <c r="HMK64" i="7"/>
  <c r="HML64" i="7"/>
  <c r="HMM64" i="7"/>
  <c r="HMN64" i="7"/>
  <c r="HMO64" i="7"/>
  <c r="HMP64" i="7"/>
  <c r="HMQ64" i="7"/>
  <c r="HMR64" i="7"/>
  <c r="HMS64" i="7"/>
  <c r="HMT64" i="7"/>
  <c r="HMU64" i="7"/>
  <c r="HMV64" i="7"/>
  <c r="HMW64" i="7"/>
  <c r="HMX64" i="7"/>
  <c r="HMY64" i="7"/>
  <c r="HMZ64" i="7"/>
  <c r="HNA64" i="7"/>
  <c r="HNB64" i="7"/>
  <c r="HNC64" i="7"/>
  <c r="HND64" i="7"/>
  <c r="HNE64" i="7"/>
  <c r="HNF64" i="7"/>
  <c r="HNG64" i="7"/>
  <c r="HNH64" i="7"/>
  <c r="HNI64" i="7"/>
  <c r="HNJ64" i="7"/>
  <c r="HNK64" i="7"/>
  <c r="HNL64" i="7"/>
  <c r="HNM64" i="7"/>
  <c r="HNN64" i="7"/>
  <c r="HNO64" i="7"/>
  <c r="HNP64" i="7"/>
  <c r="HNQ64" i="7"/>
  <c r="HNR64" i="7"/>
  <c r="HNS64" i="7"/>
  <c r="HNT64" i="7"/>
  <c r="HNU64" i="7"/>
  <c r="HNV64" i="7"/>
  <c r="HNW64" i="7"/>
  <c r="HNX64" i="7"/>
  <c r="HNY64" i="7"/>
  <c r="HNZ64" i="7"/>
  <c r="HOA64" i="7"/>
  <c r="HOB64" i="7"/>
  <c r="HOC64" i="7"/>
  <c r="HOD64" i="7"/>
  <c r="HOE64" i="7"/>
  <c r="HOF64" i="7"/>
  <c r="HOG64" i="7"/>
  <c r="HOH64" i="7"/>
  <c r="HOI64" i="7"/>
  <c r="HOJ64" i="7"/>
  <c r="HOK64" i="7"/>
  <c r="HOL64" i="7"/>
  <c r="HOM64" i="7"/>
  <c r="HON64" i="7"/>
  <c r="HOO64" i="7"/>
  <c r="HOP64" i="7"/>
  <c r="HOQ64" i="7"/>
  <c r="HOR64" i="7"/>
  <c r="HOS64" i="7"/>
  <c r="HOT64" i="7"/>
  <c r="HOU64" i="7"/>
  <c r="HOV64" i="7"/>
  <c r="HOW64" i="7"/>
  <c r="HOX64" i="7"/>
  <c r="HOY64" i="7"/>
  <c r="HOZ64" i="7"/>
  <c r="HPA64" i="7"/>
  <c r="HPB64" i="7"/>
  <c r="HPC64" i="7"/>
  <c r="HPD64" i="7"/>
  <c r="HPE64" i="7"/>
  <c r="HPF64" i="7"/>
  <c r="HPG64" i="7"/>
  <c r="HPH64" i="7"/>
  <c r="HPI64" i="7"/>
  <c r="HPJ64" i="7"/>
  <c r="HPK64" i="7"/>
  <c r="HPL64" i="7"/>
  <c r="HPM64" i="7"/>
  <c r="HPN64" i="7"/>
  <c r="HPO64" i="7"/>
  <c r="HPP64" i="7"/>
  <c r="HPQ64" i="7"/>
  <c r="HPR64" i="7"/>
  <c r="HPS64" i="7"/>
  <c r="HPT64" i="7"/>
  <c r="HPU64" i="7"/>
  <c r="HPV64" i="7"/>
  <c r="HPW64" i="7"/>
  <c r="HPX64" i="7"/>
  <c r="HPY64" i="7"/>
  <c r="HPZ64" i="7"/>
  <c r="HQA64" i="7"/>
  <c r="HQB64" i="7"/>
  <c r="HQC64" i="7"/>
  <c r="HQD64" i="7"/>
  <c r="HQE64" i="7"/>
  <c r="HQF64" i="7"/>
  <c r="HQG64" i="7"/>
  <c r="HQH64" i="7"/>
  <c r="HQI64" i="7"/>
  <c r="HQJ64" i="7"/>
  <c r="HQK64" i="7"/>
  <c r="HQL64" i="7"/>
  <c r="HQM64" i="7"/>
  <c r="HQN64" i="7"/>
  <c r="HQO64" i="7"/>
  <c r="HQP64" i="7"/>
  <c r="HQQ64" i="7"/>
  <c r="HQR64" i="7"/>
  <c r="HQS64" i="7"/>
  <c r="HQT64" i="7"/>
  <c r="HQU64" i="7"/>
  <c r="HQV64" i="7"/>
  <c r="HQW64" i="7"/>
  <c r="HQX64" i="7"/>
  <c r="HQY64" i="7"/>
  <c r="HQZ64" i="7"/>
  <c r="HRA64" i="7"/>
  <c r="HRB64" i="7"/>
  <c r="HRC64" i="7"/>
  <c r="HRD64" i="7"/>
  <c r="HRE64" i="7"/>
  <c r="HRF64" i="7"/>
  <c r="HRG64" i="7"/>
  <c r="HRH64" i="7"/>
  <c r="HRI64" i="7"/>
  <c r="HRJ64" i="7"/>
  <c r="HRK64" i="7"/>
  <c r="HRL64" i="7"/>
  <c r="HRM64" i="7"/>
  <c r="HRN64" i="7"/>
  <c r="HRO64" i="7"/>
  <c r="HRP64" i="7"/>
  <c r="HRQ64" i="7"/>
  <c r="HRR64" i="7"/>
  <c r="HRS64" i="7"/>
  <c r="HRT64" i="7"/>
  <c r="HRU64" i="7"/>
  <c r="HRV64" i="7"/>
  <c r="HRW64" i="7"/>
  <c r="HRX64" i="7"/>
  <c r="HRY64" i="7"/>
  <c r="HRZ64" i="7"/>
  <c r="HSA64" i="7"/>
  <c r="HSB64" i="7"/>
  <c r="HSC64" i="7"/>
  <c r="HSD64" i="7"/>
  <c r="HSE64" i="7"/>
  <c r="HSF64" i="7"/>
  <c r="HSG64" i="7"/>
  <c r="HSH64" i="7"/>
  <c r="HSI64" i="7"/>
  <c r="HSJ64" i="7"/>
  <c r="HSK64" i="7"/>
  <c r="HSL64" i="7"/>
  <c r="HSM64" i="7"/>
  <c r="HSN64" i="7"/>
  <c r="HSO64" i="7"/>
  <c r="HSP64" i="7"/>
  <c r="HSQ64" i="7"/>
  <c r="HSR64" i="7"/>
  <c r="HSS64" i="7"/>
  <c r="HST64" i="7"/>
  <c r="HSU64" i="7"/>
  <c r="HSV64" i="7"/>
  <c r="HSW64" i="7"/>
  <c r="HSX64" i="7"/>
  <c r="HSY64" i="7"/>
  <c r="HSZ64" i="7"/>
  <c r="HTA64" i="7"/>
  <c r="HTB64" i="7"/>
  <c r="HTC64" i="7"/>
  <c r="HTD64" i="7"/>
  <c r="HTE64" i="7"/>
  <c r="HTF64" i="7"/>
  <c r="HTG64" i="7"/>
  <c r="HTH64" i="7"/>
  <c r="HTI64" i="7"/>
  <c r="HTJ64" i="7"/>
  <c r="HTK64" i="7"/>
  <c r="HTL64" i="7"/>
  <c r="HTM64" i="7"/>
  <c r="HTN64" i="7"/>
  <c r="HTO64" i="7"/>
  <c r="HTP64" i="7"/>
  <c r="HTQ64" i="7"/>
  <c r="HTR64" i="7"/>
  <c r="HTS64" i="7"/>
  <c r="HTT64" i="7"/>
  <c r="HTU64" i="7"/>
  <c r="HTV64" i="7"/>
  <c r="HTW64" i="7"/>
  <c r="HTX64" i="7"/>
  <c r="HTY64" i="7"/>
  <c r="HTZ64" i="7"/>
  <c r="HUA64" i="7"/>
  <c r="HUB64" i="7"/>
  <c r="HUC64" i="7"/>
  <c r="HUD64" i="7"/>
  <c r="HUE64" i="7"/>
  <c r="HUF64" i="7"/>
  <c r="HUG64" i="7"/>
  <c r="HUH64" i="7"/>
  <c r="HUI64" i="7"/>
  <c r="HUJ64" i="7"/>
  <c r="HUK64" i="7"/>
  <c r="HUL64" i="7"/>
  <c r="HUM64" i="7"/>
  <c r="HUN64" i="7"/>
  <c r="HUO64" i="7"/>
  <c r="HUP64" i="7"/>
  <c r="HUQ64" i="7"/>
  <c r="HUR64" i="7"/>
  <c r="HUS64" i="7"/>
  <c r="HUT64" i="7"/>
  <c r="HUU64" i="7"/>
  <c r="HUV64" i="7"/>
  <c r="HUW64" i="7"/>
  <c r="HUX64" i="7"/>
  <c r="HUY64" i="7"/>
  <c r="HUZ64" i="7"/>
  <c r="HVA64" i="7"/>
  <c r="HVB64" i="7"/>
  <c r="HVC64" i="7"/>
  <c r="HVD64" i="7"/>
  <c r="HVE64" i="7"/>
  <c r="HVF64" i="7"/>
  <c r="HVG64" i="7"/>
  <c r="HVH64" i="7"/>
  <c r="HVI64" i="7"/>
  <c r="HVJ64" i="7"/>
  <c r="HVK64" i="7"/>
  <c r="HVL64" i="7"/>
  <c r="HVM64" i="7"/>
  <c r="HVN64" i="7"/>
  <c r="HVO64" i="7"/>
  <c r="HVP64" i="7"/>
  <c r="HVQ64" i="7"/>
  <c r="HVR64" i="7"/>
  <c r="HVS64" i="7"/>
  <c r="HVT64" i="7"/>
  <c r="HVU64" i="7"/>
  <c r="HVV64" i="7"/>
  <c r="HVW64" i="7"/>
  <c r="HVX64" i="7"/>
  <c r="HVY64" i="7"/>
  <c r="HVZ64" i="7"/>
  <c r="HWA64" i="7"/>
  <c r="HWB64" i="7"/>
  <c r="HWC64" i="7"/>
  <c r="HWD64" i="7"/>
  <c r="HWE64" i="7"/>
  <c r="HWF64" i="7"/>
  <c r="HWG64" i="7"/>
  <c r="HWH64" i="7"/>
  <c r="HWI64" i="7"/>
  <c r="HWJ64" i="7"/>
  <c r="HWK64" i="7"/>
  <c r="HWL64" i="7"/>
  <c r="HWM64" i="7"/>
  <c r="HWN64" i="7"/>
  <c r="HWO64" i="7"/>
  <c r="HWP64" i="7"/>
  <c r="HWQ64" i="7"/>
  <c r="HWR64" i="7"/>
  <c r="HWS64" i="7"/>
  <c r="HWT64" i="7"/>
  <c r="HWU64" i="7"/>
  <c r="HWV64" i="7"/>
  <c r="HWW64" i="7"/>
  <c r="HWX64" i="7"/>
  <c r="HWY64" i="7"/>
  <c r="HWZ64" i="7"/>
  <c r="HXA64" i="7"/>
  <c r="HXB64" i="7"/>
  <c r="HXC64" i="7"/>
  <c r="HXD64" i="7"/>
  <c r="HXE64" i="7"/>
  <c r="HXF64" i="7"/>
  <c r="HXG64" i="7"/>
  <c r="HXH64" i="7"/>
  <c r="HXI64" i="7"/>
  <c r="HXJ64" i="7"/>
  <c r="HXK64" i="7"/>
  <c r="HXL64" i="7"/>
  <c r="HXM64" i="7"/>
  <c r="HXN64" i="7"/>
  <c r="HXO64" i="7"/>
  <c r="HXP64" i="7"/>
  <c r="HXQ64" i="7"/>
  <c r="HXR64" i="7"/>
  <c r="HXS64" i="7"/>
  <c r="HXT64" i="7"/>
  <c r="HXU64" i="7"/>
  <c r="HXV64" i="7"/>
  <c r="HXW64" i="7"/>
  <c r="HXX64" i="7"/>
  <c r="HXY64" i="7"/>
  <c r="HXZ64" i="7"/>
  <c r="HYA64" i="7"/>
  <c r="HYB64" i="7"/>
  <c r="HYC64" i="7"/>
  <c r="HYD64" i="7"/>
  <c r="HYE64" i="7"/>
  <c r="HYF64" i="7"/>
  <c r="HYG64" i="7"/>
  <c r="HYH64" i="7"/>
  <c r="HYI64" i="7"/>
  <c r="HYJ64" i="7"/>
  <c r="HYK64" i="7"/>
  <c r="HYL64" i="7"/>
  <c r="HYM64" i="7"/>
  <c r="HYN64" i="7"/>
  <c r="HYO64" i="7"/>
  <c r="HYP64" i="7"/>
  <c r="HYQ64" i="7"/>
  <c r="HYR64" i="7"/>
  <c r="HYS64" i="7"/>
  <c r="HYT64" i="7"/>
  <c r="HYU64" i="7"/>
  <c r="HYV64" i="7"/>
  <c r="HYW64" i="7"/>
  <c r="HYX64" i="7"/>
  <c r="HYY64" i="7"/>
  <c r="HYZ64" i="7"/>
  <c r="HZA64" i="7"/>
  <c r="HZB64" i="7"/>
  <c r="HZC64" i="7"/>
  <c r="HZD64" i="7"/>
  <c r="HZE64" i="7"/>
  <c r="HZF64" i="7"/>
  <c r="HZG64" i="7"/>
  <c r="HZH64" i="7"/>
  <c r="HZI64" i="7"/>
  <c r="HZJ64" i="7"/>
  <c r="HZK64" i="7"/>
  <c r="HZL64" i="7"/>
  <c r="HZM64" i="7"/>
  <c r="HZN64" i="7"/>
  <c r="HZO64" i="7"/>
  <c r="HZP64" i="7"/>
  <c r="HZQ64" i="7"/>
  <c r="HZR64" i="7"/>
  <c r="HZS64" i="7"/>
  <c r="HZT64" i="7"/>
  <c r="HZU64" i="7"/>
  <c r="HZV64" i="7"/>
  <c r="HZW64" i="7"/>
  <c r="HZX64" i="7"/>
  <c r="HZY64" i="7"/>
  <c r="HZZ64" i="7"/>
  <c r="IAA64" i="7"/>
  <c r="IAB64" i="7"/>
  <c r="IAC64" i="7"/>
  <c r="IAD64" i="7"/>
  <c r="IAE64" i="7"/>
  <c r="IAF64" i="7"/>
  <c r="IAG64" i="7"/>
  <c r="IAH64" i="7"/>
  <c r="IAI64" i="7"/>
  <c r="IAJ64" i="7"/>
  <c r="IAK64" i="7"/>
  <c r="IAL64" i="7"/>
  <c r="IAM64" i="7"/>
  <c r="IAN64" i="7"/>
  <c r="IAO64" i="7"/>
  <c r="IAP64" i="7"/>
  <c r="IAQ64" i="7"/>
  <c r="IAR64" i="7"/>
  <c r="IAS64" i="7"/>
  <c r="IAT64" i="7"/>
  <c r="IAU64" i="7"/>
  <c r="IAV64" i="7"/>
  <c r="IAW64" i="7"/>
  <c r="IAX64" i="7"/>
  <c r="IAY64" i="7"/>
  <c r="IAZ64" i="7"/>
  <c r="IBA64" i="7"/>
  <c r="IBB64" i="7"/>
  <c r="IBC64" i="7"/>
  <c r="IBD64" i="7"/>
  <c r="IBE64" i="7"/>
  <c r="IBF64" i="7"/>
  <c r="IBG64" i="7"/>
  <c r="IBH64" i="7"/>
  <c r="IBI64" i="7"/>
  <c r="IBJ64" i="7"/>
  <c r="IBK64" i="7"/>
  <c r="IBL64" i="7"/>
  <c r="IBM64" i="7"/>
  <c r="IBN64" i="7"/>
  <c r="IBO64" i="7"/>
  <c r="IBP64" i="7"/>
  <c r="IBQ64" i="7"/>
  <c r="IBR64" i="7"/>
  <c r="IBS64" i="7"/>
  <c r="IBT64" i="7"/>
  <c r="IBU64" i="7"/>
  <c r="IBV64" i="7"/>
  <c r="IBW64" i="7"/>
  <c r="IBX64" i="7"/>
  <c r="IBY64" i="7"/>
  <c r="IBZ64" i="7"/>
  <c r="ICA64" i="7"/>
  <c r="ICB64" i="7"/>
  <c r="ICC64" i="7"/>
  <c r="ICD64" i="7"/>
  <c r="ICE64" i="7"/>
  <c r="ICF64" i="7"/>
  <c r="ICG64" i="7"/>
  <c r="ICH64" i="7"/>
  <c r="ICI64" i="7"/>
  <c r="ICJ64" i="7"/>
  <c r="ICK64" i="7"/>
  <c r="ICL64" i="7"/>
  <c r="ICM64" i="7"/>
  <c r="ICN64" i="7"/>
  <c r="ICO64" i="7"/>
  <c r="ICP64" i="7"/>
  <c r="ICQ64" i="7"/>
  <c r="ICR64" i="7"/>
  <c r="ICS64" i="7"/>
  <c r="ICT64" i="7"/>
  <c r="ICU64" i="7"/>
  <c r="ICV64" i="7"/>
  <c r="ICW64" i="7"/>
  <c r="ICX64" i="7"/>
  <c r="ICY64" i="7"/>
  <c r="ICZ64" i="7"/>
  <c r="IDA64" i="7"/>
  <c r="IDB64" i="7"/>
  <c r="IDC64" i="7"/>
  <c r="IDD64" i="7"/>
  <c r="IDE64" i="7"/>
  <c r="IDF64" i="7"/>
  <c r="IDG64" i="7"/>
  <c r="IDH64" i="7"/>
  <c r="IDI64" i="7"/>
  <c r="IDJ64" i="7"/>
  <c r="IDK64" i="7"/>
  <c r="IDL64" i="7"/>
  <c r="IDM64" i="7"/>
  <c r="IDN64" i="7"/>
  <c r="IDO64" i="7"/>
  <c r="IDP64" i="7"/>
  <c r="IDQ64" i="7"/>
  <c r="IDR64" i="7"/>
  <c r="IDS64" i="7"/>
  <c r="IDT64" i="7"/>
  <c r="IDU64" i="7"/>
  <c r="IDV64" i="7"/>
  <c r="IDW64" i="7"/>
  <c r="IDX64" i="7"/>
  <c r="IDY64" i="7"/>
  <c r="IDZ64" i="7"/>
  <c r="IEA64" i="7"/>
  <c r="IEB64" i="7"/>
  <c r="IEC64" i="7"/>
  <c r="IED64" i="7"/>
  <c r="IEE64" i="7"/>
  <c r="IEF64" i="7"/>
  <c r="IEG64" i="7"/>
  <c r="IEH64" i="7"/>
  <c r="IEI64" i="7"/>
  <c r="IEJ64" i="7"/>
  <c r="IEK64" i="7"/>
  <c r="IEL64" i="7"/>
  <c r="IEM64" i="7"/>
  <c r="IEN64" i="7"/>
  <c r="IEO64" i="7"/>
  <c r="IEP64" i="7"/>
  <c r="IEQ64" i="7"/>
  <c r="IER64" i="7"/>
  <c r="IES64" i="7"/>
  <c r="IET64" i="7"/>
  <c r="IEU64" i="7"/>
  <c r="IEV64" i="7"/>
  <c r="IEW64" i="7"/>
  <c r="IEX64" i="7"/>
  <c r="IEY64" i="7"/>
  <c r="IEZ64" i="7"/>
  <c r="IFA64" i="7"/>
  <c r="IFB64" i="7"/>
  <c r="IFC64" i="7"/>
  <c r="IFD64" i="7"/>
  <c r="IFE64" i="7"/>
  <c r="IFF64" i="7"/>
  <c r="IFG64" i="7"/>
  <c r="IFH64" i="7"/>
  <c r="IFI64" i="7"/>
  <c r="IFJ64" i="7"/>
  <c r="IFK64" i="7"/>
  <c r="IFL64" i="7"/>
  <c r="IFM64" i="7"/>
  <c r="IFN64" i="7"/>
  <c r="IFO64" i="7"/>
  <c r="IFP64" i="7"/>
  <c r="IFQ64" i="7"/>
  <c r="IFR64" i="7"/>
  <c r="IFS64" i="7"/>
  <c r="IFT64" i="7"/>
  <c r="IFU64" i="7"/>
  <c r="IFV64" i="7"/>
  <c r="IFW64" i="7"/>
  <c r="IFX64" i="7"/>
  <c r="IFY64" i="7"/>
  <c r="IFZ64" i="7"/>
  <c r="IGA64" i="7"/>
  <c r="IGB64" i="7"/>
  <c r="IGC64" i="7"/>
  <c r="IGD64" i="7"/>
  <c r="IGE64" i="7"/>
  <c r="IGF64" i="7"/>
  <c r="IGG64" i="7"/>
  <c r="IGH64" i="7"/>
  <c r="IGI64" i="7"/>
  <c r="IGJ64" i="7"/>
  <c r="IGK64" i="7"/>
  <c r="IGL64" i="7"/>
  <c r="IGM64" i="7"/>
  <c r="IGN64" i="7"/>
  <c r="IGO64" i="7"/>
  <c r="IGP64" i="7"/>
  <c r="IGQ64" i="7"/>
  <c r="IGR64" i="7"/>
  <c r="IGS64" i="7"/>
  <c r="IGT64" i="7"/>
  <c r="IGU64" i="7"/>
  <c r="IGV64" i="7"/>
  <c r="IGW64" i="7"/>
  <c r="IGX64" i="7"/>
  <c r="IGY64" i="7"/>
  <c r="IGZ64" i="7"/>
  <c r="IHA64" i="7"/>
  <c r="IHB64" i="7"/>
  <c r="IHC64" i="7"/>
  <c r="IHD64" i="7"/>
  <c r="IHE64" i="7"/>
  <c r="IHF64" i="7"/>
  <c r="IHG64" i="7"/>
  <c r="IHH64" i="7"/>
  <c r="IHI64" i="7"/>
  <c r="IHJ64" i="7"/>
  <c r="IHK64" i="7"/>
  <c r="IHL64" i="7"/>
  <c r="IHM64" i="7"/>
  <c r="IHN64" i="7"/>
  <c r="IHO64" i="7"/>
  <c r="IHP64" i="7"/>
  <c r="IHQ64" i="7"/>
  <c r="IHR64" i="7"/>
  <c r="IHS64" i="7"/>
  <c r="IHT64" i="7"/>
  <c r="IHU64" i="7"/>
  <c r="IHV64" i="7"/>
  <c r="IHW64" i="7"/>
  <c r="IHX64" i="7"/>
  <c r="IHY64" i="7"/>
  <c r="IHZ64" i="7"/>
  <c r="IIA64" i="7"/>
  <c r="IIB64" i="7"/>
  <c r="IIC64" i="7"/>
  <c r="IID64" i="7"/>
  <c r="IIE64" i="7"/>
  <c r="IIF64" i="7"/>
  <c r="IIG64" i="7"/>
  <c r="IIH64" i="7"/>
  <c r="III64" i="7"/>
  <c r="IIJ64" i="7"/>
  <c r="IIK64" i="7"/>
  <c r="IIL64" i="7"/>
  <c r="IIM64" i="7"/>
  <c r="IIN64" i="7"/>
  <c r="IIO64" i="7"/>
  <c r="IIP64" i="7"/>
  <c r="IIQ64" i="7"/>
  <c r="IIR64" i="7"/>
  <c r="IIS64" i="7"/>
  <c r="IIT64" i="7"/>
  <c r="IIU64" i="7"/>
  <c r="IIV64" i="7"/>
  <c r="IIW64" i="7"/>
  <c r="IIX64" i="7"/>
  <c r="IIY64" i="7"/>
  <c r="IIZ64" i="7"/>
  <c r="IJA64" i="7"/>
  <c r="IJB64" i="7"/>
  <c r="IJC64" i="7"/>
  <c r="IJD64" i="7"/>
  <c r="IJE64" i="7"/>
  <c r="IJF64" i="7"/>
  <c r="IJG64" i="7"/>
  <c r="IJH64" i="7"/>
  <c r="IJI64" i="7"/>
  <c r="IJJ64" i="7"/>
  <c r="IJK64" i="7"/>
  <c r="IJL64" i="7"/>
  <c r="IJM64" i="7"/>
  <c r="IJN64" i="7"/>
  <c r="IJO64" i="7"/>
  <c r="IJP64" i="7"/>
  <c r="IJQ64" i="7"/>
  <c r="IJR64" i="7"/>
  <c r="IJS64" i="7"/>
  <c r="IJT64" i="7"/>
  <c r="IJU64" i="7"/>
  <c r="IJV64" i="7"/>
  <c r="IJW64" i="7"/>
  <c r="IJX64" i="7"/>
  <c r="IJY64" i="7"/>
  <c r="IJZ64" i="7"/>
  <c r="IKA64" i="7"/>
  <c r="IKB64" i="7"/>
  <c r="IKC64" i="7"/>
  <c r="IKD64" i="7"/>
  <c r="IKE64" i="7"/>
  <c r="IKF64" i="7"/>
  <c r="IKG64" i="7"/>
  <c r="IKH64" i="7"/>
  <c r="IKI64" i="7"/>
  <c r="IKJ64" i="7"/>
  <c r="IKK64" i="7"/>
  <c r="IKL64" i="7"/>
  <c r="IKM64" i="7"/>
  <c r="IKN64" i="7"/>
  <c r="IKO64" i="7"/>
  <c r="IKP64" i="7"/>
  <c r="IKQ64" i="7"/>
  <c r="IKR64" i="7"/>
  <c r="IKS64" i="7"/>
  <c r="IKT64" i="7"/>
  <c r="IKU64" i="7"/>
  <c r="IKV64" i="7"/>
  <c r="IKW64" i="7"/>
  <c r="IKX64" i="7"/>
  <c r="IKY64" i="7"/>
  <c r="IKZ64" i="7"/>
  <c r="ILA64" i="7"/>
  <c r="ILB64" i="7"/>
  <c r="ILC64" i="7"/>
  <c r="ILD64" i="7"/>
  <c r="ILE64" i="7"/>
  <c r="ILF64" i="7"/>
  <c r="ILG64" i="7"/>
  <c r="ILH64" i="7"/>
  <c r="ILI64" i="7"/>
  <c r="ILJ64" i="7"/>
  <c r="ILK64" i="7"/>
  <c r="ILL64" i="7"/>
  <c r="ILM64" i="7"/>
  <c r="ILN64" i="7"/>
  <c r="ILO64" i="7"/>
  <c r="ILP64" i="7"/>
  <c r="ILQ64" i="7"/>
  <c r="ILR64" i="7"/>
  <c r="ILS64" i="7"/>
  <c r="ILT64" i="7"/>
  <c r="ILU64" i="7"/>
  <c r="ILV64" i="7"/>
  <c r="ILW64" i="7"/>
  <c r="ILX64" i="7"/>
  <c r="ILY64" i="7"/>
  <c r="ILZ64" i="7"/>
  <c r="IMA64" i="7"/>
  <c r="IMB64" i="7"/>
  <c r="IMC64" i="7"/>
  <c r="IMD64" i="7"/>
  <c r="IME64" i="7"/>
  <c r="IMF64" i="7"/>
  <c r="IMG64" i="7"/>
  <c r="IMH64" i="7"/>
  <c r="IMI64" i="7"/>
  <c r="IMJ64" i="7"/>
  <c r="IMK64" i="7"/>
  <c r="IML64" i="7"/>
  <c r="IMM64" i="7"/>
  <c r="IMN64" i="7"/>
  <c r="IMO64" i="7"/>
  <c r="IMP64" i="7"/>
  <c r="IMQ64" i="7"/>
  <c r="IMR64" i="7"/>
  <c r="IMS64" i="7"/>
  <c r="IMT64" i="7"/>
  <c r="IMU64" i="7"/>
  <c r="IMV64" i="7"/>
  <c r="IMW64" i="7"/>
  <c r="IMX64" i="7"/>
  <c r="IMY64" i="7"/>
  <c r="IMZ64" i="7"/>
  <c r="INA64" i="7"/>
  <c r="INB64" i="7"/>
  <c r="INC64" i="7"/>
  <c r="IND64" i="7"/>
  <c r="INE64" i="7"/>
  <c r="INF64" i="7"/>
  <c r="ING64" i="7"/>
  <c r="INH64" i="7"/>
  <c r="INI64" i="7"/>
  <c r="INJ64" i="7"/>
  <c r="INK64" i="7"/>
  <c r="INL64" i="7"/>
  <c r="INM64" i="7"/>
  <c r="INN64" i="7"/>
  <c r="INO64" i="7"/>
  <c r="INP64" i="7"/>
  <c r="INQ64" i="7"/>
  <c r="INR64" i="7"/>
  <c r="INS64" i="7"/>
  <c r="INT64" i="7"/>
  <c r="INU64" i="7"/>
  <c r="INV64" i="7"/>
  <c r="INW64" i="7"/>
  <c r="INX64" i="7"/>
  <c r="INY64" i="7"/>
  <c r="INZ64" i="7"/>
  <c r="IOA64" i="7"/>
  <c r="IOB64" i="7"/>
  <c r="IOC64" i="7"/>
  <c r="IOD64" i="7"/>
  <c r="IOE64" i="7"/>
  <c r="IOF64" i="7"/>
  <c r="IOG64" i="7"/>
  <c r="IOH64" i="7"/>
  <c r="IOI64" i="7"/>
  <c r="IOJ64" i="7"/>
  <c r="IOK64" i="7"/>
  <c r="IOL64" i="7"/>
  <c r="IOM64" i="7"/>
  <c r="ION64" i="7"/>
  <c r="IOO64" i="7"/>
  <c r="IOP64" i="7"/>
  <c r="IOQ64" i="7"/>
  <c r="IOR64" i="7"/>
  <c r="IOS64" i="7"/>
  <c r="IOT64" i="7"/>
  <c r="IOU64" i="7"/>
  <c r="IOV64" i="7"/>
  <c r="IOW64" i="7"/>
  <c r="IOX64" i="7"/>
  <c r="IOY64" i="7"/>
  <c r="IOZ64" i="7"/>
  <c r="IPA64" i="7"/>
  <c r="IPB64" i="7"/>
  <c r="IPC64" i="7"/>
  <c r="IPD64" i="7"/>
  <c r="IPE64" i="7"/>
  <c r="IPF64" i="7"/>
  <c r="IPG64" i="7"/>
  <c r="IPH64" i="7"/>
  <c r="IPI64" i="7"/>
  <c r="IPJ64" i="7"/>
  <c r="IPK64" i="7"/>
  <c r="IPL64" i="7"/>
  <c r="IPM64" i="7"/>
  <c r="IPN64" i="7"/>
  <c r="IPO64" i="7"/>
  <c r="IPP64" i="7"/>
  <c r="IPQ64" i="7"/>
  <c r="IPR64" i="7"/>
  <c r="IPS64" i="7"/>
  <c r="IPT64" i="7"/>
  <c r="IPU64" i="7"/>
  <c r="IPV64" i="7"/>
  <c r="IPW64" i="7"/>
  <c r="IPX64" i="7"/>
  <c r="IPY64" i="7"/>
  <c r="IPZ64" i="7"/>
  <c r="IQA64" i="7"/>
  <c r="IQB64" i="7"/>
  <c r="IQC64" i="7"/>
  <c r="IQD64" i="7"/>
  <c r="IQE64" i="7"/>
  <c r="IQF64" i="7"/>
  <c r="IQG64" i="7"/>
  <c r="IQH64" i="7"/>
  <c r="IQI64" i="7"/>
  <c r="IQJ64" i="7"/>
  <c r="IQK64" i="7"/>
  <c r="IQL64" i="7"/>
  <c r="IQM64" i="7"/>
  <c r="IQN64" i="7"/>
  <c r="IQO64" i="7"/>
  <c r="IQP64" i="7"/>
  <c r="IQQ64" i="7"/>
  <c r="IQR64" i="7"/>
  <c r="IQS64" i="7"/>
  <c r="IQT64" i="7"/>
  <c r="IQU64" i="7"/>
  <c r="IQV64" i="7"/>
  <c r="IQW64" i="7"/>
  <c r="IQX64" i="7"/>
  <c r="IQY64" i="7"/>
  <c r="IQZ64" i="7"/>
  <c r="IRA64" i="7"/>
  <c r="IRB64" i="7"/>
  <c r="IRC64" i="7"/>
  <c r="IRD64" i="7"/>
  <c r="IRE64" i="7"/>
  <c r="IRF64" i="7"/>
  <c r="IRG64" i="7"/>
  <c r="IRH64" i="7"/>
  <c r="IRI64" i="7"/>
  <c r="IRJ64" i="7"/>
  <c r="IRK64" i="7"/>
  <c r="IRL64" i="7"/>
  <c r="IRM64" i="7"/>
  <c r="IRN64" i="7"/>
  <c r="IRO64" i="7"/>
  <c r="IRP64" i="7"/>
  <c r="IRQ64" i="7"/>
  <c r="IRR64" i="7"/>
  <c r="IRS64" i="7"/>
  <c r="IRT64" i="7"/>
  <c r="IRU64" i="7"/>
  <c r="IRV64" i="7"/>
  <c r="IRW64" i="7"/>
  <c r="IRX64" i="7"/>
  <c r="IRY64" i="7"/>
  <c r="IRZ64" i="7"/>
  <c r="ISA64" i="7"/>
  <c r="ISB64" i="7"/>
  <c r="ISC64" i="7"/>
  <c r="ISD64" i="7"/>
  <c r="ISE64" i="7"/>
  <c r="ISF64" i="7"/>
  <c r="ISG64" i="7"/>
  <c r="ISH64" i="7"/>
  <c r="ISI64" i="7"/>
  <c r="ISJ64" i="7"/>
  <c r="ISK64" i="7"/>
  <c r="ISL64" i="7"/>
  <c r="ISM64" i="7"/>
  <c r="ISN64" i="7"/>
  <c r="ISO64" i="7"/>
  <c r="ISP64" i="7"/>
  <c r="ISQ64" i="7"/>
  <c r="ISR64" i="7"/>
  <c r="ISS64" i="7"/>
  <c r="IST64" i="7"/>
  <c r="ISU64" i="7"/>
  <c r="ISV64" i="7"/>
  <c r="ISW64" i="7"/>
  <c r="ISX64" i="7"/>
  <c r="ISY64" i="7"/>
  <c r="ISZ64" i="7"/>
  <c r="ITA64" i="7"/>
  <c r="ITB64" i="7"/>
  <c r="ITC64" i="7"/>
  <c r="ITD64" i="7"/>
  <c r="ITE64" i="7"/>
  <c r="ITF64" i="7"/>
  <c r="ITG64" i="7"/>
  <c r="ITH64" i="7"/>
  <c r="ITI64" i="7"/>
  <c r="ITJ64" i="7"/>
  <c r="ITK64" i="7"/>
  <c r="ITL64" i="7"/>
  <c r="ITM64" i="7"/>
  <c r="ITN64" i="7"/>
  <c r="ITO64" i="7"/>
  <c r="ITP64" i="7"/>
  <c r="ITQ64" i="7"/>
  <c r="ITR64" i="7"/>
  <c r="ITS64" i="7"/>
  <c r="ITT64" i="7"/>
  <c r="ITU64" i="7"/>
  <c r="ITV64" i="7"/>
  <c r="ITW64" i="7"/>
  <c r="ITX64" i="7"/>
  <c r="ITY64" i="7"/>
  <c r="ITZ64" i="7"/>
  <c r="IUA64" i="7"/>
  <c r="IUB64" i="7"/>
  <c r="IUC64" i="7"/>
  <c r="IUD64" i="7"/>
  <c r="IUE64" i="7"/>
  <c r="IUF64" i="7"/>
  <c r="IUG64" i="7"/>
  <c r="IUH64" i="7"/>
  <c r="IUI64" i="7"/>
  <c r="IUJ64" i="7"/>
  <c r="IUK64" i="7"/>
  <c r="IUL64" i="7"/>
  <c r="IUM64" i="7"/>
  <c r="IUN64" i="7"/>
  <c r="IUO64" i="7"/>
  <c r="IUP64" i="7"/>
  <c r="IUQ64" i="7"/>
  <c r="IUR64" i="7"/>
  <c r="IUS64" i="7"/>
  <c r="IUT64" i="7"/>
  <c r="IUU64" i="7"/>
  <c r="IUV64" i="7"/>
  <c r="IUW64" i="7"/>
  <c r="IUX64" i="7"/>
  <c r="IUY64" i="7"/>
  <c r="IUZ64" i="7"/>
  <c r="IVA64" i="7"/>
  <c r="IVB64" i="7"/>
  <c r="IVC64" i="7"/>
  <c r="IVD64" i="7"/>
  <c r="IVE64" i="7"/>
  <c r="IVF64" i="7"/>
  <c r="IVG64" i="7"/>
  <c r="IVH64" i="7"/>
  <c r="IVI64" i="7"/>
  <c r="IVJ64" i="7"/>
  <c r="IVK64" i="7"/>
  <c r="IVL64" i="7"/>
  <c r="IVM64" i="7"/>
  <c r="IVN64" i="7"/>
  <c r="IVO64" i="7"/>
  <c r="IVP64" i="7"/>
  <c r="IVQ64" i="7"/>
  <c r="IVR64" i="7"/>
  <c r="IVS64" i="7"/>
  <c r="IVT64" i="7"/>
  <c r="IVU64" i="7"/>
  <c r="IVV64" i="7"/>
  <c r="IVW64" i="7"/>
  <c r="IVX64" i="7"/>
  <c r="IVY64" i="7"/>
  <c r="IVZ64" i="7"/>
  <c r="IWA64" i="7"/>
  <c r="IWB64" i="7"/>
  <c r="IWC64" i="7"/>
  <c r="IWD64" i="7"/>
  <c r="IWE64" i="7"/>
  <c r="IWF64" i="7"/>
  <c r="IWG64" i="7"/>
  <c r="IWH64" i="7"/>
  <c r="IWI64" i="7"/>
  <c r="IWJ64" i="7"/>
  <c r="IWK64" i="7"/>
  <c r="IWL64" i="7"/>
  <c r="IWM64" i="7"/>
  <c r="IWN64" i="7"/>
  <c r="IWO64" i="7"/>
  <c r="IWP64" i="7"/>
  <c r="IWQ64" i="7"/>
  <c r="IWR64" i="7"/>
  <c r="IWS64" i="7"/>
  <c r="IWT64" i="7"/>
  <c r="IWU64" i="7"/>
  <c r="IWV64" i="7"/>
  <c r="IWW64" i="7"/>
  <c r="IWX64" i="7"/>
  <c r="IWY64" i="7"/>
  <c r="IWZ64" i="7"/>
  <c r="IXA64" i="7"/>
  <c r="IXB64" i="7"/>
  <c r="IXC64" i="7"/>
  <c r="IXD64" i="7"/>
  <c r="IXE64" i="7"/>
  <c r="IXF64" i="7"/>
  <c r="IXG64" i="7"/>
  <c r="IXH64" i="7"/>
  <c r="IXI64" i="7"/>
  <c r="IXJ64" i="7"/>
  <c r="IXK64" i="7"/>
  <c r="IXL64" i="7"/>
  <c r="IXM64" i="7"/>
  <c r="IXN64" i="7"/>
  <c r="IXO64" i="7"/>
  <c r="IXP64" i="7"/>
  <c r="IXQ64" i="7"/>
  <c r="IXR64" i="7"/>
  <c r="IXS64" i="7"/>
  <c r="IXT64" i="7"/>
  <c r="IXU64" i="7"/>
  <c r="IXV64" i="7"/>
  <c r="IXW64" i="7"/>
  <c r="IXX64" i="7"/>
  <c r="IXY64" i="7"/>
  <c r="IXZ64" i="7"/>
  <c r="IYA64" i="7"/>
  <c r="IYB64" i="7"/>
  <c r="IYC64" i="7"/>
  <c r="IYD64" i="7"/>
  <c r="IYE64" i="7"/>
  <c r="IYF64" i="7"/>
  <c r="IYG64" i="7"/>
  <c r="IYH64" i="7"/>
  <c r="IYI64" i="7"/>
  <c r="IYJ64" i="7"/>
  <c r="IYK64" i="7"/>
  <c r="IYL64" i="7"/>
  <c r="IYM64" i="7"/>
  <c r="IYN64" i="7"/>
  <c r="IYO64" i="7"/>
  <c r="IYP64" i="7"/>
  <c r="IYQ64" i="7"/>
  <c r="IYR64" i="7"/>
  <c r="IYS64" i="7"/>
  <c r="IYT64" i="7"/>
  <c r="IYU64" i="7"/>
  <c r="IYV64" i="7"/>
  <c r="IYW64" i="7"/>
  <c r="IYX64" i="7"/>
  <c r="IYY64" i="7"/>
  <c r="IYZ64" i="7"/>
  <c r="IZA64" i="7"/>
  <c r="IZB64" i="7"/>
  <c r="IZC64" i="7"/>
  <c r="IZD64" i="7"/>
  <c r="IZE64" i="7"/>
  <c r="IZF64" i="7"/>
  <c r="IZG64" i="7"/>
  <c r="IZH64" i="7"/>
  <c r="IZI64" i="7"/>
  <c r="IZJ64" i="7"/>
  <c r="IZK64" i="7"/>
  <c r="IZL64" i="7"/>
  <c r="IZM64" i="7"/>
  <c r="IZN64" i="7"/>
  <c r="IZO64" i="7"/>
  <c r="IZP64" i="7"/>
  <c r="IZQ64" i="7"/>
  <c r="IZR64" i="7"/>
  <c r="IZS64" i="7"/>
  <c r="IZT64" i="7"/>
  <c r="IZU64" i="7"/>
  <c r="IZV64" i="7"/>
  <c r="IZW64" i="7"/>
  <c r="IZX64" i="7"/>
  <c r="IZY64" i="7"/>
  <c r="IZZ64" i="7"/>
  <c r="JAA64" i="7"/>
  <c r="JAB64" i="7"/>
  <c r="JAC64" i="7"/>
  <c r="JAD64" i="7"/>
  <c r="JAE64" i="7"/>
  <c r="JAF64" i="7"/>
  <c r="JAG64" i="7"/>
  <c r="JAH64" i="7"/>
  <c r="JAI64" i="7"/>
  <c r="JAJ64" i="7"/>
  <c r="JAK64" i="7"/>
  <c r="JAL64" i="7"/>
  <c r="JAM64" i="7"/>
  <c r="JAN64" i="7"/>
  <c r="JAO64" i="7"/>
  <c r="JAP64" i="7"/>
  <c r="JAQ64" i="7"/>
  <c r="JAR64" i="7"/>
  <c r="JAS64" i="7"/>
  <c r="JAT64" i="7"/>
  <c r="JAU64" i="7"/>
  <c r="JAV64" i="7"/>
  <c r="JAW64" i="7"/>
  <c r="JAX64" i="7"/>
  <c r="JAY64" i="7"/>
  <c r="JAZ64" i="7"/>
  <c r="JBA64" i="7"/>
  <c r="JBB64" i="7"/>
  <c r="JBC64" i="7"/>
  <c r="JBD64" i="7"/>
  <c r="JBE64" i="7"/>
  <c r="JBF64" i="7"/>
  <c r="JBG64" i="7"/>
  <c r="JBH64" i="7"/>
  <c r="JBI64" i="7"/>
  <c r="JBJ64" i="7"/>
  <c r="JBK64" i="7"/>
  <c r="JBL64" i="7"/>
  <c r="JBM64" i="7"/>
  <c r="JBN64" i="7"/>
  <c r="JBO64" i="7"/>
  <c r="JBP64" i="7"/>
  <c r="JBQ64" i="7"/>
  <c r="JBR64" i="7"/>
  <c r="JBS64" i="7"/>
  <c r="JBT64" i="7"/>
  <c r="JBU64" i="7"/>
  <c r="JBV64" i="7"/>
  <c r="JBW64" i="7"/>
  <c r="JBX64" i="7"/>
  <c r="JBY64" i="7"/>
  <c r="JBZ64" i="7"/>
  <c r="JCA64" i="7"/>
  <c r="JCB64" i="7"/>
  <c r="JCC64" i="7"/>
  <c r="JCD64" i="7"/>
  <c r="JCE64" i="7"/>
  <c r="JCF64" i="7"/>
  <c r="JCG64" i="7"/>
  <c r="JCH64" i="7"/>
  <c r="JCI64" i="7"/>
  <c r="JCJ64" i="7"/>
  <c r="JCK64" i="7"/>
  <c r="JCL64" i="7"/>
  <c r="JCM64" i="7"/>
  <c r="JCN64" i="7"/>
  <c r="JCO64" i="7"/>
  <c r="JCP64" i="7"/>
  <c r="JCQ64" i="7"/>
  <c r="JCR64" i="7"/>
  <c r="JCS64" i="7"/>
  <c r="JCT64" i="7"/>
  <c r="JCU64" i="7"/>
  <c r="JCV64" i="7"/>
  <c r="JCW64" i="7"/>
  <c r="JCX64" i="7"/>
  <c r="JCY64" i="7"/>
  <c r="JCZ64" i="7"/>
  <c r="JDA64" i="7"/>
  <c r="JDB64" i="7"/>
  <c r="JDC64" i="7"/>
  <c r="JDD64" i="7"/>
  <c r="JDE64" i="7"/>
  <c r="JDF64" i="7"/>
  <c r="JDG64" i="7"/>
  <c r="JDH64" i="7"/>
  <c r="JDI64" i="7"/>
  <c r="JDJ64" i="7"/>
  <c r="JDK64" i="7"/>
  <c r="JDL64" i="7"/>
  <c r="JDM64" i="7"/>
  <c r="JDN64" i="7"/>
  <c r="JDO64" i="7"/>
  <c r="JDP64" i="7"/>
  <c r="JDQ64" i="7"/>
  <c r="JDR64" i="7"/>
  <c r="JDS64" i="7"/>
  <c r="JDT64" i="7"/>
  <c r="JDU64" i="7"/>
  <c r="JDV64" i="7"/>
  <c r="JDW64" i="7"/>
  <c r="JDX64" i="7"/>
  <c r="JDY64" i="7"/>
  <c r="JDZ64" i="7"/>
  <c r="JEA64" i="7"/>
  <c r="JEB64" i="7"/>
  <c r="JEC64" i="7"/>
  <c r="JED64" i="7"/>
  <c r="JEE64" i="7"/>
  <c r="JEF64" i="7"/>
  <c r="JEG64" i="7"/>
  <c r="JEH64" i="7"/>
  <c r="JEI64" i="7"/>
  <c r="JEJ64" i="7"/>
  <c r="JEK64" i="7"/>
  <c r="JEL64" i="7"/>
  <c r="JEM64" i="7"/>
  <c r="JEN64" i="7"/>
  <c r="JEO64" i="7"/>
  <c r="JEP64" i="7"/>
  <c r="JEQ64" i="7"/>
  <c r="JER64" i="7"/>
  <c r="JES64" i="7"/>
  <c r="JET64" i="7"/>
  <c r="JEU64" i="7"/>
  <c r="JEV64" i="7"/>
  <c r="JEW64" i="7"/>
  <c r="JEX64" i="7"/>
  <c r="JEY64" i="7"/>
  <c r="JEZ64" i="7"/>
  <c r="JFA64" i="7"/>
  <c r="JFB64" i="7"/>
  <c r="JFC64" i="7"/>
  <c r="JFD64" i="7"/>
  <c r="JFE64" i="7"/>
  <c r="JFF64" i="7"/>
  <c r="JFG64" i="7"/>
  <c r="JFH64" i="7"/>
  <c r="JFI64" i="7"/>
  <c r="JFJ64" i="7"/>
  <c r="JFK64" i="7"/>
  <c r="JFL64" i="7"/>
  <c r="JFM64" i="7"/>
  <c r="JFN64" i="7"/>
  <c r="JFO64" i="7"/>
  <c r="JFP64" i="7"/>
  <c r="JFQ64" i="7"/>
  <c r="JFR64" i="7"/>
  <c r="JFS64" i="7"/>
  <c r="JFT64" i="7"/>
  <c r="JFU64" i="7"/>
  <c r="JFV64" i="7"/>
  <c r="JFW64" i="7"/>
  <c r="JFX64" i="7"/>
  <c r="JFY64" i="7"/>
  <c r="JFZ64" i="7"/>
  <c r="JGA64" i="7"/>
  <c r="JGB64" i="7"/>
  <c r="JGC64" i="7"/>
  <c r="JGD64" i="7"/>
  <c r="JGE64" i="7"/>
  <c r="JGF64" i="7"/>
  <c r="JGG64" i="7"/>
  <c r="JGH64" i="7"/>
  <c r="JGI64" i="7"/>
  <c r="JGJ64" i="7"/>
  <c r="JGK64" i="7"/>
  <c r="JGL64" i="7"/>
  <c r="JGM64" i="7"/>
  <c r="JGN64" i="7"/>
  <c r="JGO64" i="7"/>
  <c r="JGP64" i="7"/>
  <c r="JGQ64" i="7"/>
  <c r="JGR64" i="7"/>
  <c r="JGS64" i="7"/>
  <c r="JGT64" i="7"/>
  <c r="JGU64" i="7"/>
  <c r="JGV64" i="7"/>
  <c r="JGW64" i="7"/>
  <c r="JGX64" i="7"/>
  <c r="JGY64" i="7"/>
  <c r="JGZ64" i="7"/>
  <c r="JHA64" i="7"/>
  <c r="JHB64" i="7"/>
  <c r="JHC64" i="7"/>
  <c r="JHD64" i="7"/>
  <c r="JHE64" i="7"/>
  <c r="JHF64" i="7"/>
  <c r="JHG64" i="7"/>
  <c r="JHH64" i="7"/>
  <c r="JHI64" i="7"/>
  <c r="JHJ64" i="7"/>
  <c r="JHK64" i="7"/>
  <c r="JHL64" i="7"/>
  <c r="JHM64" i="7"/>
  <c r="JHN64" i="7"/>
  <c r="JHO64" i="7"/>
  <c r="JHP64" i="7"/>
  <c r="JHQ64" i="7"/>
  <c r="JHR64" i="7"/>
  <c r="JHS64" i="7"/>
  <c r="JHT64" i="7"/>
  <c r="JHU64" i="7"/>
  <c r="JHV64" i="7"/>
  <c r="JHW64" i="7"/>
  <c r="JHX64" i="7"/>
  <c r="JHY64" i="7"/>
  <c r="JHZ64" i="7"/>
  <c r="JIA64" i="7"/>
  <c r="JIB64" i="7"/>
  <c r="JIC64" i="7"/>
  <c r="JID64" i="7"/>
  <c r="JIE64" i="7"/>
  <c r="JIF64" i="7"/>
  <c r="JIG64" i="7"/>
  <c r="JIH64" i="7"/>
  <c r="JII64" i="7"/>
  <c r="JIJ64" i="7"/>
  <c r="JIK64" i="7"/>
  <c r="JIL64" i="7"/>
  <c r="JIM64" i="7"/>
  <c r="JIN64" i="7"/>
  <c r="JIO64" i="7"/>
  <c r="JIP64" i="7"/>
  <c r="JIQ64" i="7"/>
  <c r="JIR64" i="7"/>
  <c r="JIS64" i="7"/>
  <c r="JIT64" i="7"/>
  <c r="JIU64" i="7"/>
  <c r="JIV64" i="7"/>
  <c r="JIW64" i="7"/>
  <c r="JIX64" i="7"/>
  <c r="JIY64" i="7"/>
  <c r="JIZ64" i="7"/>
  <c r="JJA64" i="7"/>
  <c r="JJB64" i="7"/>
  <c r="JJC64" i="7"/>
  <c r="JJD64" i="7"/>
  <c r="JJE64" i="7"/>
  <c r="JJF64" i="7"/>
  <c r="JJG64" i="7"/>
  <c r="JJH64" i="7"/>
  <c r="JJI64" i="7"/>
  <c r="JJJ64" i="7"/>
  <c r="JJK64" i="7"/>
  <c r="JJL64" i="7"/>
  <c r="JJM64" i="7"/>
  <c r="JJN64" i="7"/>
  <c r="JJO64" i="7"/>
  <c r="JJP64" i="7"/>
  <c r="JJQ64" i="7"/>
  <c r="JJR64" i="7"/>
  <c r="JJS64" i="7"/>
  <c r="JJT64" i="7"/>
  <c r="JJU64" i="7"/>
  <c r="JJV64" i="7"/>
  <c r="JJW64" i="7"/>
  <c r="JJX64" i="7"/>
  <c r="JJY64" i="7"/>
  <c r="JJZ64" i="7"/>
  <c r="JKA64" i="7"/>
  <c r="JKB64" i="7"/>
  <c r="JKC64" i="7"/>
  <c r="JKD64" i="7"/>
  <c r="JKE64" i="7"/>
  <c r="JKF64" i="7"/>
  <c r="JKG64" i="7"/>
  <c r="JKH64" i="7"/>
  <c r="JKI64" i="7"/>
  <c r="JKJ64" i="7"/>
  <c r="JKK64" i="7"/>
  <c r="JKL64" i="7"/>
  <c r="JKM64" i="7"/>
  <c r="JKN64" i="7"/>
  <c r="JKO64" i="7"/>
  <c r="JKP64" i="7"/>
  <c r="JKQ64" i="7"/>
  <c r="JKR64" i="7"/>
  <c r="JKS64" i="7"/>
  <c r="JKT64" i="7"/>
  <c r="JKU64" i="7"/>
  <c r="JKV64" i="7"/>
  <c r="JKW64" i="7"/>
  <c r="JKX64" i="7"/>
  <c r="JKY64" i="7"/>
  <c r="JKZ64" i="7"/>
  <c r="JLA64" i="7"/>
  <c r="JLB64" i="7"/>
  <c r="JLC64" i="7"/>
  <c r="JLD64" i="7"/>
  <c r="JLE64" i="7"/>
  <c r="JLF64" i="7"/>
  <c r="JLG64" i="7"/>
  <c r="JLH64" i="7"/>
  <c r="JLI64" i="7"/>
  <c r="JLJ64" i="7"/>
  <c r="JLK64" i="7"/>
  <c r="JLL64" i="7"/>
  <c r="JLM64" i="7"/>
  <c r="JLN64" i="7"/>
  <c r="JLO64" i="7"/>
  <c r="JLP64" i="7"/>
  <c r="JLQ64" i="7"/>
  <c r="JLR64" i="7"/>
  <c r="JLS64" i="7"/>
  <c r="JLT64" i="7"/>
  <c r="JLU64" i="7"/>
  <c r="JLV64" i="7"/>
  <c r="JLW64" i="7"/>
  <c r="JLX64" i="7"/>
  <c r="JLY64" i="7"/>
  <c r="JLZ64" i="7"/>
  <c r="JMA64" i="7"/>
  <c r="JMB64" i="7"/>
  <c r="JMC64" i="7"/>
  <c r="JMD64" i="7"/>
  <c r="JME64" i="7"/>
  <c r="JMF64" i="7"/>
  <c r="JMG64" i="7"/>
  <c r="JMH64" i="7"/>
  <c r="JMI64" i="7"/>
  <c r="JMJ64" i="7"/>
  <c r="JMK64" i="7"/>
  <c r="JML64" i="7"/>
  <c r="JMM64" i="7"/>
  <c r="JMN64" i="7"/>
  <c r="JMO64" i="7"/>
  <c r="JMP64" i="7"/>
  <c r="JMQ64" i="7"/>
  <c r="JMR64" i="7"/>
  <c r="JMS64" i="7"/>
  <c r="JMT64" i="7"/>
  <c r="JMU64" i="7"/>
  <c r="JMV64" i="7"/>
  <c r="JMW64" i="7"/>
  <c r="JMX64" i="7"/>
  <c r="JMY64" i="7"/>
  <c r="JMZ64" i="7"/>
  <c r="JNA64" i="7"/>
  <c r="JNB64" i="7"/>
  <c r="JNC64" i="7"/>
  <c r="JND64" i="7"/>
  <c r="JNE64" i="7"/>
  <c r="JNF64" i="7"/>
  <c r="JNG64" i="7"/>
  <c r="JNH64" i="7"/>
  <c r="JNI64" i="7"/>
  <c r="JNJ64" i="7"/>
  <c r="JNK64" i="7"/>
  <c r="JNL64" i="7"/>
  <c r="JNM64" i="7"/>
  <c r="JNN64" i="7"/>
  <c r="JNO64" i="7"/>
  <c r="JNP64" i="7"/>
  <c r="JNQ64" i="7"/>
  <c r="JNR64" i="7"/>
  <c r="JNS64" i="7"/>
  <c r="JNT64" i="7"/>
  <c r="JNU64" i="7"/>
  <c r="JNV64" i="7"/>
  <c r="JNW64" i="7"/>
  <c r="JNX64" i="7"/>
  <c r="JNY64" i="7"/>
  <c r="JNZ64" i="7"/>
  <c r="JOA64" i="7"/>
  <c r="JOB64" i="7"/>
  <c r="JOC64" i="7"/>
  <c r="JOD64" i="7"/>
  <c r="JOE64" i="7"/>
  <c r="JOF64" i="7"/>
  <c r="JOG64" i="7"/>
  <c r="JOH64" i="7"/>
  <c r="JOI64" i="7"/>
  <c r="JOJ64" i="7"/>
  <c r="JOK64" i="7"/>
  <c r="JOL64" i="7"/>
  <c r="JOM64" i="7"/>
  <c r="JON64" i="7"/>
  <c r="JOO64" i="7"/>
  <c r="JOP64" i="7"/>
  <c r="JOQ64" i="7"/>
  <c r="JOR64" i="7"/>
  <c r="JOS64" i="7"/>
  <c r="JOT64" i="7"/>
  <c r="JOU64" i="7"/>
  <c r="JOV64" i="7"/>
  <c r="JOW64" i="7"/>
  <c r="JOX64" i="7"/>
  <c r="JOY64" i="7"/>
  <c r="JOZ64" i="7"/>
  <c r="JPA64" i="7"/>
  <c r="JPB64" i="7"/>
  <c r="JPC64" i="7"/>
  <c r="JPD64" i="7"/>
  <c r="JPE64" i="7"/>
  <c r="JPF64" i="7"/>
  <c r="JPG64" i="7"/>
  <c r="JPH64" i="7"/>
  <c r="JPI64" i="7"/>
  <c r="JPJ64" i="7"/>
  <c r="JPK64" i="7"/>
  <c r="JPL64" i="7"/>
  <c r="JPM64" i="7"/>
  <c r="JPN64" i="7"/>
  <c r="JPO64" i="7"/>
  <c r="JPP64" i="7"/>
  <c r="JPQ64" i="7"/>
  <c r="JPR64" i="7"/>
  <c r="JPS64" i="7"/>
  <c r="JPT64" i="7"/>
  <c r="JPU64" i="7"/>
  <c r="JPV64" i="7"/>
  <c r="JPW64" i="7"/>
  <c r="JPX64" i="7"/>
  <c r="JPY64" i="7"/>
  <c r="JPZ64" i="7"/>
  <c r="JQA64" i="7"/>
  <c r="JQB64" i="7"/>
  <c r="JQC64" i="7"/>
  <c r="JQD64" i="7"/>
  <c r="JQE64" i="7"/>
  <c r="JQF64" i="7"/>
  <c r="JQG64" i="7"/>
  <c r="JQH64" i="7"/>
  <c r="JQI64" i="7"/>
  <c r="JQJ64" i="7"/>
  <c r="JQK64" i="7"/>
  <c r="JQL64" i="7"/>
  <c r="JQM64" i="7"/>
  <c r="JQN64" i="7"/>
  <c r="JQO64" i="7"/>
  <c r="JQP64" i="7"/>
  <c r="JQQ64" i="7"/>
  <c r="JQR64" i="7"/>
  <c r="JQS64" i="7"/>
  <c r="JQT64" i="7"/>
  <c r="JQU64" i="7"/>
  <c r="JQV64" i="7"/>
  <c r="JQW64" i="7"/>
  <c r="JQX64" i="7"/>
  <c r="JQY64" i="7"/>
  <c r="JQZ64" i="7"/>
  <c r="JRA64" i="7"/>
  <c r="JRB64" i="7"/>
  <c r="JRC64" i="7"/>
  <c r="JRD64" i="7"/>
  <c r="JRE64" i="7"/>
  <c r="JRF64" i="7"/>
  <c r="JRG64" i="7"/>
  <c r="JRH64" i="7"/>
  <c r="JRI64" i="7"/>
  <c r="JRJ64" i="7"/>
  <c r="JRK64" i="7"/>
  <c r="JRL64" i="7"/>
  <c r="JRM64" i="7"/>
  <c r="JRN64" i="7"/>
  <c r="JRO64" i="7"/>
  <c r="JRP64" i="7"/>
  <c r="JRQ64" i="7"/>
  <c r="JRR64" i="7"/>
  <c r="JRS64" i="7"/>
  <c r="JRT64" i="7"/>
  <c r="JRU64" i="7"/>
  <c r="JRV64" i="7"/>
  <c r="JRW64" i="7"/>
  <c r="JRX64" i="7"/>
  <c r="JRY64" i="7"/>
  <c r="JRZ64" i="7"/>
  <c r="JSA64" i="7"/>
  <c r="JSB64" i="7"/>
  <c r="JSC64" i="7"/>
  <c r="JSD64" i="7"/>
  <c r="JSE64" i="7"/>
  <c r="JSF64" i="7"/>
  <c r="JSG64" i="7"/>
  <c r="JSH64" i="7"/>
  <c r="JSI64" i="7"/>
  <c r="JSJ64" i="7"/>
  <c r="JSK64" i="7"/>
  <c r="JSL64" i="7"/>
  <c r="JSM64" i="7"/>
  <c r="JSN64" i="7"/>
  <c r="JSO64" i="7"/>
  <c r="JSP64" i="7"/>
  <c r="JSQ64" i="7"/>
  <c r="JSR64" i="7"/>
  <c r="JSS64" i="7"/>
  <c r="JST64" i="7"/>
  <c r="JSU64" i="7"/>
  <c r="JSV64" i="7"/>
  <c r="JSW64" i="7"/>
  <c r="JSX64" i="7"/>
  <c r="JSY64" i="7"/>
  <c r="JSZ64" i="7"/>
  <c r="JTA64" i="7"/>
  <c r="JTB64" i="7"/>
  <c r="JTC64" i="7"/>
  <c r="JTD64" i="7"/>
  <c r="JTE64" i="7"/>
  <c r="JTF64" i="7"/>
  <c r="JTG64" i="7"/>
  <c r="JTH64" i="7"/>
  <c r="JTI64" i="7"/>
  <c r="JTJ64" i="7"/>
  <c r="JTK64" i="7"/>
  <c r="JTL64" i="7"/>
  <c r="JTM64" i="7"/>
  <c r="JTN64" i="7"/>
  <c r="JTO64" i="7"/>
  <c r="JTP64" i="7"/>
  <c r="JTQ64" i="7"/>
  <c r="JTR64" i="7"/>
  <c r="JTS64" i="7"/>
  <c r="JTT64" i="7"/>
  <c r="JTU64" i="7"/>
  <c r="JTV64" i="7"/>
  <c r="JTW64" i="7"/>
  <c r="JTX64" i="7"/>
  <c r="JTY64" i="7"/>
  <c r="JTZ64" i="7"/>
  <c r="JUA64" i="7"/>
  <c r="JUB64" i="7"/>
  <c r="JUC64" i="7"/>
  <c r="JUD64" i="7"/>
  <c r="JUE64" i="7"/>
  <c r="JUF64" i="7"/>
  <c r="JUG64" i="7"/>
  <c r="JUH64" i="7"/>
  <c r="JUI64" i="7"/>
  <c r="JUJ64" i="7"/>
  <c r="JUK64" i="7"/>
  <c r="JUL64" i="7"/>
  <c r="JUM64" i="7"/>
  <c r="JUN64" i="7"/>
  <c r="JUO64" i="7"/>
  <c r="JUP64" i="7"/>
  <c r="JUQ64" i="7"/>
  <c r="JUR64" i="7"/>
  <c r="JUS64" i="7"/>
  <c r="JUT64" i="7"/>
  <c r="JUU64" i="7"/>
  <c r="JUV64" i="7"/>
  <c r="JUW64" i="7"/>
  <c r="JUX64" i="7"/>
  <c r="JUY64" i="7"/>
  <c r="JUZ64" i="7"/>
  <c r="JVA64" i="7"/>
  <c r="JVB64" i="7"/>
  <c r="JVC64" i="7"/>
  <c r="JVD64" i="7"/>
  <c r="JVE64" i="7"/>
  <c r="JVF64" i="7"/>
  <c r="JVG64" i="7"/>
  <c r="JVH64" i="7"/>
  <c r="JVI64" i="7"/>
  <c r="JVJ64" i="7"/>
  <c r="JVK64" i="7"/>
  <c r="JVL64" i="7"/>
  <c r="JVM64" i="7"/>
  <c r="JVN64" i="7"/>
  <c r="JVO64" i="7"/>
  <c r="JVP64" i="7"/>
  <c r="JVQ64" i="7"/>
  <c r="JVR64" i="7"/>
  <c r="JVS64" i="7"/>
  <c r="JVT64" i="7"/>
  <c r="JVU64" i="7"/>
  <c r="JVV64" i="7"/>
  <c r="JVW64" i="7"/>
  <c r="JVX64" i="7"/>
  <c r="JVY64" i="7"/>
  <c r="JVZ64" i="7"/>
  <c r="JWA64" i="7"/>
  <c r="JWB64" i="7"/>
  <c r="JWC64" i="7"/>
  <c r="JWD64" i="7"/>
  <c r="JWE64" i="7"/>
  <c r="JWF64" i="7"/>
  <c r="JWG64" i="7"/>
  <c r="JWH64" i="7"/>
  <c r="JWI64" i="7"/>
  <c r="JWJ64" i="7"/>
  <c r="JWK64" i="7"/>
  <c r="JWL64" i="7"/>
  <c r="JWM64" i="7"/>
  <c r="JWN64" i="7"/>
  <c r="JWO64" i="7"/>
  <c r="JWP64" i="7"/>
  <c r="JWQ64" i="7"/>
  <c r="JWR64" i="7"/>
  <c r="JWS64" i="7"/>
  <c r="JWT64" i="7"/>
  <c r="JWU64" i="7"/>
  <c r="JWV64" i="7"/>
  <c r="JWW64" i="7"/>
  <c r="JWX64" i="7"/>
  <c r="JWY64" i="7"/>
  <c r="JWZ64" i="7"/>
  <c r="JXA64" i="7"/>
  <c r="JXB64" i="7"/>
  <c r="JXC64" i="7"/>
  <c r="JXD64" i="7"/>
  <c r="JXE64" i="7"/>
  <c r="JXF64" i="7"/>
  <c r="JXG64" i="7"/>
  <c r="JXH64" i="7"/>
  <c r="JXI64" i="7"/>
  <c r="JXJ64" i="7"/>
  <c r="JXK64" i="7"/>
  <c r="JXL64" i="7"/>
  <c r="JXM64" i="7"/>
  <c r="JXN64" i="7"/>
  <c r="JXO64" i="7"/>
  <c r="JXP64" i="7"/>
  <c r="JXQ64" i="7"/>
  <c r="JXR64" i="7"/>
  <c r="JXS64" i="7"/>
  <c r="JXT64" i="7"/>
  <c r="JXU64" i="7"/>
  <c r="JXV64" i="7"/>
  <c r="JXW64" i="7"/>
  <c r="JXX64" i="7"/>
  <c r="JXY64" i="7"/>
  <c r="JXZ64" i="7"/>
  <c r="JYA64" i="7"/>
  <c r="JYB64" i="7"/>
  <c r="JYC64" i="7"/>
  <c r="JYD64" i="7"/>
  <c r="JYE64" i="7"/>
  <c r="JYF64" i="7"/>
  <c r="JYG64" i="7"/>
  <c r="JYH64" i="7"/>
  <c r="JYI64" i="7"/>
  <c r="JYJ64" i="7"/>
  <c r="JYK64" i="7"/>
  <c r="JYL64" i="7"/>
  <c r="JYM64" i="7"/>
  <c r="JYN64" i="7"/>
  <c r="JYO64" i="7"/>
  <c r="JYP64" i="7"/>
  <c r="JYQ64" i="7"/>
  <c r="JYR64" i="7"/>
  <c r="JYS64" i="7"/>
  <c r="JYT64" i="7"/>
  <c r="JYU64" i="7"/>
  <c r="JYV64" i="7"/>
  <c r="JYW64" i="7"/>
  <c r="JYX64" i="7"/>
  <c r="JYY64" i="7"/>
  <c r="JYZ64" i="7"/>
  <c r="JZA64" i="7"/>
  <c r="JZB64" i="7"/>
  <c r="JZC64" i="7"/>
  <c r="JZD64" i="7"/>
  <c r="JZE64" i="7"/>
  <c r="JZF64" i="7"/>
  <c r="JZG64" i="7"/>
  <c r="JZH64" i="7"/>
  <c r="JZI64" i="7"/>
  <c r="JZJ64" i="7"/>
  <c r="JZK64" i="7"/>
  <c r="JZL64" i="7"/>
  <c r="JZM64" i="7"/>
  <c r="JZN64" i="7"/>
  <c r="JZO64" i="7"/>
  <c r="JZP64" i="7"/>
  <c r="JZQ64" i="7"/>
  <c r="JZR64" i="7"/>
  <c r="JZS64" i="7"/>
  <c r="JZT64" i="7"/>
  <c r="JZU64" i="7"/>
  <c r="JZV64" i="7"/>
  <c r="JZW64" i="7"/>
  <c r="JZX64" i="7"/>
  <c r="JZY64" i="7"/>
  <c r="JZZ64" i="7"/>
  <c r="KAA64" i="7"/>
  <c r="KAB64" i="7"/>
  <c r="KAC64" i="7"/>
  <c r="KAD64" i="7"/>
  <c r="KAE64" i="7"/>
  <c r="KAF64" i="7"/>
  <c r="KAG64" i="7"/>
  <c r="KAH64" i="7"/>
  <c r="KAI64" i="7"/>
  <c r="KAJ64" i="7"/>
  <c r="KAK64" i="7"/>
  <c r="KAL64" i="7"/>
  <c r="KAM64" i="7"/>
  <c r="KAN64" i="7"/>
  <c r="KAO64" i="7"/>
  <c r="KAP64" i="7"/>
  <c r="KAQ64" i="7"/>
  <c r="KAR64" i="7"/>
  <c r="KAS64" i="7"/>
  <c r="KAT64" i="7"/>
  <c r="KAU64" i="7"/>
  <c r="KAV64" i="7"/>
  <c r="KAW64" i="7"/>
  <c r="KAX64" i="7"/>
  <c r="KAY64" i="7"/>
  <c r="KAZ64" i="7"/>
  <c r="KBA64" i="7"/>
  <c r="KBB64" i="7"/>
  <c r="KBC64" i="7"/>
  <c r="KBD64" i="7"/>
  <c r="KBE64" i="7"/>
  <c r="KBF64" i="7"/>
  <c r="KBG64" i="7"/>
  <c r="KBH64" i="7"/>
  <c r="KBI64" i="7"/>
  <c r="KBJ64" i="7"/>
  <c r="KBK64" i="7"/>
  <c r="KBL64" i="7"/>
  <c r="KBM64" i="7"/>
  <c r="KBN64" i="7"/>
  <c r="KBO64" i="7"/>
  <c r="KBP64" i="7"/>
  <c r="KBQ64" i="7"/>
  <c r="KBR64" i="7"/>
  <c r="KBS64" i="7"/>
  <c r="KBT64" i="7"/>
  <c r="KBU64" i="7"/>
  <c r="KBV64" i="7"/>
  <c r="KBW64" i="7"/>
  <c r="KBX64" i="7"/>
  <c r="KBY64" i="7"/>
  <c r="KBZ64" i="7"/>
  <c r="KCA64" i="7"/>
  <c r="KCB64" i="7"/>
  <c r="KCC64" i="7"/>
  <c r="KCD64" i="7"/>
  <c r="KCE64" i="7"/>
  <c r="KCF64" i="7"/>
  <c r="KCG64" i="7"/>
  <c r="KCH64" i="7"/>
  <c r="KCI64" i="7"/>
  <c r="KCJ64" i="7"/>
  <c r="KCK64" i="7"/>
  <c r="KCL64" i="7"/>
  <c r="KCM64" i="7"/>
  <c r="KCN64" i="7"/>
  <c r="KCO64" i="7"/>
  <c r="KCP64" i="7"/>
  <c r="KCQ64" i="7"/>
  <c r="KCR64" i="7"/>
  <c r="KCS64" i="7"/>
  <c r="KCT64" i="7"/>
  <c r="KCU64" i="7"/>
  <c r="KCV64" i="7"/>
  <c r="KCW64" i="7"/>
  <c r="KCX64" i="7"/>
  <c r="KCY64" i="7"/>
  <c r="KCZ64" i="7"/>
  <c r="KDA64" i="7"/>
  <c r="KDB64" i="7"/>
  <c r="KDC64" i="7"/>
  <c r="KDD64" i="7"/>
  <c r="KDE64" i="7"/>
  <c r="KDF64" i="7"/>
  <c r="KDG64" i="7"/>
  <c r="KDH64" i="7"/>
  <c r="KDI64" i="7"/>
  <c r="KDJ64" i="7"/>
  <c r="KDK64" i="7"/>
  <c r="KDL64" i="7"/>
  <c r="KDM64" i="7"/>
  <c r="KDN64" i="7"/>
  <c r="KDO64" i="7"/>
  <c r="KDP64" i="7"/>
  <c r="KDQ64" i="7"/>
  <c r="KDR64" i="7"/>
  <c r="KDS64" i="7"/>
  <c r="KDT64" i="7"/>
  <c r="KDU64" i="7"/>
  <c r="KDV64" i="7"/>
  <c r="KDW64" i="7"/>
  <c r="KDX64" i="7"/>
  <c r="KDY64" i="7"/>
  <c r="KDZ64" i="7"/>
  <c r="KEA64" i="7"/>
  <c r="KEB64" i="7"/>
  <c r="KEC64" i="7"/>
  <c r="KED64" i="7"/>
  <c r="KEE64" i="7"/>
  <c r="KEF64" i="7"/>
  <c r="KEG64" i="7"/>
  <c r="KEH64" i="7"/>
  <c r="KEI64" i="7"/>
  <c r="KEJ64" i="7"/>
  <c r="KEK64" i="7"/>
  <c r="KEL64" i="7"/>
  <c r="KEM64" i="7"/>
  <c r="KEN64" i="7"/>
  <c r="KEO64" i="7"/>
  <c r="KEP64" i="7"/>
  <c r="KEQ64" i="7"/>
  <c r="KER64" i="7"/>
  <c r="KES64" i="7"/>
  <c r="KET64" i="7"/>
  <c r="KEU64" i="7"/>
  <c r="KEV64" i="7"/>
  <c r="KEW64" i="7"/>
  <c r="KEX64" i="7"/>
  <c r="KEY64" i="7"/>
  <c r="KEZ64" i="7"/>
  <c r="KFA64" i="7"/>
  <c r="KFB64" i="7"/>
  <c r="KFC64" i="7"/>
  <c r="KFD64" i="7"/>
  <c r="KFE64" i="7"/>
  <c r="KFF64" i="7"/>
  <c r="KFG64" i="7"/>
  <c r="KFH64" i="7"/>
  <c r="KFI64" i="7"/>
  <c r="KFJ64" i="7"/>
  <c r="KFK64" i="7"/>
  <c r="KFL64" i="7"/>
  <c r="KFM64" i="7"/>
  <c r="KFN64" i="7"/>
  <c r="KFO64" i="7"/>
  <c r="KFP64" i="7"/>
  <c r="KFQ64" i="7"/>
  <c r="KFR64" i="7"/>
  <c r="KFS64" i="7"/>
  <c r="KFT64" i="7"/>
  <c r="KFU64" i="7"/>
  <c r="KFV64" i="7"/>
  <c r="KFW64" i="7"/>
  <c r="KFX64" i="7"/>
  <c r="KFY64" i="7"/>
  <c r="KFZ64" i="7"/>
  <c r="KGA64" i="7"/>
  <c r="KGB64" i="7"/>
  <c r="KGC64" i="7"/>
  <c r="KGD64" i="7"/>
  <c r="KGE64" i="7"/>
  <c r="KGF64" i="7"/>
  <c r="KGG64" i="7"/>
  <c r="KGH64" i="7"/>
  <c r="KGI64" i="7"/>
  <c r="KGJ64" i="7"/>
  <c r="KGK64" i="7"/>
  <c r="KGL64" i="7"/>
  <c r="KGM64" i="7"/>
  <c r="KGN64" i="7"/>
  <c r="KGO64" i="7"/>
  <c r="KGP64" i="7"/>
  <c r="KGQ64" i="7"/>
  <c r="KGR64" i="7"/>
  <c r="KGS64" i="7"/>
  <c r="KGT64" i="7"/>
  <c r="KGU64" i="7"/>
  <c r="KGV64" i="7"/>
  <c r="KGW64" i="7"/>
  <c r="KGX64" i="7"/>
  <c r="KGY64" i="7"/>
  <c r="KGZ64" i="7"/>
  <c r="KHA64" i="7"/>
  <c r="KHB64" i="7"/>
  <c r="KHC64" i="7"/>
  <c r="KHD64" i="7"/>
  <c r="KHE64" i="7"/>
  <c r="KHF64" i="7"/>
  <c r="KHG64" i="7"/>
  <c r="KHH64" i="7"/>
  <c r="KHI64" i="7"/>
  <c r="KHJ64" i="7"/>
  <c r="KHK64" i="7"/>
  <c r="KHL64" i="7"/>
  <c r="KHM64" i="7"/>
  <c r="KHN64" i="7"/>
  <c r="KHO64" i="7"/>
  <c r="KHP64" i="7"/>
  <c r="KHQ64" i="7"/>
  <c r="KHR64" i="7"/>
  <c r="KHS64" i="7"/>
  <c r="KHT64" i="7"/>
  <c r="KHU64" i="7"/>
  <c r="KHV64" i="7"/>
  <c r="KHW64" i="7"/>
  <c r="KHX64" i="7"/>
  <c r="KHY64" i="7"/>
  <c r="KHZ64" i="7"/>
  <c r="KIA64" i="7"/>
  <c r="KIB64" i="7"/>
  <c r="KIC64" i="7"/>
  <c r="KID64" i="7"/>
  <c r="KIE64" i="7"/>
  <c r="KIF64" i="7"/>
  <c r="KIG64" i="7"/>
  <c r="KIH64" i="7"/>
  <c r="KII64" i="7"/>
  <c r="KIJ64" i="7"/>
  <c r="KIK64" i="7"/>
  <c r="KIL64" i="7"/>
  <c r="KIM64" i="7"/>
  <c r="KIN64" i="7"/>
  <c r="KIO64" i="7"/>
  <c r="KIP64" i="7"/>
  <c r="KIQ64" i="7"/>
  <c r="KIR64" i="7"/>
  <c r="KIS64" i="7"/>
  <c r="KIT64" i="7"/>
  <c r="KIU64" i="7"/>
  <c r="KIV64" i="7"/>
  <c r="KIW64" i="7"/>
  <c r="KIX64" i="7"/>
  <c r="KIY64" i="7"/>
  <c r="KIZ64" i="7"/>
  <c r="KJA64" i="7"/>
  <c r="KJB64" i="7"/>
  <c r="KJC64" i="7"/>
  <c r="KJD64" i="7"/>
  <c r="KJE64" i="7"/>
  <c r="KJF64" i="7"/>
  <c r="KJG64" i="7"/>
  <c r="KJH64" i="7"/>
  <c r="KJI64" i="7"/>
  <c r="KJJ64" i="7"/>
  <c r="KJK64" i="7"/>
  <c r="KJL64" i="7"/>
  <c r="KJM64" i="7"/>
  <c r="KJN64" i="7"/>
  <c r="KJO64" i="7"/>
  <c r="KJP64" i="7"/>
  <c r="KJQ64" i="7"/>
  <c r="KJR64" i="7"/>
  <c r="KJS64" i="7"/>
  <c r="KJT64" i="7"/>
  <c r="KJU64" i="7"/>
  <c r="KJV64" i="7"/>
  <c r="KJW64" i="7"/>
  <c r="KJX64" i="7"/>
  <c r="KJY64" i="7"/>
  <c r="KJZ64" i="7"/>
  <c r="KKA64" i="7"/>
  <c r="KKB64" i="7"/>
  <c r="KKC64" i="7"/>
  <c r="KKD64" i="7"/>
  <c r="KKE64" i="7"/>
  <c r="KKF64" i="7"/>
  <c r="KKG64" i="7"/>
  <c r="KKH64" i="7"/>
  <c r="KKI64" i="7"/>
  <c r="KKJ64" i="7"/>
  <c r="KKK64" i="7"/>
  <c r="KKL64" i="7"/>
  <c r="KKM64" i="7"/>
  <c r="KKN64" i="7"/>
  <c r="KKO64" i="7"/>
  <c r="KKP64" i="7"/>
  <c r="KKQ64" i="7"/>
  <c r="KKR64" i="7"/>
  <c r="KKS64" i="7"/>
  <c r="KKT64" i="7"/>
  <c r="KKU64" i="7"/>
  <c r="KKV64" i="7"/>
  <c r="KKW64" i="7"/>
  <c r="KKX64" i="7"/>
  <c r="KKY64" i="7"/>
  <c r="KKZ64" i="7"/>
  <c r="KLA64" i="7"/>
  <c r="KLB64" i="7"/>
  <c r="KLC64" i="7"/>
  <c r="KLD64" i="7"/>
  <c r="KLE64" i="7"/>
  <c r="KLF64" i="7"/>
  <c r="KLG64" i="7"/>
  <c r="KLH64" i="7"/>
  <c r="KLI64" i="7"/>
  <c r="KLJ64" i="7"/>
  <c r="KLK64" i="7"/>
  <c r="KLL64" i="7"/>
  <c r="KLM64" i="7"/>
  <c r="KLN64" i="7"/>
  <c r="KLO64" i="7"/>
  <c r="KLP64" i="7"/>
  <c r="KLQ64" i="7"/>
  <c r="KLR64" i="7"/>
  <c r="KLS64" i="7"/>
  <c r="KLT64" i="7"/>
  <c r="KLU64" i="7"/>
  <c r="KLV64" i="7"/>
  <c r="KLW64" i="7"/>
  <c r="KLX64" i="7"/>
  <c r="KLY64" i="7"/>
  <c r="KLZ64" i="7"/>
  <c r="KMA64" i="7"/>
  <c r="KMB64" i="7"/>
  <c r="KMC64" i="7"/>
  <c r="KMD64" i="7"/>
  <c r="KME64" i="7"/>
  <c r="KMF64" i="7"/>
  <c r="KMG64" i="7"/>
  <c r="KMH64" i="7"/>
  <c r="KMI64" i="7"/>
  <c r="KMJ64" i="7"/>
  <c r="KMK64" i="7"/>
  <c r="KML64" i="7"/>
  <c r="KMM64" i="7"/>
  <c r="KMN64" i="7"/>
  <c r="KMO64" i="7"/>
  <c r="KMP64" i="7"/>
  <c r="KMQ64" i="7"/>
  <c r="KMR64" i="7"/>
  <c r="KMS64" i="7"/>
  <c r="KMT64" i="7"/>
  <c r="KMU64" i="7"/>
  <c r="KMV64" i="7"/>
  <c r="KMW64" i="7"/>
  <c r="KMX64" i="7"/>
  <c r="KMY64" i="7"/>
  <c r="KMZ64" i="7"/>
  <c r="KNA64" i="7"/>
  <c r="KNB64" i="7"/>
  <c r="KNC64" i="7"/>
  <c r="KND64" i="7"/>
  <c r="KNE64" i="7"/>
  <c r="KNF64" i="7"/>
  <c r="KNG64" i="7"/>
  <c r="KNH64" i="7"/>
  <c r="KNI64" i="7"/>
  <c r="KNJ64" i="7"/>
  <c r="KNK64" i="7"/>
  <c r="KNL64" i="7"/>
  <c r="KNM64" i="7"/>
  <c r="KNN64" i="7"/>
  <c r="KNO64" i="7"/>
  <c r="KNP64" i="7"/>
  <c r="KNQ64" i="7"/>
  <c r="KNR64" i="7"/>
  <c r="KNS64" i="7"/>
  <c r="KNT64" i="7"/>
  <c r="KNU64" i="7"/>
  <c r="KNV64" i="7"/>
  <c r="KNW64" i="7"/>
  <c r="KNX64" i="7"/>
  <c r="KNY64" i="7"/>
  <c r="KNZ64" i="7"/>
  <c r="KOA64" i="7"/>
  <c r="KOB64" i="7"/>
  <c r="KOC64" i="7"/>
  <c r="KOD64" i="7"/>
  <c r="KOE64" i="7"/>
  <c r="KOF64" i="7"/>
  <c r="KOG64" i="7"/>
  <c r="KOH64" i="7"/>
  <c r="KOI64" i="7"/>
  <c r="KOJ64" i="7"/>
  <c r="KOK64" i="7"/>
  <c r="KOL64" i="7"/>
  <c r="KOM64" i="7"/>
  <c r="KON64" i="7"/>
  <c r="KOO64" i="7"/>
  <c r="KOP64" i="7"/>
  <c r="KOQ64" i="7"/>
  <c r="KOR64" i="7"/>
  <c r="KOS64" i="7"/>
  <c r="KOT64" i="7"/>
  <c r="KOU64" i="7"/>
  <c r="KOV64" i="7"/>
  <c r="KOW64" i="7"/>
  <c r="KOX64" i="7"/>
  <c r="KOY64" i="7"/>
  <c r="KOZ64" i="7"/>
  <c r="KPA64" i="7"/>
  <c r="KPB64" i="7"/>
  <c r="KPC64" i="7"/>
  <c r="KPD64" i="7"/>
  <c r="KPE64" i="7"/>
  <c r="KPF64" i="7"/>
  <c r="KPG64" i="7"/>
  <c r="KPH64" i="7"/>
  <c r="KPI64" i="7"/>
  <c r="KPJ64" i="7"/>
  <c r="KPK64" i="7"/>
  <c r="KPL64" i="7"/>
  <c r="KPM64" i="7"/>
  <c r="KPN64" i="7"/>
  <c r="KPO64" i="7"/>
  <c r="KPP64" i="7"/>
  <c r="KPQ64" i="7"/>
  <c r="KPR64" i="7"/>
  <c r="KPS64" i="7"/>
  <c r="KPT64" i="7"/>
  <c r="KPU64" i="7"/>
  <c r="KPV64" i="7"/>
  <c r="KPW64" i="7"/>
  <c r="KPX64" i="7"/>
  <c r="KPY64" i="7"/>
  <c r="KPZ64" i="7"/>
  <c r="KQA64" i="7"/>
  <c r="KQB64" i="7"/>
  <c r="KQC64" i="7"/>
  <c r="KQD64" i="7"/>
  <c r="KQE64" i="7"/>
  <c r="KQF64" i="7"/>
  <c r="KQG64" i="7"/>
  <c r="KQH64" i="7"/>
  <c r="KQI64" i="7"/>
  <c r="KQJ64" i="7"/>
  <c r="KQK64" i="7"/>
  <c r="KQL64" i="7"/>
  <c r="KQM64" i="7"/>
  <c r="KQN64" i="7"/>
  <c r="KQO64" i="7"/>
  <c r="KQP64" i="7"/>
  <c r="KQQ64" i="7"/>
  <c r="KQR64" i="7"/>
  <c r="KQS64" i="7"/>
  <c r="KQT64" i="7"/>
  <c r="KQU64" i="7"/>
  <c r="KQV64" i="7"/>
  <c r="KQW64" i="7"/>
  <c r="KQX64" i="7"/>
  <c r="KQY64" i="7"/>
  <c r="KQZ64" i="7"/>
  <c r="KRA64" i="7"/>
  <c r="KRB64" i="7"/>
  <c r="KRC64" i="7"/>
  <c r="KRD64" i="7"/>
  <c r="KRE64" i="7"/>
  <c r="KRF64" i="7"/>
  <c r="KRG64" i="7"/>
  <c r="KRH64" i="7"/>
  <c r="KRI64" i="7"/>
  <c r="KRJ64" i="7"/>
  <c r="KRK64" i="7"/>
  <c r="KRL64" i="7"/>
  <c r="KRM64" i="7"/>
  <c r="KRN64" i="7"/>
  <c r="KRO64" i="7"/>
  <c r="KRP64" i="7"/>
  <c r="KRQ64" i="7"/>
  <c r="KRR64" i="7"/>
  <c r="KRS64" i="7"/>
  <c r="KRT64" i="7"/>
  <c r="KRU64" i="7"/>
  <c r="KRV64" i="7"/>
  <c r="KRW64" i="7"/>
  <c r="KRX64" i="7"/>
  <c r="KRY64" i="7"/>
  <c r="KRZ64" i="7"/>
  <c r="KSA64" i="7"/>
  <c r="KSB64" i="7"/>
  <c r="KSC64" i="7"/>
  <c r="KSD64" i="7"/>
  <c r="KSE64" i="7"/>
  <c r="KSF64" i="7"/>
  <c r="KSG64" i="7"/>
  <c r="KSH64" i="7"/>
  <c r="KSI64" i="7"/>
  <c r="KSJ64" i="7"/>
  <c r="KSK64" i="7"/>
  <c r="KSL64" i="7"/>
  <c r="KSM64" i="7"/>
  <c r="KSN64" i="7"/>
  <c r="KSO64" i="7"/>
  <c r="KSP64" i="7"/>
  <c r="KSQ64" i="7"/>
  <c r="KSR64" i="7"/>
  <c r="KSS64" i="7"/>
  <c r="KST64" i="7"/>
  <c r="KSU64" i="7"/>
  <c r="KSV64" i="7"/>
  <c r="KSW64" i="7"/>
  <c r="KSX64" i="7"/>
  <c r="KSY64" i="7"/>
  <c r="KSZ64" i="7"/>
  <c r="KTA64" i="7"/>
  <c r="KTB64" i="7"/>
  <c r="KTC64" i="7"/>
  <c r="KTD64" i="7"/>
  <c r="KTE64" i="7"/>
  <c r="KTF64" i="7"/>
  <c r="KTG64" i="7"/>
  <c r="KTH64" i="7"/>
  <c r="KTI64" i="7"/>
  <c r="KTJ64" i="7"/>
  <c r="KTK64" i="7"/>
  <c r="KTL64" i="7"/>
  <c r="KTM64" i="7"/>
  <c r="KTN64" i="7"/>
  <c r="KTO64" i="7"/>
  <c r="KTP64" i="7"/>
  <c r="KTQ64" i="7"/>
  <c r="KTR64" i="7"/>
  <c r="KTS64" i="7"/>
  <c r="KTT64" i="7"/>
  <c r="KTU64" i="7"/>
  <c r="KTV64" i="7"/>
  <c r="KTW64" i="7"/>
  <c r="KTX64" i="7"/>
  <c r="KTY64" i="7"/>
  <c r="KTZ64" i="7"/>
  <c r="KUA64" i="7"/>
  <c r="KUB64" i="7"/>
  <c r="KUC64" i="7"/>
  <c r="KUD64" i="7"/>
  <c r="KUE64" i="7"/>
  <c r="KUF64" i="7"/>
  <c r="KUG64" i="7"/>
  <c r="KUH64" i="7"/>
  <c r="KUI64" i="7"/>
  <c r="KUJ64" i="7"/>
  <c r="KUK64" i="7"/>
  <c r="KUL64" i="7"/>
  <c r="KUM64" i="7"/>
  <c r="KUN64" i="7"/>
  <c r="KUO64" i="7"/>
  <c r="KUP64" i="7"/>
  <c r="KUQ64" i="7"/>
  <c r="KUR64" i="7"/>
  <c r="KUS64" i="7"/>
  <c r="KUT64" i="7"/>
  <c r="KUU64" i="7"/>
  <c r="KUV64" i="7"/>
  <c r="KUW64" i="7"/>
  <c r="KUX64" i="7"/>
  <c r="KUY64" i="7"/>
  <c r="KUZ64" i="7"/>
  <c r="KVA64" i="7"/>
  <c r="KVB64" i="7"/>
  <c r="KVC64" i="7"/>
  <c r="KVD64" i="7"/>
  <c r="KVE64" i="7"/>
  <c r="KVF64" i="7"/>
  <c r="KVG64" i="7"/>
  <c r="KVH64" i="7"/>
  <c r="KVI64" i="7"/>
  <c r="KVJ64" i="7"/>
  <c r="KVK64" i="7"/>
  <c r="KVL64" i="7"/>
  <c r="KVM64" i="7"/>
  <c r="KVN64" i="7"/>
  <c r="KVO64" i="7"/>
  <c r="KVP64" i="7"/>
  <c r="KVQ64" i="7"/>
  <c r="KVR64" i="7"/>
  <c r="KVS64" i="7"/>
  <c r="KVT64" i="7"/>
  <c r="KVU64" i="7"/>
  <c r="KVV64" i="7"/>
  <c r="KVW64" i="7"/>
  <c r="KVX64" i="7"/>
  <c r="KVY64" i="7"/>
  <c r="KVZ64" i="7"/>
  <c r="KWA64" i="7"/>
  <c r="KWB64" i="7"/>
  <c r="KWC64" i="7"/>
  <c r="KWD64" i="7"/>
  <c r="KWE64" i="7"/>
  <c r="KWF64" i="7"/>
  <c r="KWG64" i="7"/>
  <c r="KWH64" i="7"/>
  <c r="KWI64" i="7"/>
  <c r="KWJ64" i="7"/>
  <c r="KWK64" i="7"/>
  <c r="KWL64" i="7"/>
  <c r="KWM64" i="7"/>
  <c r="KWN64" i="7"/>
  <c r="KWO64" i="7"/>
  <c r="KWP64" i="7"/>
  <c r="KWQ64" i="7"/>
  <c r="KWR64" i="7"/>
  <c r="KWS64" i="7"/>
  <c r="KWT64" i="7"/>
  <c r="KWU64" i="7"/>
  <c r="KWV64" i="7"/>
  <c r="KWW64" i="7"/>
  <c r="KWX64" i="7"/>
  <c r="KWY64" i="7"/>
  <c r="KWZ64" i="7"/>
  <c r="KXA64" i="7"/>
  <c r="KXB64" i="7"/>
  <c r="KXC64" i="7"/>
  <c r="KXD64" i="7"/>
  <c r="KXE64" i="7"/>
  <c r="KXF64" i="7"/>
  <c r="KXG64" i="7"/>
  <c r="KXH64" i="7"/>
  <c r="KXI64" i="7"/>
  <c r="KXJ64" i="7"/>
  <c r="KXK64" i="7"/>
  <c r="KXL64" i="7"/>
  <c r="KXM64" i="7"/>
  <c r="KXN64" i="7"/>
  <c r="KXO64" i="7"/>
  <c r="KXP64" i="7"/>
  <c r="KXQ64" i="7"/>
  <c r="KXR64" i="7"/>
  <c r="KXS64" i="7"/>
  <c r="KXT64" i="7"/>
  <c r="KXU64" i="7"/>
  <c r="KXV64" i="7"/>
  <c r="KXW64" i="7"/>
  <c r="KXX64" i="7"/>
  <c r="KXY64" i="7"/>
  <c r="KXZ64" i="7"/>
  <c r="KYA64" i="7"/>
  <c r="KYB64" i="7"/>
  <c r="KYC64" i="7"/>
  <c r="KYD64" i="7"/>
  <c r="KYE64" i="7"/>
  <c r="KYF64" i="7"/>
  <c r="KYG64" i="7"/>
  <c r="KYH64" i="7"/>
  <c r="KYI64" i="7"/>
  <c r="KYJ64" i="7"/>
  <c r="KYK64" i="7"/>
  <c r="KYL64" i="7"/>
  <c r="KYM64" i="7"/>
  <c r="KYN64" i="7"/>
  <c r="KYO64" i="7"/>
  <c r="KYP64" i="7"/>
  <c r="KYQ64" i="7"/>
  <c r="KYR64" i="7"/>
  <c r="KYS64" i="7"/>
  <c r="KYT64" i="7"/>
  <c r="KYU64" i="7"/>
  <c r="KYV64" i="7"/>
  <c r="KYW64" i="7"/>
  <c r="KYX64" i="7"/>
  <c r="KYY64" i="7"/>
  <c r="KYZ64" i="7"/>
  <c r="KZA64" i="7"/>
  <c r="KZB64" i="7"/>
  <c r="KZC64" i="7"/>
  <c r="KZD64" i="7"/>
  <c r="KZE64" i="7"/>
  <c r="KZF64" i="7"/>
  <c r="KZG64" i="7"/>
  <c r="KZH64" i="7"/>
  <c r="KZI64" i="7"/>
  <c r="KZJ64" i="7"/>
  <c r="KZK64" i="7"/>
  <c r="KZL64" i="7"/>
  <c r="KZM64" i="7"/>
  <c r="KZN64" i="7"/>
  <c r="KZO64" i="7"/>
  <c r="KZP64" i="7"/>
  <c r="KZQ64" i="7"/>
  <c r="KZR64" i="7"/>
  <c r="KZS64" i="7"/>
  <c r="KZT64" i="7"/>
  <c r="KZU64" i="7"/>
  <c r="KZV64" i="7"/>
  <c r="KZW64" i="7"/>
  <c r="KZX64" i="7"/>
  <c r="KZY64" i="7"/>
  <c r="KZZ64" i="7"/>
  <c r="LAA64" i="7"/>
  <c r="LAB64" i="7"/>
  <c r="LAC64" i="7"/>
  <c r="LAD64" i="7"/>
  <c r="LAE64" i="7"/>
  <c r="LAF64" i="7"/>
  <c r="LAG64" i="7"/>
  <c r="LAH64" i="7"/>
  <c r="LAI64" i="7"/>
  <c r="LAJ64" i="7"/>
  <c r="LAK64" i="7"/>
  <c r="LAL64" i="7"/>
  <c r="LAM64" i="7"/>
  <c r="LAN64" i="7"/>
  <c r="LAO64" i="7"/>
  <c r="LAP64" i="7"/>
  <c r="LAQ64" i="7"/>
  <c r="LAR64" i="7"/>
  <c r="LAS64" i="7"/>
  <c r="LAT64" i="7"/>
  <c r="LAU64" i="7"/>
  <c r="LAV64" i="7"/>
  <c r="LAW64" i="7"/>
  <c r="LAX64" i="7"/>
  <c r="LAY64" i="7"/>
  <c r="LAZ64" i="7"/>
  <c r="LBA64" i="7"/>
  <c r="LBB64" i="7"/>
  <c r="LBC64" i="7"/>
  <c r="LBD64" i="7"/>
  <c r="LBE64" i="7"/>
  <c r="LBF64" i="7"/>
  <c r="LBG64" i="7"/>
  <c r="LBH64" i="7"/>
  <c r="LBI64" i="7"/>
  <c r="LBJ64" i="7"/>
  <c r="LBK64" i="7"/>
  <c r="LBL64" i="7"/>
  <c r="LBM64" i="7"/>
  <c r="LBN64" i="7"/>
  <c r="LBO64" i="7"/>
  <c r="LBP64" i="7"/>
  <c r="LBQ64" i="7"/>
  <c r="LBR64" i="7"/>
  <c r="LBS64" i="7"/>
  <c r="LBT64" i="7"/>
  <c r="LBU64" i="7"/>
  <c r="LBV64" i="7"/>
  <c r="LBW64" i="7"/>
  <c r="LBX64" i="7"/>
  <c r="LBY64" i="7"/>
  <c r="LBZ64" i="7"/>
  <c r="LCA64" i="7"/>
  <c r="LCB64" i="7"/>
  <c r="LCC64" i="7"/>
  <c r="LCD64" i="7"/>
  <c r="LCE64" i="7"/>
  <c r="LCF64" i="7"/>
  <c r="LCG64" i="7"/>
  <c r="LCH64" i="7"/>
  <c r="LCI64" i="7"/>
  <c r="LCJ64" i="7"/>
  <c r="LCK64" i="7"/>
  <c r="LCL64" i="7"/>
  <c r="LCM64" i="7"/>
  <c r="LCN64" i="7"/>
  <c r="LCO64" i="7"/>
  <c r="LCP64" i="7"/>
  <c r="LCQ64" i="7"/>
  <c r="LCR64" i="7"/>
  <c r="LCS64" i="7"/>
  <c r="LCT64" i="7"/>
  <c r="LCU64" i="7"/>
  <c r="LCV64" i="7"/>
  <c r="LCW64" i="7"/>
  <c r="LCX64" i="7"/>
  <c r="LCY64" i="7"/>
  <c r="LCZ64" i="7"/>
  <c r="LDA64" i="7"/>
  <c r="LDB64" i="7"/>
  <c r="LDC64" i="7"/>
  <c r="LDD64" i="7"/>
  <c r="LDE64" i="7"/>
  <c r="LDF64" i="7"/>
  <c r="LDG64" i="7"/>
  <c r="LDH64" i="7"/>
  <c r="LDI64" i="7"/>
  <c r="LDJ64" i="7"/>
  <c r="LDK64" i="7"/>
  <c r="LDL64" i="7"/>
  <c r="LDM64" i="7"/>
  <c r="LDN64" i="7"/>
  <c r="LDO64" i="7"/>
  <c r="LDP64" i="7"/>
  <c r="LDQ64" i="7"/>
  <c r="LDR64" i="7"/>
  <c r="LDS64" i="7"/>
  <c r="LDT64" i="7"/>
  <c r="LDU64" i="7"/>
  <c r="LDV64" i="7"/>
  <c r="LDW64" i="7"/>
  <c r="LDX64" i="7"/>
  <c r="LDY64" i="7"/>
  <c r="LDZ64" i="7"/>
  <c r="LEA64" i="7"/>
  <c r="LEB64" i="7"/>
  <c r="LEC64" i="7"/>
  <c r="LED64" i="7"/>
  <c r="LEE64" i="7"/>
  <c r="LEF64" i="7"/>
  <c r="LEG64" i="7"/>
  <c r="LEH64" i="7"/>
  <c r="LEI64" i="7"/>
  <c r="LEJ64" i="7"/>
  <c r="LEK64" i="7"/>
  <c r="LEL64" i="7"/>
  <c r="LEM64" i="7"/>
  <c r="LEN64" i="7"/>
  <c r="LEO64" i="7"/>
  <c r="LEP64" i="7"/>
  <c r="LEQ64" i="7"/>
  <c r="LER64" i="7"/>
  <c r="LES64" i="7"/>
  <c r="LET64" i="7"/>
  <c r="LEU64" i="7"/>
  <c r="LEV64" i="7"/>
  <c r="LEW64" i="7"/>
  <c r="LEX64" i="7"/>
  <c r="LEY64" i="7"/>
  <c r="LEZ64" i="7"/>
  <c r="LFA64" i="7"/>
  <c r="LFB64" i="7"/>
  <c r="LFC64" i="7"/>
  <c r="LFD64" i="7"/>
  <c r="LFE64" i="7"/>
  <c r="LFF64" i="7"/>
  <c r="LFG64" i="7"/>
  <c r="LFH64" i="7"/>
  <c r="LFI64" i="7"/>
  <c r="LFJ64" i="7"/>
  <c r="LFK64" i="7"/>
  <c r="LFL64" i="7"/>
  <c r="LFM64" i="7"/>
  <c r="LFN64" i="7"/>
  <c r="LFO64" i="7"/>
  <c r="LFP64" i="7"/>
  <c r="LFQ64" i="7"/>
  <c r="LFR64" i="7"/>
  <c r="LFS64" i="7"/>
  <c r="LFT64" i="7"/>
  <c r="LFU64" i="7"/>
  <c r="LFV64" i="7"/>
  <c r="LFW64" i="7"/>
  <c r="LFX64" i="7"/>
  <c r="LFY64" i="7"/>
  <c r="LFZ64" i="7"/>
  <c r="LGA64" i="7"/>
  <c r="LGB64" i="7"/>
  <c r="LGC64" i="7"/>
  <c r="LGD64" i="7"/>
  <c r="LGE64" i="7"/>
  <c r="LGF64" i="7"/>
  <c r="LGG64" i="7"/>
  <c r="LGH64" i="7"/>
  <c r="LGI64" i="7"/>
  <c r="LGJ64" i="7"/>
  <c r="LGK64" i="7"/>
  <c r="LGL64" i="7"/>
  <c r="LGM64" i="7"/>
  <c r="LGN64" i="7"/>
  <c r="LGO64" i="7"/>
  <c r="LGP64" i="7"/>
  <c r="LGQ64" i="7"/>
  <c r="LGR64" i="7"/>
  <c r="LGS64" i="7"/>
  <c r="LGT64" i="7"/>
  <c r="LGU64" i="7"/>
  <c r="LGV64" i="7"/>
  <c r="LGW64" i="7"/>
  <c r="LGX64" i="7"/>
  <c r="LGY64" i="7"/>
  <c r="LGZ64" i="7"/>
  <c r="LHA64" i="7"/>
  <c r="LHB64" i="7"/>
  <c r="LHC64" i="7"/>
  <c r="LHD64" i="7"/>
  <c r="LHE64" i="7"/>
  <c r="LHF64" i="7"/>
  <c r="LHG64" i="7"/>
  <c r="LHH64" i="7"/>
  <c r="LHI64" i="7"/>
  <c r="LHJ64" i="7"/>
  <c r="LHK64" i="7"/>
  <c r="LHL64" i="7"/>
  <c r="LHM64" i="7"/>
  <c r="LHN64" i="7"/>
  <c r="LHO64" i="7"/>
  <c r="LHP64" i="7"/>
  <c r="LHQ64" i="7"/>
  <c r="LHR64" i="7"/>
  <c r="LHS64" i="7"/>
  <c r="LHT64" i="7"/>
  <c r="LHU64" i="7"/>
  <c r="LHV64" i="7"/>
  <c r="LHW64" i="7"/>
  <c r="LHX64" i="7"/>
  <c r="LHY64" i="7"/>
  <c r="LHZ64" i="7"/>
  <c r="LIA64" i="7"/>
  <c r="LIB64" i="7"/>
  <c r="LIC64" i="7"/>
  <c r="LID64" i="7"/>
  <c r="LIE64" i="7"/>
  <c r="LIF64" i="7"/>
  <c r="LIG64" i="7"/>
  <c r="LIH64" i="7"/>
  <c r="LII64" i="7"/>
  <c r="LIJ64" i="7"/>
  <c r="LIK64" i="7"/>
  <c r="LIL64" i="7"/>
  <c r="LIM64" i="7"/>
  <c r="LIN64" i="7"/>
  <c r="LIO64" i="7"/>
  <c r="LIP64" i="7"/>
  <c r="LIQ64" i="7"/>
  <c r="LIR64" i="7"/>
  <c r="LIS64" i="7"/>
  <c r="LIT64" i="7"/>
  <c r="LIU64" i="7"/>
  <c r="LIV64" i="7"/>
  <c r="LIW64" i="7"/>
  <c r="LIX64" i="7"/>
  <c r="LIY64" i="7"/>
  <c r="LIZ64" i="7"/>
  <c r="LJA64" i="7"/>
  <c r="LJB64" i="7"/>
  <c r="LJC64" i="7"/>
  <c r="LJD64" i="7"/>
  <c r="LJE64" i="7"/>
  <c r="LJF64" i="7"/>
  <c r="LJG64" i="7"/>
  <c r="LJH64" i="7"/>
  <c r="LJI64" i="7"/>
  <c r="LJJ64" i="7"/>
  <c r="LJK64" i="7"/>
  <c r="LJL64" i="7"/>
  <c r="LJM64" i="7"/>
  <c r="LJN64" i="7"/>
  <c r="LJO64" i="7"/>
  <c r="LJP64" i="7"/>
  <c r="LJQ64" i="7"/>
  <c r="LJR64" i="7"/>
  <c r="LJS64" i="7"/>
  <c r="LJT64" i="7"/>
  <c r="LJU64" i="7"/>
  <c r="LJV64" i="7"/>
  <c r="LJW64" i="7"/>
  <c r="LJX64" i="7"/>
  <c r="LJY64" i="7"/>
  <c r="LJZ64" i="7"/>
  <c r="LKA64" i="7"/>
  <c r="LKB64" i="7"/>
  <c r="LKC64" i="7"/>
  <c r="LKD64" i="7"/>
  <c r="LKE64" i="7"/>
  <c r="LKF64" i="7"/>
  <c r="LKG64" i="7"/>
  <c r="LKH64" i="7"/>
  <c r="LKI64" i="7"/>
  <c r="LKJ64" i="7"/>
  <c r="LKK64" i="7"/>
  <c r="LKL64" i="7"/>
  <c r="LKM64" i="7"/>
  <c r="LKN64" i="7"/>
  <c r="LKO64" i="7"/>
  <c r="LKP64" i="7"/>
  <c r="LKQ64" i="7"/>
  <c r="LKR64" i="7"/>
  <c r="LKS64" i="7"/>
  <c r="LKT64" i="7"/>
  <c r="LKU64" i="7"/>
  <c r="LKV64" i="7"/>
  <c r="LKW64" i="7"/>
  <c r="LKX64" i="7"/>
  <c r="LKY64" i="7"/>
  <c r="LKZ64" i="7"/>
  <c r="LLA64" i="7"/>
  <c r="LLB64" i="7"/>
  <c r="LLC64" i="7"/>
  <c r="LLD64" i="7"/>
  <c r="LLE64" i="7"/>
  <c r="LLF64" i="7"/>
  <c r="LLG64" i="7"/>
  <c r="LLH64" i="7"/>
  <c r="LLI64" i="7"/>
  <c r="LLJ64" i="7"/>
  <c r="LLK64" i="7"/>
  <c r="LLL64" i="7"/>
  <c r="LLM64" i="7"/>
  <c r="LLN64" i="7"/>
  <c r="LLO64" i="7"/>
  <c r="LLP64" i="7"/>
  <c r="LLQ64" i="7"/>
  <c r="LLR64" i="7"/>
  <c r="LLS64" i="7"/>
  <c r="LLT64" i="7"/>
  <c r="LLU64" i="7"/>
  <c r="LLV64" i="7"/>
  <c r="LLW64" i="7"/>
  <c r="LLX64" i="7"/>
  <c r="LLY64" i="7"/>
  <c r="LLZ64" i="7"/>
  <c r="LMA64" i="7"/>
  <c r="LMB64" i="7"/>
  <c r="LMC64" i="7"/>
  <c r="LMD64" i="7"/>
  <c r="LME64" i="7"/>
  <c r="LMF64" i="7"/>
  <c r="LMG64" i="7"/>
  <c r="LMH64" i="7"/>
  <c r="LMI64" i="7"/>
  <c r="LMJ64" i="7"/>
  <c r="LMK64" i="7"/>
  <c r="LML64" i="7"/>
  <c r="LMM64" i="7"/>
  <c r="LMN64" i="7"/>
  <c r="LMO64" i="7"/>
  <c r="LMP64" i="7"/>
  <c r="LMQ64" i="7"/>
  <c r="LMR64" i="7"/>
  <c r="LMS64" i="7"/>
  <c r="LMT64" i="7"/>
  <c r="LMU64" i="7"/>
  <c r="LMV64" i="7"/>
  <c r="LMW64" i="7"/>
  <c r="LMX64" i="7"/>
  <c r="LMY64" i="7"/>
  <c r="LMZ64" i="7"/>
  <c r="LNA64" i="7"/>
  <c r="LNB64" i="7"/>
  <c r="LNC64" i="7"/>
  <c r="LND64" i="7"/>
  <c r="LNE64" i="7"/>
  <c r="LNF64" i="7"/>
  <c r="LNG64" i="7"/>
  <c r="LNH64" i="7"/>
  <c r="LNI64" i="7"/>
  <c r="LNJ64" i="7"/>
  <c r="LNK64" i="7"/>
  <c r="LNL64" i="7"/>
  <c r="LNM64" i="7"/>
  <c r="LNN64" i="7"/>
  <c r="LNO64" i="7"/>
  <c r="LNP64" i="7"/>
  <c r="LNQ64" i="7"/>
  <c r="LNR64" i="7"/>
  <c r="LNS64" i="7"/>
  <c r="LNT64" i="7"/>
  <c r="LNU64" i="7"/>
  <c r="LNV64" i="7"/>
  <c r="LNW64" i="7"/>
  <c r="LNX64" i="7"/>
  <c r="LNY64" i="7"/>
  <c r="LNZ64" i="7"/>
  <c r="LOA64" i="7"/>
  <c r="LOB64" i="7"/>
  <c r="LOC64" i="7"/>
  <c r="LOD64" i="7"/>
  <c r="LOE64" i="7"/>
  <c r="LOF64" i="7"/>
  <c r="LOG64" i="7"/>
  <c r="LOH64" i="7"/>
  <c r="LOI64" i="7"/>
  <c r="LOJ64" i="7"/>
  <c r="LOK64" i="7"/>
  <c r="LOL64" i="7"/>
  <c r="LOM64" i="7"/>
  <c r="LON64" i="7"/>
  <c r="LOO64" i="7"/>
  <c r="LOP64" i="7"/>
  <c r="LOQ64" i="7"/>
  <c r="LOR64" i="7"/>
  <c r="LOS64" i="7"/>
  <c r="LOT64" i="7"/>
  <c r="LOU64" i="7"/>
  <c r="LOV64" i="7"/>
  <c r="LOW64" i="7"/>
  <c r="LOX64" i="7"/>
  <c r="LOY64" i="7"/>
  <c r="LOZ64" i="7"/>
  <c r="LPA64" i="7"/>
  <c r="LPB64" i="7"/>
  <c r="LPC64" i="7"/>
  <c r="LPD64" i="7"/>
  <c r="LPE64" i="7"/>
  <c r="LPF64" i="7"/>
  <c r="LPG64" i="7"/>
  <c r="LPH64" i="7"/>
  <c r="LPI64" i="7"/>
  <c r="LPJ64" i="7"/>
  <c r="LPK64" i="7"/>
  <c r="LPL64" i="7"/>
  <c r="LPM64" i="7"/>
  <c r="LPN64" i="7"/>
  <c r="LPO64" i="7"/>
  <c r="LPP64" i="7"/>
  <c r="LPQ64" i="7"/>
  <c r="LPR64" i="7"/>
  <c r="LPS64" i="7"/>
  <c r="LPT64" i="7"/>
  <c r="LPU64" i="7"/>
  <c r="LPV64" i="7"/>
  <c r="LPW64" i="7"/>
  <c r="LPX64" i="7"/>
  <c r="LPY64" i="7"/>
  <c r="LPZ64" i="7"/>
  <c r="LQA64" i="7"/>
  <c r="LQB64" i="7"/>
  <c r="LQC64" i="7"/>
  <c r="LQD64" i="7"/>
  <c r="LQE64" i="7"/>
  <c r="LQF64" i="7"/>
  <c r="LQG64" i="7"/>
  <c r="LQH64" i="7"/>
  <c r="LQI64" i="7"/>
  <c r="LQJ64" i="7"/>
  <c r="LQK64" i="7"/>
  <c r="LQL64" i="7"/>
  <c r="LQM64" i="7"/>
  <c r="LQN64" i="7"/>
  <c r="LQO64" i="7"/>
  <c r="LQP64" i="7"/>
  <c r="LQQ64" i="7"/>
  <c r="LQR64" i="7"/>
  <c r="LQS64" i="7"/>
  <c r="LQT64" i="7"/>
  <c r="LQU64" i="7"/>
  <c r="LQV64" i="7"/>
  <c r="LQW64" i="7"/>
  <c r="LQX64" i="7"/>
  <c r="LQY64" i="7"/>
  <c r="LQZ64" i="7"/>
  <c r="LRA64" i="7"/>
  <c r="LRB64" i="7"/>
  <c r="LRC64" i="7"/>
  <c r="LRD64" i="7"/>
  <c r="LRE64" i="7"/>
  <c r="LRF64" i="7"/>
  <c r="LRG64" i="7"/>
  <c r="LRH64" i="7"/>
  <c r="LRI64" i="7"/>
  <c r="LRJ64" i="7"/>
  <c r="LRK64" i="7"/>
  <c r="LRL64" i="7"/>
  <c r="LRM64" i="7"/>
  <c r="LRN64" i="7"/>
  <c r="LRO64" i="7"/>
  <c r="LRP64" i="7"/>
  <c r="LRQ64" i="7"/>
  <c r="LRR64" i="7"/>
  <c r="LRS64" i="7"/>
  <c r="LRT64" i="7"/>
  <c r="LRU64" i="7"/>
  <c r="LRV64" i="7"/>
  <c r="LRW64" i="7"/>
  <c r="LRX64" i="7"/>
  <c r="LRY64" i="7"/>
  <c r="LRZ64" i="7"/>
  <c r="LSA64" i="7"/>
  <c r="LSB64" i="7"/>
  <c r="LSC64" i="7"/>
  <c r="LSD64" i="7"/>
  <c r="LSE64" i="7"/>
  <c r="LSF64" i="7"/>
  <c r="LSG64" i="7"/>
  <c r="LSH64" i="7"/>
  <c r="LSI64" i="7"/>
  <c r="LSJ64" i="7"/>
  <c r="LSK64" i="7"/>
  <c r="LSL64" i="7"/>
  <c r="LSM64" i="7"/>
  <c r="LSN64" i="7"/>
  <c r="LSO64" i="7"/>
  <c r="LSP64" i="7"/>
  <c r="LSQ64" i="7"/>
  <c r="LSR64" i="7"/>
  <c r="LSS64" i="7"/>
  <c r="LST64" i="7"/>
  <c r="LSU64" i="7"/>
  <c r="LSV64" i="7"/>
  <c r="LSW64" i="7"/>
  <c r="LSX64" i="7"/>
  <c r="LSY64" i="7"/>
  <c r="LSZ64" i="7"/>
  <c r="LTA64" i="7"/>
  <c r="LTB64" i="7"/>
  <c r="LTC64" i="7"/>
  <c r="LTD64" i="7"/>
  <c r="LTE64" i="7"/>
  <c r="LTF64" i="7"/>
  <c r="LTG64" i="7"/>
  <c r="LTH64" i="7"/>
  <c r="LTI64" i="7"/>
  <c r="LTJ64" i="7"/>
  <c r="LTK64" i="7"/>
  <c r="LTL64" i="7"/>
  <c r="LTM64" i="7"/>
  <c r="LTN64" i="7"/>
  <c r="LTO64" i="7"/>
  <c r="LTP64" i="7"/>
  <c r="LTQ64" i="7"/>
  <c r="LTR64" i="7"/>
  <c r="LTS64" i="7"/>
  <c r="LTT64" i="7"/>
  <c r="LTU64" i="7"/>
  <c r="LTV64" i="7"/>
  <c r="LTW64" i="7"/>
  <c r="LTX64" i="7"/>
  <c r="LTY64" i="7"/>
  <c r="LTZ64" i="7"/>
  <c r="LUA64" i="7"/>
  <c r="LUB64" i="7"/>
  <c r="LUC64" i="7"/>
  <c r="LUD64" i="7"/>
  <c r="LUE64" i="7"/>
  <c r="LUF64" i="7"/>
  <c r="LUG64" i="7"/>
  <c r="LUH64" i="7"/>
  <c r="LUI64" i="7"/>
  <c r="LUJ64" i="7"/>
  <c r="LUK64" i="7"/>
  <c r="LUL64" i="7"/>
  <c r="LUM64" i="7"/>
  <c r="LUN64" i="7"/>
  <c r="LUO64" i="7"/>
  <c r="LUP64" i="7"/>
  <c r="LUQ64" i="7"/>
  <c r="LUR64" i="7"/>
  <c r="LUS64" i="7"/>
  <c r="LUT64" i="7"/>
  <c r="LUU64" i="7"/>
  <c r="LUV64" i="7"/>
  <c r="LUW64" i="7"/>
  <c r="LUX64" i="7"/>
  <c r="LUY64" i="7"/>
  <c r="LUZ64" i="7"/>
  <c r="LVA64" i="7"/>
  <c r="LVB64" i="7"/>
  <c r="LVC64" i="7"/>
  <c r="LVD64" i="7"/>
  <c r="LVE64" i="7"/>
  <c r="LVF64" i="7"/>
  <c r="LVG64" i="7"/>
  <c r="LVH64" i="7"/>
  <c r="LVI64" i="7"/>
  <c r="LVJ64" i="7"/>
  <c r="LVK64" i="7"/>
  <c r="LVL64" i="7"/>
  <c r="LVM64" i="7"/>
  <c r="LVN64" i="7"/>
  <c r="LVO64" i="7"/>
  <c r="LVP64" i="7"/>
  <c r="LVQ64" i="7"/>
  <c r="LVR64" i="7"/>
  <c r="LVS64" i="7"/>
  <c r="LVT64" i="7"/>
  <c r="LVU64" i="7"/>
  <c r="LVV64" i="7"/>
  <c r="LVW64" i="7"/>
  <c r="LVX64" i="7"/>
  <c r="LVY64" i="7"/>
  <c r="LVZ64" i="7"/>
  <c r="LWA64" i="7"/>
  <c r="LWB64" i="7"/>
  <c r="LWC64" i="7"/>
  <c r="LWD64" i="7"/>
  <c r="LWE64" i="7"/>
  <c r="LWF64" i="7"/>
  <c r="LWG64" i="7"/>
  <c r="LWH64" i="7"/>
  <c r="LWI64" i="7"/>
  <c r="LWJ64" i="7"/>
  <c r="LWK64" i="7"/>
  <c r="LWL64" i="7"/>
  <c r="LWM64" i="7"/>
  <c r="LWN64" i="7"/>
  <c r="LWO64" i="7"/>
  <c r="LWP64" i="7"/>
  <c r="LWQ64" i="7"/>
  <c r="LWR64" i="7"/>
  <c r="LWS64" i="7"/>
  <c r="LWT64" i="7"/>
  <c r="LWU64" i="7"/>
  <c r="LWV64" i="7"/>
  <c r="LWW64" i="7"/>
  <c r="LWX64" i="7"/>
  <c r="LWY64" i="7"/>
  <c r="LWZ64" i="7"/>
  <c r="LXA64" i="7"/>
  <c r="LXB64" i="7"/>
  <c r="LXC64" i="7"/>
  <c r="LXD64" i="7"/>
  <c r="LXE64" i="7"/>
  <c r="LXF64" i="7"/>
  <c r="LXG64" i="7"/>
  <c r="LXH64" i="7"/>
  <c r="LXI64" i="7"/>
  <c r="LXJ64" i="7"/>
  <c r="LXK64" i="7"/>
  <c r="LXL64" i="7"/>
  <c r="LXM64" i="7"/>
  <c r="LXN64" i="7"/>
  <c r="LXO64" i="7"/>
  <c r="LXP64" i="7"/>
  <c r="LXQ64" i="7"/>
  <c r="LXR64" i="7"/>
  <c r="LXS64" i="7"/>
  <c r="LXT64" i="7"/>
  <c r="LXU64" i="7"/>
  <c r="LXV64" i="7"/>
  <c r="LXW64" i="7"/>
  <c r="LXX64" i="7"/>
  <c r="LXY64" i="7"/>
  <c r="LXZ64" i="7"/>
  <c r="LYA64" i="7"/>
  <c r="LYB64" i="7"/>
  <c r="LYC64" i="7"/>
  <c r="LYD64" i="7"/>
  <c r="LYE64" i="7"/>
  <c r="LYF64" i="7"/>
  <c r="LYG64" i="7"/>
  <c r="LYH64" i="7"/>
  <c r="LYI64" i="7"/>
  <c r="LYJ64" i="7"/>
  <c r="LYK64" i="7"/>
  <c r="LYL64" i="7"/>
  <c r="LYM64" i="7"/>
  <c r="LYN64" i="7"/>
  <c r="LYO64" i="7"/>
  <c r="LYP64" i="7"/>
  <c r="LYQ64" i="7"/>
  <c r="LYR64" i="7"/>
  <c r="LYS64" i="7"/>
  <c r="LYT64" i="7"/>
  <c r="LYU64" i="7"/>
  <c r="LYV64" i="7"/>
  <c r="LYW64" i="7"/>
  <c r="LYX64" i="7"/>
  <c r="LYY64" i="7"/>
  <c r="LYZ64" i="7"/>
  <c r="LZA64" i="7"/>
  <c r="LZB64" i="7"/>
  <c r="LZC64" i="7"/>
  <c r="LZD64" i="7"/>
  <c r="LZE64" i="7"/>
  <c r="LZF64" i="7"/>
  <c r="LZG64" i="7"/>
  <c r="LZH64" i="7"/>
  <c r="LZI64" i="7"/>
  <c r="LZJ64" i="7"/>
  <c r="LZK64" i="7"/>
  <c r="LZL64" i="7"/>
  <c r="LZM64" i="7"/>
  <c r="LZN64" i="7"/>
  <c r="LZO64" i="7"/>
  <c r="LZP64" i="7"/>
  <c r="LZQ64" i="7"/>
  <c r="LZR64" i="7"/>
  <c r="LZS64" i="7"/>
  <c r="LZT64" i="7"/>
  <c r="LZU64" i="7"/>
  <c r="LZV64" i="7"/>
  <c r="LZW64" i="7"/>
  <c r="LZX64" i="7"/>
  <c r="LZY64" i="7"/>
  <c r="LZZ64" i="7"/>
  <c r="MAA64" i="7"/>
  <c r="MAB64" i="7"/>
  <c r="MAC64" i="7"/>
  <c r="MAD64" i="7"/>
  <c r="MAE64" i="7"/>
  <c r="MAF64" i="7"/>
  <c r="MAG64" i="7"/>
  <c r="MAH64" i="7"/>
  <c r="MAI64" i="7"/>
  <c r="MAJ64" i="7"/>
  <c r="MAK64" i="7"/>
  <c r="MAL64" i="7"/>
  <c r="MAM64" i="7"/>
  <c r="MAN64" i="7"/>
  <c r="MAO64" i="7"/>
  <c r="MAP64" i="7"/>
  <c r="MAQ64" i="7"/>
  <c r="MAR64" i="7"/>
  <c r="MAS64" i="7"/>
  <c r="MAT64" i="7"/>
  <c r="MAU64" i="7"/>
  <c r="MAV64" i="7"/>
  <c r="MAW64" i="7"/>
  <c r="MAX64" i="7"/>
  <c r="MAY64" i="7"/>
  <c r="MAZ64" i="7"/>
  <c r="MBA64" i="7"/>
  <c r="MBB64" i="7"/>
  <c r="MBC64" i="7"/>
  <c r="MBD64" i="7"/>
  <c r="MBE64" i="7"/>
  <c r="MBF64" i="7"/>
  <c r="MBG64" i="7"/>
  <c r="MBH64" i="7"/>
  <c r="MBI64" i="7"/>
  <c r="MBJ64" i="7"/>
  <c r="MBK64" i="7"/>
  <c r="MBL64" i="7"/>
  <c r="MBM64" i="7"/>
  <c r="MBN64" i="7"/>
  <c r="MBO64" i="7"/>
  <c r="MBP64" i="7"/>
  <c r="MBQ64" i="7"/>
  <c r="MBR64" i="7"/>
  <c r="MBS64" i="7"/>
  <c r="MBT64" i="7"/>
  <c r="MBU64" i="7"/>
  <c r="MBV64" i="7"/>
  <c r="MBW64" i="7"/>
  <c r="MBX64" i="7"/>
  <c r="MBY64" i="7"/>
  <c r="MBZ64" i="7"/>
  <c r="MCA64" i="7"/>
  <c r="MCB64" i="7"/>
  <c r="MCC64" i="7"/>
  <c r="MCD64" i="7"/>
  <c r="MCE64" i="7"/>
  <c r="MCF64" i="7"/>
  <c r="MCG64" i="7"/>
  <c r="MCH64" i="7"/>
  <c r="MCI64" i="7"/>
  <c r="MCJ64" i="7"/>
  <c r="MCK64" i="7"/>
  <c r="MCL64" i="7"/>
  <c r="MCM64" i="7"/>
  <c r="MCN64" i="7"/>
  <c r="MCO64" i="7"/>
  <c r="MCP64" i="7"/>
  <c r="MCQ64" i="7"/>
  <c r="MCR64" i="7"/>
  <c r="MCS64" i="7"/>
  <c r="MCT64" i="7"/>
  <c r="MCU64" i="7"/>
  <c r="MCV64" i="7"/>
  <c r="MCW64" i="7"/>
  <c r="MCX64" i="7"/>
  <c r="MCY64" i="7"/>
  <c r="MCZ64" i="7"/>
  <c r="MDA64" i="7"/>
  <c r="MDB64" i="7"/>
  <c r="MDC64" i="7"/>
  <c r="MDD64" i="7"/>
  <c r="MDE64" i="7"/>
  <c r="MDF64" i="7"/>
  <c r="MDG64" i="7"/>
  <c r="MDH64" i="7"/>
  <c r="MDI64" i="7"/>
  <c r="MDJ64" i="7"/>
  <c r="MDK64" i="7"/>
  <c r="MDL64" i="7"/>
  <c r="MDM64" i="7"/>
  <c r="MDN64" i="7"/>
  <c r="MDO64" i="7"/>
  <c r="MDP64" i="7"/>
  <c r="MDQ64" i="7"/>
  <c r="MDR64" i="7"/>
  <c r="MDS64" i="7"/>
  <c r="MDT64" i="7"/>
  <c r="MDU64" i="7"/>
  <c r="MDV64" i="7"/>
  <c r="MDW64" i="7"/>
  <c r="MDX64" i="7"/>
  <c r="MDY64" i="7"/>
  <c r="MDZ64" i="7"/>
  <c r="MEA64" i="7"/>
  <c r="MEB64" i="7"/>
  <c r="MEC64" i="7"/>
  <c r="MED64" i="7"/>
  <c r="MEE64" i="7"/>
  <c r="MEF64" i="7"/>
  <c r="MEG64" i="7"/>
  <c r="MEH64" i="7"/>
  <c r="MEI64" i="7"/>
  <c r="MEJ64" i="7"/>
  <c r="MEK64" i="7"/>
  <c r="MEL64" i="7"/>
  <c r="MEM64" i="7"/>
  <c r="MEN64" i="7"/>
  <c r="MEO64" i="7"/>
  <c r="MEP64" i="7"/>
  <c r="MEQ64" i="7"/>
  <c r="MER64" i="7"/>
  <c r="MES64" i="7"/>
  <c r="MET64" i="7"/>
  <c r="MEU64" i="7"/>
  <c r="MEV64" i="7"/>
  <c r="MEW64" i="7"/>
  <c r="MEX64" i="7"/>
  <c r="MEY64" i="7"/>
  <c r="MEZ64" i="7"/>
  <c r="MFA64" i="7"/>
  <c r="MFB64" i="7"/>
  <c r="MFC64" i="7"/>
  <c r="MFD64" i="7"/>
  <c r="MFE64" i="7"/>
  <c r="MFF64" i="7"/>
  <c r="MFG64" i="7"/>
  <c r="MFH64" i="7"/>
  <c r="MFI64" i="7"/>
  <c r="MFJ64" i="7"/>
  <c r="MFK64" i="7"/>
  <c r="MFL64" i="7"/>
  <c r="MFM64" i="7"/>
  <c r="MFN64" i="7"/>
  <c r="MFO64" i="7"/>
  <c r="MFP64" i="7"/>
  <c r="MFQ64" i="7"/>
  <c r="MFR64" i="7"/>
  <c r="MFS64" i="7"/>
  <c r="MFT64" i="7"/>
  <c r="MFU64" i="7"/>
  <c r="MFV64" i="7"/>
  <c r="MFW64" i="7"/>
  <c r="MFX64" i="7"/>
  <c r="MFY64" i="7"/>
  <c r="MFZ64" i="7"/>
  <c r="MGA64" i="7"/>
  <c r="MGB64" i="7"/>
  <c r="MGC64" i="7"/>
  <c r="MGD64" i="7"/>
  <c r="MGE64" i="7"/>
  <c r="MGF64" i="7"/>
  <c r="MGG64" i="7"/>
  <c r="MGH64" i="7"/>
  <c r="MGI64" i="7"/>
  <c r="MGJ64" i="7"/>
  <c r="MGK64" i="7"/>
  <c r="MGL64" i="7"/>
  <c r="MGM64" i="7"/>
  <c r="MGN64" i="7"/>
  <c r="MGO64" i="7"/>
  <c r="MGP64" i="7"/>
  <c r="MGQ64" i="7"/>
  <c r="MGR64" i="7"/>
  <c r="MGS64" i="7"/>
  <c r="MGT64" i="7"/>
  <c r="MGU64" i="7"/>
  <c r="MGV64" i="7"/>
  <c r="MGW64" i="7"/>
  <c r="MGX64" i="7"/>
  <c r="MGY64" i="7"/>
  <c r="MGZ64" i="7"/>
  <c r="MHA64" i="7"/>
  <c r="MHB64" i="7"/>
  <c r="MHC64" i="7"/>
  <c r="MHD64" i="7"/>
  <c r="MHE64" i="7"/>
  <c r="MHF64" i="7"/>
  <c r="MHG64" i="7"/>
  <c r="MHH64" i="7"/>
  <c r="MHI64" i="7"/>
  <c r="MHJ64" i="7"/>
  <c r="MHK64" i="7"/>
  <c r="MHL64" i="7"/>
  <c r="MHM64" i="7"/>
  <c r="MHN64" i="7"/>
  <c r="MHO64" i="7"/>
  <c r="MHP64" i="7"/>
  <c r="MHQ64" i="7"/>
  <c r="MHR64" i="7"/>
  <c r="MHS64" i="7"/>
  <c r="MHT64" i="7"/>
  <c r="MHU64" i="7"/>
  <c r="MHV64" i="7"/>
  <c r="MHW64" i="7"/>
  <c r="MHX64" i="7"/>
  <c r="MHY64" i="7"/>
  <c r="MHZ64" i="7"/>
  <c r="MIA64" i="7"/>
  <c r="MIB64" i="7"/>
  <c r="MIC64" i="7"/>
  <c r="MID64" i="7"/>
  <c r="MIE64" i="7"/>
  <c r="MIF64" i="7"/>
  <c r="MIG64" i="7"/>
  <c r="MIH64" i="7"/>
  <c r="MII64" i="7"/>
  <c r="MIJ64" i="7"/>
  <c r="MIK64" i="7"/>
  <c r="MIL64" i="7"/>
  <c r="MIM64" i="7"/>
  <c r="MIN64" i="7"/>
  <c r="MIO64" i="7"/>
  <c r="MIP64" i="7"/>
  <c r="MIQ64" i="7"/>
  <c r="MIR64" i="7"/>
  <c r="MIS64" i="7"/>
  <c r="MIT64" i="7"/>
  <c r="MIU64" i="7"/>
  <c r="MIV64" i="7"/>
  <c r="MIW64" i="7"/>
  <c r="MIX64" i="7"/>
  <c r="MIY64" i="7"/>
  <c r="MIZ64" i="7"/>
  <c r="MJA64" i="7"/>
  <c r="MJB64" i="7"/>
  <c r="MJC64" i="7"/>
  <c r="MJD64" i="7"/>
  <c r="MJE64" i="7"/>
  <c r="MJF64" i="7"/>
  <c r="MJG64" i="7"/>
  <c r="MJH64" i="7"/>
  <c r="MJI64" i="7"/>
  <c r="MJJ64" i="7"/>
  <c r="MJK64" i="7"/>
  <c r="MJL64" i="7"/>
  <c r="MJM64" i="7"/>
  <c r="MJN64" i="7"/>
  <c r="MJO64" i="7"/>
  <c r="MJP64" i="7"/>
  <c r="MJQ64" i="7"/>
  <c r="MJR64" i="7"/>
  <c r="MJS64" i="7"/>
  <c r="MJT64" i="7"/>
  <c r="MJU64" i="7"/>
  <c r="MJV64" i="7"/>
  <c r="MJW64" i="7"/>
  <c r="MJX64" i="7"/>
  <c r="MJY64" i="7"/>
  <c r="MJZ64" i="7"/>
  <c r="MKA64" i="7"/>
  <c r="MKB64" i="7"/>
  <c r="MKC64" i="7"/>
  <c r="MKD64" i="7"/>
  <c r="MKE64" i="7"/>
  <c r="MKF64" i="7"/>
  <c r="MKG64" i="7"/>
  <c r="MKH64" i="7"/>
  <c r="MKI64" i="7"/>
  <c r="MKJ64" i="7"/>
  <c r="MKK64" i="7"/>
  <c r="MKL64" i="7"/>
  <c r="MKM64" i="7"/>
  <c r="MKN64" i="7"/>
  <c r="MKO64" i="7"/>
  <c r="MKP64" i="7"/>
  <c r="MKQ64" i="7"/>
  <c r="MKR64" i="7"/>
  <c r="MKS64" i="7"/>
  <c r="MKT64" i="7"/>
  <c r="MKU64" i="7"/>
  <c r="MKV64" i="7"/>
  <c r="MKW64" i="7"/>
  <c r="MKX64" i="7"/>
  <c r="MKY64" i="7"/>
  <c r="MKZ64" i="7"/>
  <c r="MLA64" i="7"/>
  <c r="MLB64" i="7"/>
  <c r="MLC64" i="7"/>
  <c r="MLD64" i="7"/>
  <c r="MLE64" i="7"/>
  <c r="MLF64" i="7"/>
  <c r="MLG64" i="7"/>
  <c r="MLH64" i="7"/>
  <c r="MLI64" i="7"/>
  <c r="MLJ64" i="7"/>
  <c r="MLK64" i="7"/>
  <c r="MLL64" i="7"/>
  <c r="MLM64" i="7"/>
  <c r="MLN64" i="7"/>
  <c r="MLO64" i="7"/>
  <c r="MLP64" i="7"/>
  <c r="MLQ64" i="7"/>
  <c r="MLR64" i="7"/>
  <c r="MLS64" i="7"/>
  <c r="MLT64" i="7"/>
  <c r="MLU64" i="7"/>
  <c r="MLV64" i="7"/>
  <c r="MLW64" i="7"/>
  <c r="MLX64" i="7"/>
  <c r="MLY64" i="7"/>
  <c r="MLZ64" i="7"/>
  <c r="MMA64" i="7"/>
  <c r="MMB64" i="7"/>
  <c r="MMC64" i="7"/>
  <c r="MMD64" i="7"/>
  <c r="MME64" i="7"/>
  <c r="MMF64" i="7"/>
  <c r="MMG64" i="7"/>
  <c r="MMH64" i="7"/>
  <c r="MMI64" i="7"/>
  <c r="MMJ64" i="7"/>
  <c r="MMK64" i="7"/>
  <c r="MML64" i="7"/>
  <c r="MMM64" i="7"/>
  <c r="MMN64" i="7"/>
  <c r="MMO64" i="7"/>
  <c r="MMP64" i="7"/>
  <c r="MMQ64" i="7"/>
  <c r="MMR64" i="7"/>
  <c r="MMS64" i="7"/>
  <c r="MMT64" i="7"/>
  <c r="MMU64" i="7"/>
  <c r="MMV64" i="7"/>
  <c r="MMW64" i="7"/>
  <c r="MMX64" i="7"/>
  <c r="MMY64" i="7"/>
  <c r="MMZ64" i="7"/>
  <c r="MNA64" i="7"/>
  <c r="MNB64" i="7"/>
  <c r="MNC64" i="7"/>
  <c r="MND64" i="7"/>
  <c r="MNE64" i="7"/>
  <c r="MNF64" i="7"/>
  <c r="MNG64" i="7"/>
  <c r="MNH64" i="7"/>
  <c r="MNI64" i="7"/>
  <c r="MNJ64" i="7"/>
  <c r="MNK64" i="7"/>
  <c r="MNL64" i="7"/>
  <c r="MNM64" i="7"/>
  <c r="MNN64" i="7"/>
  <c r="MNO64" i="7"/>
  <c r="MNP64" i="7"/>
  <c r="MNQ64" i="7"/>
  <c r="MNR64" i="7"/>
  <c r="MNS64" i="7"/>
  <c r="MNT64" i="7"/>
  <c r="MNU64" i="7"/>
  <c r="MNV64" i="7"/>
  <c r="MNW64" i="7"/>
  <c r="MNX64" i="7"/>
  <c r="MNY64" i="7"/>
  <c r="MNZ64" i="7"/>
  <c r="MOA64" i="7"/>
  <c r="MOB64" i="7"/>
  <c r="MOC64" i="7"/>
  <c r="MOD64" i="7"/>
  <c r="MOE64" i="7"/>
  <c r="MOF64" i="7"/>
  <c r="MOG64" i="7"/>
  <c r="MOH64" i="7"/>
  <c r="MOI64" i="7"/>
  <c r="MOJ64" i="7"/>
  <c r="MOK64" i="7"/>
  <c r="MOL64" i="7"/>
  <c r="MOM64" i="7"/>
  <c r="MON64" i="7"/>
  <c r="MOO64" i="7"/>
  <c r="MOP64" i="7"/>
  <c r="MOQ64" i="7"/>
  <c r="MOR64" i="7"/>
  <c r="MOS64" i="7"/>
  <c r="MOT64" i="7"/>
  <c r="MOU64" i="7"/>
  <c r="MOV64" i="7"/>
  <c r="MOW64" i="7"/>
  <c r="MOX64" i="7"/>
  <c r="MOY64" i="7"/>
  <c r="MOZ64" i="7"/>
  <c r="MPA64" i="7"/>
  <c r="MPB64" i="7"/>
  <c r="MPC64" i="7"/>
  <c r="MPD64" i="7"/>
  <c r="MPE64" i="7"/>
  <c r="MPF64" i="7"/>
  <c r="MPG64" i="7"/>
  <c r="MPH64" i="7"/>
  <c r="MPI64" i="7"/>
  <c r="MPJ64" i="7"/>
  <c r="MPK64" i="7"/>
  <c r="MPL64" i="7"/>
  <c r="MPM64" i="7"/>
  <c r="MPN64" i="7"/>
  <c r="MPO64" i="7"/>
  <c r="MPP64" i="7"/>
  <c r="MPQ64" i="7"/>
  <c r="MPR64" i="7"/>
  <c r="MPS64" i="7"/>
  <c r="MPT64" i="7"/>
  <c r="MPU64" i="7"/>
  <c r="MPV64" i="7"/>
  <c r="MPW64" i="7"/>
  <c r="MPX64" i="7"/>
  <c r="MPY64" i="7"/>
  <c r="MPZ64" i="7"/>
  <c r="MQA64" i="7"/>
  <c r="MQB64" i="7"/>
  <c r="MQC64" i="7"/>
  <c r="MQD64" i="7"/>
  <c r="MQE64" i="7"/>
  <c r="MQF64" i="7"/>
  <c r="MQG64" i="7"/>
  <c r="MQH64" i="7"/>
  <c r="MQI64" i="7"/>
  <c r="MQJ64" i="7"/>
  <c r="MQK64" i="7"/>
  <c r="MQL64" i="7"/>
  <c r="MQM64" i="7"/>
  <c r="MQN64" i="7"/>
  <c r="MQO64" i="7"/>
  <c r="MQP64" i="7"/>
  <c r="MQQ64" i="7"/>
  <c r="MQR64" i="7"/>
  <c r="MQS64" i="7"/>
  <c r="MQT64" i="7"/>
  <c r="MQU64" i="7"/>
  <c r="MQV64" i="7"/>
  <c r="MQW64" i="7"/>
  <c r="MQX64" i="7"/>
  <c r="MQY64" i="7"/>
  <c r="MQZ64" i="7"/>
  <c r="MRA64" i="7"/>
  <c r="MRB64" i="7"/>
  <c r="MRC64" i="7"/>
  <c r="MRD64" i="7"/>
  <c r="MRE64" i="7"/>
  <c r="MRF64" i="7"/>
  <c r="MRG64" i="7"/>
  <c r="MRH64" i="7"/>
  <c r="MRI64" i="7"/>
  <c r="MRJ64" i="7"/>
  <c r="MRK64" i="7"/>
  <c r="MRL64" i="7"/>
  <c r="MRM64" i="7"/>
  <c r="MRN64" i="7"/>
  <c r="MRO64" i="7"/>
  <c r="MRP64" i="7"/>
  <c r="MRQ64" i="7"/>
  <c r="MRR64" i="7"/>
  <c r="MRS64" i="7"/>
  <c r="MRT64" i="7"/>
  <c r="MRU64" i="7"/>
  <c r="MRV64" i="7"/>
  <c r="MRW64" i="7"/>
  <c r="MRX64" i="7"/>
  <c r="MRY64" i="7"/>
  <c r="MRZ64" i="7"/>
  <c r="MSA64" i="7"/>
  <c r="MSB64" i="7"/>
  <c r="MSC64" i="7"/>
  <c r="MSD64" i="7"/>
  <c r="MSE64" i="7"/>
  <c r="MSF64" i="7"/>
  <c r="MSG64" i="7"/>
  <c r="MSH64" i="7"/>
  <c r="MSI64" i="7"/>
  <c r="MSJ64" i="7"/>
  <c r="MSK64" i="7"/>
  <c r="MSL64" i="7"/>
  <c r="MSM64" i="7"/>
  <c r="MSN64" i="7"/>
  <c r="MSO64" i="7"/>
  <c r="MSP64" i="7"/>
  <c r="MSQ64" i="7"/>
  <c r="MSR64" i="7"/>
  <c r="MSS64" i="7"/>
  <c r="MST64" i="7"/>
  <c r="MSU64" i="7"/>
  <c r="MSV64" i="7"/>
  <c r="MSW64" i="7"/>
  <c r="MSX64" i="7"/>
  <c r="MSY64" i="7"/>
  <c r="MSZ64" i="7"/>
  <c r="MTA64" i="7"/>
  <c r="MTB64" i="7"/>
  <c r="MTC64" i="7"/>
  <c r="MTD64" i="7"/>
  <c r="MTE64" i="7"/>
  <c r="MTF64" i="7"/>
  <c r="MTG64" i="7"/>
  <c r="MTH64" i="7"/>
  <c r="MTI64" i="7"/>
  <c r="MTJ64" i="7"/>
  <c r="MTK64" i="7"/>
  <c r="MTL64" i="7"/>
  <c r="MTM64" i="7"/>
  <c r="MTN64" i="7"/>
  <c r="MTO64" i="7"/>
  <c r="MTP64" i="7"/>
  <c r="MTQ64" i="7"/>
  <c r="MTR64" i="7"/>
  <c r="MTS64" i="7"/>
  <c r="MTT64" i="7"/>
  <c r="MTU64" i="7"/>
  <c r="MTV64" i="7"/>
  <c r="MTW64" i="7"/>
  <c r="MTX64" i="7"/>
  <c r="MTY64" i="7"/>
  <c r="MTZ64" i="7"/>
  <c r="MUA64" i="7"/>
  <c r="MUB64" i="7"/>
  <c r="MUC64" i="7"/>
  <c r="MUD64" i="7"/>
  <c r="MUE64" i="7"/>
  <c r="MUF64" i="7"/>
  <c r="MUG64" i="7"/>
  <c r="MUH64" i="7"/>
  <c r="MUI64" i="7"/>
  <c r="MUJ64" i="7"/>
  <c r="MUK64" i="7"/>
  <c r="MUL64" i="7"/>
  <c r="MUM64" i="7"/>
  <c r="MUN64" i="7"/>
  <c r="MUO64" i="7"/>
  <c r="MUP64" i="7"/>
  <c r="MUQ64" i="7"/>
  <c r="MUR64" i="7"/>
  <c r="MUS64" i="7"/>
  <c r="MUT64" i="7"/>
  <c r="MUU64" i="7"/>
  <c r="MUV64" i="7"/>
  <c r="MUW64" i="7"/>
  <c r="MUX64" i="7"/>
  <c r="MUY64" i="7"/>
  <c r="MUZ64" i="7"/>
  <c r="MVA64" i="7"/>
  <c r="MVB64" i="7"/>
  <c r="MVC64" i="7"/>
  <c r="MVD64" i="7"/>
  <c r="MVE64" i="7"/>
  <c r="MVF64" i="7"/>
  <c r="MVG64" i="7"/>
  <c r="MVH64" i="7"/>
  <c r="MVI64" i="7"/>
  <c r="MVJ64" i="7"/>
  <c r="MVK64" i="7"/>
  <c r="MVL64" i="7"/>
  <c r="MVM64" i="7"/>
  <c r="MVN64" i="7"/>
  <c r="MVO64" i="7"/>
  <c r="MVP64" i="7"/>
  <c r="MVQ64" i="7"/>
  <c r="MVR64" i="7"/>
  <c r="MVS64" i="7"/>
  <c r="MVT64" i="7"/>
  <c r="MVU64" i="7"/>
  <c r="MVV64" i="7"/>
  <c r="MVW64" i="7"/>
  <c r="MVX64" i="7"/>
  <c r="MVY64" i="7"/>
  <c r="MVZ64" i="7"/>
  <c r="MWA64" i="7"/>
  <c r="MWB64" i="7"/>
  <c r="MWC64" i="7"/>
  <c r="MWD64" i="7"/>
  <c r="MWE64" i="7"/>
  <c r="MWF64" i="7"/>
  <c r="MWG64" i="7"/>
  <c r="MWH64" i="7"/>
  <c r="MWI64" i="7"/>
  <c r="MWJ64" i="7"/>
  <c r="MWK64" i="7"/>
  <c r="MWL64" i="7"/>
  <c r="MWM64" i="7"/>
  <c r="MWN64" i="7"/>
  <c r="MWO64" i="7"/>
  <c r="MWP64" i="7"/>
  <c r="MWQ64" i="7"/>
  <c r="MWR64" i="7"/>
  <c r="MWS64" i="7"/>
  <c r="MWT64" i="7"/>
  <c r="MWU64" i="7"/>
  <c r="MWV64" i="7"/>
  <c r="MWW64" i="7"/>
  <c r="MWX64" i="7"/>
  <c r="MWY64" i="7"/>
  <c r="MWZ64" i="7"/>
  <c r="MXA64" i="7"/>
  <c r="MXB64" i="7"/>
  <c r="MXC64" i="7"/>
  <c r="MXD64" i="7"/>
  <c r="MXE64" i="7"/>
  <c r="MXF64" i="7"/>
  <c r="MXG64" i="7"/>
  <c r="MXH64" i="7"/>
  <c r="MXI64" i="7"/>
  <c r="MXJ64" i="7"/>
  <c r="MXK64" i="7"/>
  <c r="MXL64" i="7"/>
  <c r="MXM64" i="7"/>
  <c r="MXN64" i="7"/>
  <c r="MXO64" i="7"/>
  <c r="MXP64" i="7"/>
  <c r="MXQ64" i="7"/>
  <c r="MXR64" i="7"/>
  <c r="MXS64" i="7"/>
  <c r="MXT64" i="7"/>
  <c r="MXU64" i="7"/>
  <c r="MXV64" i="7"/>
  <c r="MXW64" i="7"/>
  <c r="MXX64" i="7"/>
  <c r="MXY64" i="7"/>
  <c r="MXZ64" i="7"/>
  <c r="MYA64" i="7"/>
  <c r="MYB64" i="7"/>
  <c r="MYC64" i="7"/>
  <c r="MYD64" i="7"/>
  <c r="MYE64" i="7"/>
  <c r="MYF64" i="7"/>
  <c r="MYG64" i="7"/>
  <c r="MYH64" i="7"/>
  <c r="MYI64" i="7"/>
  <c r="MYJ64" i="7"/>
  <c r="MYK64" i="7"/>
  <c r="MYL64" i="7"/>
  <c r="MYM64" i="7"/>
  <c r="MYN64" i="7"/>
  <c r="MYO64" i="7"/>
  <c r="MYP64" i="7"/>
  <c r="MYQ64" i="7"/>
  <c r="MYR64" i="7"/>
  <c r="MYS64" i="7"/>
  <c r="MYT64" i="7"/>
  <c r="MYU64" i="7"/>
  <c r="MYV64" i="7"/>
  <c r="MYW64" i="7"/>
  <c r="MYX64" i="7"/>
  <c r="MYY64" i="7"/>
  <c r="MYZ64" i="7"/>
  <c r="MZA64" i="7"/>
  <c r="MZB64" i="7"/>
  <c r="MZC64" i="7"/>
  <c r="MZD64" i="7"/>
  <c r="MZE64" i="7"/>
  <c r="MZF64" i="7"/>
  <c r="MZG64" i="7"/>
  <c r="MZH64" i="7"/>
  <c r="MZI64" i="7"/>
  <c r="MZJ64" i="7"/>
  <c r="MZK64" i="7"/>
  <c r="MZL64" i="7"/>
  <c r="MZM64" i="7"/>
  <c r="MZN64" i="7"/>
  <c r="MZO64" i="7"/>
  <c r="MZP64" i="7"/>
  <c r="MZQ64" i="7"/>
  <c r="MZR64" i="7"/>
  <c r="MZS64" i="7"/>
  <c r="MZT64" i="7"/>
  <c r="MZU64" i="7"/>
  <c r="MZV64" i="7"/>
  <c r="MZW64" i="7"/>
  <c r="MZX64" i="7"/>
  <c r="MZY64" i="7"/>
  <c r="MZZ64" i="7"/>
  <c r="NAA64" i="7"/>
  <c r="NAB64" i="7"/>
  <c r="NAC64" i="7"/>
  <c r="NAD64" i="7"/>
  <c r="NAE64" i="7"/>
  <c r="NAF64" i="7"/>
  <c r="NAG64" i="7"/>
  <c r="NAH64" i="7"/>
  <c r="NAI64" i="7"/>
  <c r="NAJ64" i="7"/>
  <c r="NAK64" i="7"/>
  <c r="NAL64" i="7"/>
  <c r="NAM64" i="7"/>
  <c r="NAN64" i="7"/>
  <c r="NAO64" i="7"/>
  <c r="NAP64" i="7"/>
  <c r="NAQ64" i="7"/>
  <c r="NAR64" i="7"/>
  <c r="NAS64" i="7"/>
  <c r="NAT64" i="7"/>
  <c r="NAU64" i="7"/>
  <c r="NAV64" i="7"/>
  <c r="NAW64" i="7"/>
  <c r="NAX64" i="7"/>
  <c r="NAY64" i="7"/>
  <c r="NAZ64" i="7"/>
  <c r="NBA64" i="7"/>
  <c r="NBB64" i="7"/>
  <c r="NBC64" i="7"/>
  <c r="NBD64" i="7"/>
  <c r="NBE64" i="7"/>
  <c r="NBF64" i="7"/>
  <c r="NBG64" i="7"/>
  <c r="NBH64" i="7"/>
  <c r="NBI64" i="7"/>
  <c r="NBJ64" i="7"/>
  <c r="NBK64" i="7"/>
  <c r="NBL64" i="7"/>
  <c r="NBM64" i="7"/>
  <c r="NBN64" i="7"/>
  <c r="NBO64" i="7"/>
  <c r="NBP64" i="7"/>
  <c r="NBQ64" i="7"/>
  <c r="NBR64" i="7"/>
  <c r="NBS64" i="7"/>
  <c r="NBT64" i="7"/>
  <c r="NBU64" i="7"/>
  <c r="NBV64" i="7"/>
  <c r="NBW64" i="7"/>
  <c r="NBX64" i="7"/>
  <c r="NBY64" i="7"/>
  <c r="NBZ64" i="7"/>
  <c r="NCA64" i="7"/>
  <c r="NCB64" i="7"/>
  <c r="NCC64" i="7"/>
  <c r="NCD64" i="7"/>
  <c r="NCE64" i="7"/>
  <c r="NCF64" i="7"/>
  <c r="NCG64" i="7"/>
  <c r="NCH64" i="7"/>
  <c r="NCI64" i="7"/>
  <c r="NCJ64" i="7"/>
  <c r="NCK64" i="7"/>
  <c r="NCL64" i="7"/>
  <c r="NCM64" i="7"/>
  <c r="NCN64" i="7"/>
  <c r="NCO64" i="7"/>
  <c r="NCP64" i="7"/>
  <c r="NCQ64" i="7"/>
  <c r="NCR64" i="7"/>
  <c r="NCS64" i="7"/>
  <c r="NCT64" i="7"/>
  <c r="NCU64" i="7"/>
  <c r="NCV64" i="7"/>
  <c r="NCW64" i="7"/>
  <c r="NCX64" i="7"/>
  <c r="NCY64" i="7"/>
  <c r="NCZ64" i="7"/>
  <c r="NDA64" i="7"/>
  <c r="NDB64" i="7"/>
  <c r="NDC64" i="7"/>
  <c r="NDD64" i="7"/>
  <c r="NDE64" i="7"/>
  <c r="NDF64" i="7"/>
  <c r="NDG64" i="7"/>
  <c r="NDH64" i="7"/>
  <c r="NDI64" i="7"/>
  <c r="NDJ64" i="7"/>
  <c r="NDK64" i="7"/>
  <c r="NDL64" i="7"/>
  <c r="NDM64" i="7"/>
  <c r="NDN64" i="7"/>
  <c r="NDO64" i="7"/>
  <c r="NDP64" i="7"/>
  <c r="NDQ64" i="7"/>
  <c r="NDR64" i="7"/>
  <c r="NDS64" i="7"/>
  <c r="NDT64" i="7"/>
  <c r="NDU64" i="7"/>
  <c r="NDV64" i="7"/>
  <c r="NDW64" i="7"/>
  <c r="NDX64" i="7"/>
  <c r="NDY64" i="7"/>
  <c r="NDZ64" i="7"/>
  <c r="NEA64" i="7"/>
  <c r="NEB64" i="7"/>
  <c r="NEC64" i="7"/>
  <c r="NED64" i="7"/>
  <c r="NEE64" i="7"/>
  <c r="NEF64" i="7"/>
  <c r="NEG64" i="7"/>
  <c r="NEH64" i="7"/>
  <c r="NEI64" i="7"/>
  <c r="NEJ64" i="7"/>
  <c r="NEK64" i="7"/>
  <c r="NEL64" i="7"/>
  <c r="NEM64" i="7"/>
  <c r="NEN64" i="7"/>
  <c r="NEO64" i="7"/>
  <c r="NEP64" i="7"/>
  <c r="NEQ64" i="7"/>
  <c r="NER64" i="7"/>
  <c r="NES64" i="7"/>
  <c r="NET64" i="7"/>
  <c r="NEU64" i="7"/>
  <c r="NEV64" i="7"/>
  <c r="NEW64" i="7"/>
  <c r="NEX64" i="7"/>
  <c r="NEY64" i="7"/>
  <c r="NEZ64" i="7"/>
  <c r="NFA64" i="7"/>
  <c r="NFB64" i="7"/>
  <c r="NFC64" i="7"/>
  <c r="NFD64" i="7"/>
  <c r="NFE64" i="7"/>
  <c r="NFF64" i="7"/>
  <c r="NFG64" i="7"/>
  <c r="NFH64" i="7"/>
  <c r="NFI64" i="7"/>
  <c r="NFJ64" i="7"/>
  <c r="NFK64" i="7"/>
  <c r="NFL64" i="7"/>
  <c r="NFM64" i="7"/>
  <c r="NFN64" i="7"/>
  <c r="NFO64" i="7"/>
  <c r="NFP64" i="7"/>
  <c r="NFQ64" i="7"/>
  <c r="NFR64" i="7"/>
  <c r="NFS64" i="7"/>
  <c r="NFT64" i="7"/>
  <c r="NFU64" i="7"/>
  <c r="NFV64" i="7"/>
  <c r="NFW64" i="7"/>
  <c r="NFX64" i="7"/>
  <c r="NFY64" i="7"/>
  <c r="NFZ64" i="7"/>
  <c r="NGA64" i="7"/>
  <c r="NGB64" i="7"/>
  <c r="NGC64" i="7"/>
  <c r="NGD64" i="7"/>
  <c r="NGE64" i="7"/>
  <c r="NGF64" i="7"/>
  <c r="NGG64" i="7"/>
  <c r="NGH64" i="7"/>
  <c r="NGI64" i="7"/>
  <c r="NGJ64" i="7"/>
  <c r="NGK64" i="7"/>
  <c r="NGL64" i="7"/>
  <c r="NGM64" i="7"/>
  <c r="NGN64" i="7"/>
  <c r="NGO64" i="7"/>
  <c r="NGP64" i="7"/>
  <c r="NGQ64" i="7"/>
  <c r="NGR64" i="7"/>
  <c r="NGS64" i="7"/>
  <c r="NGT64" i="7"/>
  <c r="NGU64" i="7"/>
  <c r="NGV64" i="7"/>
  <c r="NGW64" i="7"/>
  <c r="NGX64" i="7"/>
  <c r="NGY64" i="7"/>
  <c r="NGZ64" i="7"/>
  <c r="NHA64" i="7"/>
  <c r="NHB64" i="7"/>
  <c r="NHC64" i="7"/>
  <c r="NHD64" i="7"/>
  <c r="NHE64" i="7"/>
  <c r="NHF64" i="7"/>
  <c r="NHG64" i="7"/>
  <c r="NHH64" i="7"/>
  <c r="NHI64" i="7"/>
  <c r="NHJ64" i="7"/>
  <c r="NHK64" i="7"/>
  <c r="NHL64" i="7"/>
  <c r="NHM64" i="7"/>
  <c r="NHN64" i="7"/>
  <c r="NHO64" i="7"/>
  <c r="NHP64" i="7"/>
  <c r="NHQ64" i="7"/>
  <c r="NHR64" i="7"/>
  <c r="NHS64" i="7"/>
  <c r="NHT64" i="7"/>
  <c r="NHU64" i="7"/>
  <c r="NHV64" i="7"/>
  <c r="NHW64" i="7"/>
  <c r="NHX64" i="7"/>
  <c r="NHY64" i="7"/>
  <c r="NHZ64" i="7"/>
  <c r="NIA64" i="7"/>
  <c r="NIB64" i="7"/>
  <c r="NIC64" i="7"/>
  <c r="NID64" i="7"/>
  <c r="NIE64" i="7"/>
  <c r="NIF64" i="7"/>
  <c r="NIG64" i="7"/>
  <c r="NIH64" i="7"/>
  <c r="NII64" i="7"/>
  <c r="NIJ64" i="7"/>
  <c r="NIK64" i="7"/>
  <c r="NIL64" i="7"/>
  <c r="NIM64" i="7"/>
  <c r="NIN64" i="7"/>
  <c r="NIO64" i="7"/>
  <c r="NIP64" i="7"/>
  <c r="NIQ64" i="7"/>
  <c r="NIR64" i="7"/>
  <c r="NIS64" i="7"/>
  <c r="NIT64" i="7"/>
  <c r="NIU64" i="7"/>
  <c r="NIV64" i="7"/>
  <c r="NIW64" i="7"/>
  <c r="NIX64" i="7"/>
  <c r="NIY64" i="7"/>
  <c r="NIZ64" i="7"/>
  <c r="NJA64" i="7"/>
  <c r="NJB64" i="7"/>
  <c r="NJC64" i="7"/>
  <c r="NJD64" i="7"/>
  <c r="NJE64" i="7"/>
  <c r="NJF64" i="7"/>
  <c r="NJG64" i="7"/>
  <c r="NJH64" i="7"/>
  <c r="NJI64" i="7"/>
  <c r="NJJ64" i="7"/>
  <c r="NJK64" i="7"/>
  <c r="NJL64" i="7"/>
  <c r="NJM64" i="7"/>
  <c r="NJN64" i="7"/>
  <c r="NJO64" i="7"/>
  <c r="NJP64" i="7"/>
  <c r="NJQ64" i="7"/>
  <c r="NJR64" i="7"/>
  <c r="NJS64" i="7"/>
  <c r="NJT64" i="7"/>
  <c r="NJU64" i="7"/>
  <c r="NJV64" i="7"/>
  <c r="NJW64" i="7"/>
  <c r="NJX64" i="7"/>
  <c r="NJY64" i="7"/>
  <c r="NJZ64" i="7"/>
  <c r="NKA64" i="7"/>
  <c r="NKB64" i="7"/>
  <c r="NKC64" i="7"/>
  <c r="NKD64" i="7"/>
  <c r="NKE64" i="7"/>
  <c r="NKF64" i="7"/>
  <c r="NKG64" i="7"/>
  <c r="NKH64" i="7"/>
  <c r="NKI64" i="7"/>
  <c r="NKJ64" i="7"/>
  <c r="NKK64" i="7"/>
  <c r="NKL64" i="7"/>
  <c r="NKM64" i="7"/>
  <c r="NKN64" i="7"/>
  <c r="NKO64" i="7"/>
  <c r="NKP64" i="7"/>
  <c r="NKQ64" i="7"/>
  <c r="NKR64" i="7"/>
  <c r="NKS64" i="7"/>
  <c r="NKT64" i="7"/>
  <c r="NKU64" i="7"/>
  <c r="NKV64" i="7"/>
  <c r="NKW64" i="7"/>
  <c r="NKX64" i="7"/>
  <c r="NKY64" i="7"/>
  <c r="NKZ64" i="7"/>
  <c r="NLA64" i="7"/>
  <c r="NLB64" i="7"/>
  <c r="NLC64" i="7"/>
  <c r="NLD64" i="7"/>
  <c r="NLE64" i="7"/>
  <c r="NLF64" i="7"/>
  <c r="NLG64" i="7"/>
  <c r="NLH64" i="7"/>
  <c r="NLI64" i="7"/>
  <c r="NLJ64" i="7"/>
  <c r="NLK64" i="7"/>
  <c r="NLL64" i="7"/>
  <c r="NLM64" i="7"/>
  <c r="NLN64" i="7"/>
  <c r="NLO64" i="7"/>
  <c r="NLP64" i="7"/>
  <c r="NLQ64" i="7"/>
  <c r="NLR64" i="7"/>
  <c r="NLS64" i="7"/>
  <c r="NLT64" i="7"/>
  <c r="NLU64" i="7"/>
  <c r="NLV64" i="7"/>
  <c r="NLW64" i="7"/>
  <c r="NLX64" i="7"/>
  <c r="NLY64" i="7"/>
  <c r="NLZ64" i="7"/>
  <c r="NMA64" i="7"/>
  <c r="NMB64" i="7"/>
  <c r="NMC64" i="7"/>
  <c r="NMD64" i="7"/>
  <c r="NME64" i="7"/>
  <c r="NMF64" i="7"/>
  <c r="NMG64" i="7"/>
  <c r="NMH64" i="7"/>
  <c r="NMI64" i="7"/>
  <c r="NMJ64" i="7"/>
  <c r="NMK64" i="7"/>
  <c r="NML64" i="7"/>
  <c r="NMM64" i="7"/>
  <c r="NMN64" i="7"/>
  <c r="NMO64" i="7"/>
  <c r="NMP64" i="7"/>
  <c r="NMQ64" i="7"/>
  <c r="NMR64" i="7"/>
  <c r="NMS64" i="7"/>
  <c r="NMT64" i="7"/>
  <c r="NMU64" i="7"/>
  <c r="NMV64" i="7"/>
  <c r="NMW64" i="7"/>
  <c r="NMX64" i="7"/>
  <c r="NMY64" i="7"/>
  <c r="NMZ64" i="7"/>
  <c r="NNA64" i="7"/>
  <c r="NNB64" i="7"/>
  <c r="NNC64" i="7"/>
  <c r="NND64" i="7"/>
  <c r="NNE64" i="7"/>
  <c r="NNF64" i="7"/>
  <c r="NNG64" i="7"/>
  <c r="NNH64" i="7"/>
  <c r="NNI64" i="7"/>
  <c r="NNJ64" i="7"/>
  <c r="NNK64" i="7"/>
  <c r="NNL64" i="7"/>
  <c r="NNM64" i="7"/>
  <c r="NNN64" i="7"/>
  <c r="NNO64" i="7"/>
  <c r="NNP64" i="7"/>
  <c r="NNQ64" i="7"/>
  <c r="NNR64" i="7"/>
  <c r="NNS64" i="7"/>
  <c r="NNT64" i="7"/>
  <c r="NNU64" i="7"/>
  <c r="NNV64" i="7"/>
  <c r="NNW64" i="7"/>
  <c r="NNX64" i="7"/>
  <c r="NNY64" i="7"/>
  <c r="NNZ64" i="7"/>
  <c r="NOA64" i="7"/>
  <c r="NOB64" i="7"/>
  <c r="NOC64" i="7"/>
  <c r="NOD64" i="7"/>
  <c r="NOE64" i="7"/>
  <c r="NOF64" i="7"/>
  <c r="NOG64" i="7"/>
  <c r="NOH64" i="7"/>
  <c r="NOI64" i="7"/>
  <c r="NOJ64" i="7"/>
  <c r="NOK64" i="7"/>
  <c r="NOL64" i="7"/>
  <c r="NOM64" i="7"/>
  <c r="NON64" i="7"/>
  <c r="NOO64" i="7"/>
  <c r="NOP64" i="7"/>
  <c r="NOQ64" i="7"/>
  <c r="NOR64" i="7"/>
  <c r="NOS64" i="7"/>
  <c r="NOT64" i="7"/>
  <c r="NOU64" i="7"/>
  <c r="NOV64" i="7"/>
  <c r="NOW64" i="7"/>
  <c r="NOX64" i="7"/>
  <c r="NOY64" i="7"/>
  <c r="NOZ64" i="7"/>
  <c r="NPA64" i="7"/>
  <c r="NPB64" i="7"/>
  <c r="NPC64" i="7"/>
  <c r="NPD64" i="7"/>
  <c r="NPE64" i="7"/>
  <c r="NPF64" i="7"/>
  <c r="NPG64" i="7"/>
  <c r="NPH64" i="7"/>
  <c r="NPI64" i="7"/>
  <c r="NPJ64" i="7"/>
  <c r="NPK64" i="7"/>
  <c r="NPL64" i="7"/>
  <c r="NPM64" i="7"/>
  <c r="NPN64" i="7"/>
  <c r="NPO64" i="7"/>
  <c r="NPP64" i="7"/>
  <c r="NPQ64" i="7"/>
  <c r="NPR64" i="7"/>
  <c r="NPS64" i="7"/>
  <c r="NPT64" i="7"/>
  <c r="NPU64" i="7"/>
  <c r="NPV64" i="7"/>
  <c r="NPW64" i="7"/>
  <c r="NPX64" i="7"/>
  <c r="NPY64" i="7"/>
  <c r="NPZ64" i="7"/>
  <c r="NQA64" i="7"/>
  <c r="NQB64" i="7"/>
  <c r="NQC64" i="7"/>
  <c r="NQD64" i="7"/>
  <c r="NQE64" i="7"/>
  <c r="NQF64" i="7"/>
  <c r="NQG64" i="7"/>
  <c r="NQH64" i="7"/>
  <c r="NQI64" i="7"/>
  <c r="NQJ64" i="7"/>
  <c r="NQK64" i="7"/>
  <c r="NQL64" i="7"/>
  <c r="NQM64" i="7"/>
  <c r="NQN64" i="7"/>
  <c r="NQO64" i="7"/>
  <c r="NQP64" i="7"/>
  <c r="NQQ64" i="7"/>
  <c r="NQR64" i="7"/>
  <c r="NQS64" i="7"/>
  <c r="NQT64" i="7"/>
  <c r="NQU64" i="7"/>
  <c r="NQV64" i="7"/>
  <c r="NQW64" i="7"/>
  <c r="NQX64" i="7"/>
  <c r="NQY64" i="7"/>
  <c r="NQZ64" i="7"/>
  <c r="NRA64" i="7"/>
  <c r="NRB64" i="7"/>
  <c r="NRC64" i="7"/>
  <c r="NRD64" i="7"/>
  <c r="NRE64" i="7"/>
  <c r="NRF64" i="7"/>
  <c r="NRG64" i="7"/>
  <c r="NRH64" i="7"/>
  <c r="NRI64" i="7"/>
  <c r="NRJ64" i="7"/>
  <c r="NRK64" i="7"/>
  <c r="NRL64" i="7"/>
  <c r="NRM64" i="7"/>
  <c r="NRN64" i="7"/>
  <c r="NRO64" i="7"/>
  <c r="NRP64" i="7"/>
  <c r="NRQ64" i="7"/>
  <c r="NRR64" i="7"/>
  <c r="NRS64" i="7"/>
  <c r="NRT64" i="7"/>
  <c r="NRU64" i="7"/>
  <c r="NRV64" i="7"/>
  <c r="NRW64" i="7"/>
  <c r="NRX64" i="7"/>
  <c r="NRY64" i="7"/>
  <c r="NRZ64" i="7"/>
  <c r="NSA64" i="7"/>
  <c r="NSB64" i="7"/>
  <c r="NSC64" i="7"/>
  <c r="NSD64" i="7"/>
  <c r="NSE64" i="7"/>
  <c r="NSF64" i="7"/>
  <c r="NSG64" i="7"/>
  <c r="NSH64" i="7"/>
  <c r="NSI64" i="7"/>
  <c r="NSJ64" i="7"/>
  <c r="NSK64" i="7"/>
  <c r="NSL64" i="7"/>
  <c r="NSM64" i="7"/>
  <c r="NSN64" i="7"/>
  <c r="NSO64" i="7"/>
  <c r="NSP64" i="7"/>
  <c r="NSQ64" i="7"/>
  <c r="NSR64" i="7"/>
  <c r="NSS64" i="7"/>
  <c r="NST64" i="7"/>
  <c r="NSU64" i="7"/>
  <c r="NSV64" i="7"/>
  <c r="NSW64" i="7"/>
  <c r="NSX64" i="7"/>
  <c r="NSY64" i="7"/>
  <c r="NSZ64" i="7"/>
  <c r="NTA64" i="7"/>
  <c r="NTB64" i="7"/>
  <c r="NTC64" i="7"/>
  <c r="NTD64" i="7"/>
  <c r="NTE64" i="7"/>
  <c r="NTF64" i="7"/>
  <c r="NTG64" i="7"/>
  <c r="NTH64" i="7"/>
  <c r="NTI64" i="7"/>
  <c r="NTJ64" i="7"/>
  <c r="NTK64" i="7"/>
  <c r="NTL64" i="7"/>
  <c r="NTM64" i="7"/>
  <c r="NTN64" i="7"/>
  <c r="NTO64" i="7"/>
  <c r="NTP64" i="7"/>
  <c r="NTQ64" i="7"/>
  <c r="NTR64" i="7"/>
  <c r="NTS64" i="7"/>
  <c r="NTT64" i="7"/>
  <c r="NTU64" i="7"/>
  <c r="NTV64" i="7"/>
  <c r="NTW64" i="7"/>
  <c r="NTX64" i="7"/>
  <c r="NTY64" i="7"/>
  <c r="NTZ64" i="7"/>
  <c r="NUA64" i="7"/>
  <c r="NUB64" i="7"/>
  <c r="NUC64" i="7"/>
  <c r="NUD64" i="7"/>
  <c r="NUE64" i="7"/>
  <c r="NUF64" i="7"/>
  <c r="NUG64" i="7"/>
  <c r="NUH64" i="7"/>
  <c r="NUI64" i="7"/>
  <c r="NUJ64" i="7"/>
  <c r="NUK64" i="7"/>
  <c r="NUL64" i="7"/>
  <c r="NUM64" i="7"/>
  <c r="NUN64" i="7"/>
  <c r="NUO64" i="7"/>
  <c r="NUP64" i="7"/>
  <c r="NUQ64" i="7"/>
  <c r="NUR64" i="7"/>
  <c r="NUS64" i="7"/>
  <c r="NUT64" i="7"/>
  <c r="NUU64" i="7"/>
  <c r="NUV64" i="7"/>
  <c r="NUW64" i="7"/>
  <c r="NUX64" i="7"/>
  <c r="NUY64" i="7"/>
  <c r="NUZ64" i="7"/>
  <c r="NVA64" i="7"/>
  <c r="NVB64" i="7"/>
  <c r="NVC64" i="7"/>
  <c r="NVD64" i="7"/>
  <c r="NVE64" i="7"/>
  <c r="NVF64" i="7"/>
  <c r="NVG64" i="7"/>
  <c r="NVH64" i="7"/>
  <c r="NVI64" i="7"/>
  <c r="NVJ64" i="7"/>
  <c r="NVK64" i="7"/>
  <c r="NVL64" i="7"/>
  <c r="NVM64" i="7"/>
  <c r="NVN64" i="7"/>
  <c r="NVO64" i="7"/>
  <c r="NVP64" i="7"/>
  <c r="NVQ64" i="7"/>
  <c r="NVR64" i="7"/>
  <c r="NVS64" i="7"/>
  <c r="NVT64" i="7"/>
  <c r="NVU64" i="7"/>
  <c r="NVV64" i="7"/>
  <c r="NVW64" i="7"/>
  <c r="NVX64" i="7"/>
  <c r="NVY64" i="7"/>
  <c r="NVZ64" i="7"/>
  <c r="NWA64" i="7"/>
  <c r="NWB64" i="7"/>
  <c r="NWC64" i="7"/>
  <c r="NWD64" i="7"/>
  <c r="NWE64" i="7"/>
  <c r="NWF64" i="7"/>
  <c r="NWG64" i="7"/>
  <c r="NWH64" i="7"/>
  <c r="NWI64" i="7"/>
  <c r="NWJ64" i="7"/>
  <c r="NWK64" i="7"/>
  <c r="NWL64" i="7"/>
  <c r="NWM64" i="7"/>
  <c r="NWN64" i="7"/>
  <c r="NWO64" i="7"/>
  <c r="NWP64" i="7"/>
  <c r="NWQ64" i="7"/>
  <c r="NWR64" i="7"/>
  <c r="NWS64" i="7"/>
  <c r="NWT64" i="7"/>
  <c r="NWU64" i="7"/>
  <c r="NWV64" i="7"/>
  <c r="NWW64" i="7"/>
  <c r="NWX64" i="7"/>
  <c r="NWY64" i="7"/>
  <c r="NWZ64" i="7"/>
  <c r="NXA64" i="7"/>
  <c r="NXB64" i="7"/>
  <c r="NXC64" i="7"/>
  <c r="NXD64" i="7"/>
  <c r="NXE64" i="7"/>
  <c r="NXF64" i="7"/>
  <c r="NXG64" i="7"/>
  <c r="NXH64" i="7"/>
  <c r="NXI64" i="7"/>
  <c r="NXJ64" i="7"/>
  <c r="NXK64" i="7"/>
  <c r="NXL64" i="7"/>
  <c r="NXM64" i="7"/>
  <c r="NXN64" i="7"/>
  <c r="NXO64" i="7"/>
  <c r="NXP64" i="7"/>
  <c r="NXQ64" i="7"/>
  <c r="NXR64" i="7"/>
  <c r="NXS64" i="7"/>
  <c r="NXT64" i="7"/>
  <c r="NXU64" i="7"/>
  <c r="NXV64" i="7"/>
  <c r="NXW64" i="7"/>
  <c r="NXX64" i="7"/>
  <c r="NXY64" i="7"/>
  <c r="NXZ64" i="7"/>
  <c r="NYA64" i="7"/>
  <c r="NYB64" i="7"/>
  <c r="NYC64" i="7"/>
  <c r="NYD64" i="7"/>
  <c r="NYE64" i="7"/>
  <c r="NYF64" i="7"/>
  <c r="NYG64" i="7"/>
  <c r="NYH64" i="7"/>
  <c r="NYI64" i="7"/>
  <c r="NYJ64" i="7"/>
  <c r="NYK64" i="7"/>
  <c r="NYL64" i="7"/>
  <c r="NYM64" i="7"/>
  <c r="NYN64" i="7"/>
  <c r="NYO64" i="7"/>
  <c r="NYP64" i="7"/>
  <c r="NYQ64" i="7"/>
  <c r="NYR64" i="7"/>
  <c r="NYS64" i="7"/>
  <c r="NYT64" i="7"/>
  <c r="NYU64" i="7"/>
  <c r="NYV64" i="7"/>
  <c r="NYW64" i="7"/>
  <c r="NYX64" i="7"/>
  <c r="NYY64" i="7"/>
  <c r="NYZ64" i="7"/>
  <c r="NZA64" i="7"/>
  <c r="NZB64" i="7"/>
  <c r="NZC64" i="7"/>
  <c r="NZD64" i="7"/>
  <c r="NZE64" i="7"/>
  <c r="NZF64" i="7"/>
  <c r="NZG64" i="7"/>
  <c r="NZH64" i="7"/>
  <c r="NZI64" i="7"/>
  <c r="NZJ64" i="7"/>
  <c r="NZK64" i="7"/>
  <c r="NZL64" i="7"/>
  <c r="NZM64" i="7"/>
  <c r="NZN64" i="7"/>
  <c r="NZO64" i="7"/>
  <c r="NZP64" i="7"/>
  <c r="NZQ64" i="7"/>
  <c r="NZR64" i="7"/>
  <c r="NZS64" i="7"/>
  <c r="NZT64" i="7"/>
  <c r="NZU64" i="7"/>
  <c r="NZV64" i="7"/>
  <c r="NZW64" i="7"/>
  <c r="NZX64" i="7"/>
  <c r="NZY64" i="7"/>
  <c r="NZZ64" i="7"/>
  <c r="OAA64" i="7"/>
  <c r="OAB64" i="7"/>
  <c r="OAC64" i="7"/>
  <c r="OAD64" i="7"/>
  <c r="OAE64" i="7"/>
  <c r="OAF64" i="7"/>
  <c r="OAG64" i="7"/>
  <c r="OAH64" i="7"/>
  <c r="OAI64" i="7"/>
  <c r="OAJ64" i="7"/>
  <c r="OAK64" i="7"/>
  <c r="OAL64" i="7"/>
  <c r="OAM64" i="7"/>
  <c r="OAN64" i="7"/>
  <c r="OAO64" i="7"/>
  <c r="OAP64" i="7"/>
  <c r="OAQ64" i="7"/>
  <c r="OAR64" i="7"/>
  <c r="OAS64" i="7"/>
  <c r="OAT64" i="7"/>
  <c r="OAU64" i="7"/>
  <c r="OAV64" i="7"/>
  <c r="OAW64" i="7"/>
  <c r="OAX64" i="7"/>
  <c r="OAY64" i="7"/>
  <c r="OAZ64" i="7"/>
  <c r="OBA64" i="7"/>
  <c r="OBB64" i="7"/>
  <c r="OBC64" i="7"/>
  <c r="OBD64" i="7"/>
  <c r="OBE64" i="7"/>
  <c r="OBF64" i="7"/>
  <c r="OBG64" i="7"/>
  <c r="OBH64" i="7"/>
  <c r="OBI64" i="7"/>
  <c r="OBJ64" i="7"/>
  <c r="OBK64" i="7"/>
  <c r="OBL64" i="7"/>
  <c r="OBM64" i="7"/>
  <c r="OBN64" i="7"/>
  <c r="OBO64" i="7"/>
  <c r="OBP64" i="7"/>
  <c r="OBQ64" i="7"/>
  <c r="OBR64" i="7"/>
  <c r="OBS64" i="7"/>
  <c r="OBT64" i="7"/>
  <c r="OBU64" i="7"/>
  <c r="OBV64" i="7"/>
  <c r="OBW64" i="7"/>
  <c r="OBX64" i="7"/>
  <c r="OBY64" i="7"/>
  <c r="OBZ64" i="7"/>
  <c r="OCA64" i="7"/>
  <c r="OCB64" i="7"/>
  <c r="OCC64" i="7"/>
  <c r="OCD64" i="7"/>
  <c r="OCE64" i="7"/>
  <c r="OCF64" i="7"/>
  <c r="OCG64" i="7"/>
  <c r="OCH64" i="7"/>
  <c r="OCI64" i="7"/>
  <c r="OCJ64" i="7"/>
  <c r="OCK64" i="7"/>
  <c r="OCL64" i="7"/>
  <c r="OCM64" i="7"/>
  <c r="OCN64" i="7"/>
  <c r="OCO64" i="7"/>
  <c r="OCP64" i="7"/>
  <c r="OCQ64" i="7"/>
  <c r="OCR64" i="7"/>
  <c r="OCS64" i="7"/>
  <c r="OCT64" i="7"/>
  <c r="OCU64" i="7"/>
  <c r="OCV64" i="7"/>
  <c r="OCW64" i="7"/>
  <c r="OCX64" i="7"/>
  <c r="OCY64" i="7"/>
  <c r="OCZ64" i="7"/>
  <c r="ODA64" i="7"/>
  <c r="ODB64" i="7"/>
  <c r="ODC64" i="7"/>
  <c r="ODD64" i="7"/>
  <c r="ODE64" i="7"/>
  <c r="ODF64" i="7"/>
  <c r="ODG64" i="7"/>
  <c r="ODH64" i="7"/>
  <c r="ODI64" i="7"/>
  <c r="ODJ64" i="7"/>
  <c r="ODK64" i="7"/>
  <c r="ODL64" i="7"/>
  <c r="ODM64" i="7"/>
  <c r="ODN64" i="7"/>
  <c r="ODO64" i="7"/>
  <c r="ODP64" i="7"/>
  <c r="ODQ64" i="7"/>
  <c r="ODR64" i="7"/>
  <c r="ODS64" i="7"/>
  <c r="ODT64" i="7"/>
  <c r="ODU64" i="7"/>
  <c r="ODV64" i="7"/>
  <c r="ODW64" i="7"/>
  <c r="ODX64" i="7"/>
  <c r="ODY64" i="7"/>
  <c r="ODZ64" i="7"/>
  <c r="OEA64" i="7"/>
  <c r="OEB64" i="7"/>
  <c r="OEC64" i="7"/>
  <c r="OED64" i="7"/>
  <c r="OEE64" i="7"/>
  <c r="OEF64" i="7"/>
  <c r="OEG64" i="7"/>
  <c r="OEH64" i="7"/>
  <c r="OEI64" i="7"/>
  <c r="OEJ64" i="7"/>
  <c r="OEK64" i="7"/>
  <c r="OEL64" i="7"/>
  <c r="OEM64" i="7"/>
  <c r="OEN64" i="7"/>
  <c r="OEO64" i="7"/>
  <c r="OEP64" i="7"/>
  <c r="OEQ64" i="7"/>
  <c r="OER64" i="7"/>
  <c r="OES64" i="7"/>
  <c r="OET64" i="7"/>
  <c r="OEU64" i="7"/>
  <c r="OEV64" i="7"/>
  <c r="OEW64" i="7"/>
  <c r="OEX64" i="7"/>
  <c r="OEY64" i="7"/>
  <c r="OEZ64" i="7"/>
  <c r="OFA64" i="7"/>
  <c r="OFB64" i="7"/>
  <c r="OFC64" i="7"/>
  <c r="OFD64" i="7"/>
  <c r="OFE64" i="7"/>
  <c r="OFF64" i="7"/>
  <c r="OFG64" i="7"/>
  <c r="OFH64" i="7"/>
  <c r="OFI64" i="7"/>
  <c r="OFJ64" i="7"/>
  <c r="OFK64" i="7"/>
  <c r="OFL64" i="7"/>
  <c r="OFM64" i="7"/>
  <c r="OFN64" i="7"/>
  <c r="OFO64" i="7"/>
  <c r="OFP64" i="7"/>
  <c r="OFQ64" i="7"/>
  <c r="OFR64" i="7"/>
  <c r="OFS64" i="7"/>
  <c r="OFT64" i="7"/>
  <c r="OFU64" i="7"/>
  <c r="OFV64" i="7"/>
  <c r="OFW64" i="7"/>
  <c r="OFX64" i="7"/>
  <c r="OFY64" i="7"/>
  <c r="OFZ64" i="7"/>
  <c r="OGA64" i="7"/>
  <c r="OGB64" i="7"/>
  <c r="OGC64" i="7"/>
  <c r="OGD64" i="7"/>
  <c r="OGE64" i="7"/>
  <c r="OGF64" i="7"/>
  <c r="OGG64" i="7"/>
  <c r="OGH64" i="7"/>
  <c r="OGI64" i="7"/>
  <c r="OGJ64" i="7"/>
  <c r="OGK64" i="7"/>
  <c r="OGL64" i="7"/>
  <c r="OGM64" i="7"/>
  <c r="OGN64" i="7"/>
  <c r="OGO64" i="7"/>
  <c r="OGP64" i="7"/>
  <c r="OGQ64" i="7"/>
  <c r="OGR64" i="7"/>
  <c r="OGS64" i="7"/>
  <c r="OGT64" i="7"/>
  <c r="OGU64" i="7"/>
  <c r="OGV64" i="7"/>
  <c r="OGW64" i="7"/>
  <c r="OGX64" i="7"/>
  <c r="OGY64" i="7"/>
  <c r="OGZ64" i="7"/>
  <c r="OHA64" i="7"/>
  <c r="OHB64" i="7"/>
  <c r="OHC64" i="7"/>
  <c r="OHD64" i="7"/>
  <c r="OHE64" i="7"/>
  <c r="OHF64" i="7"/>
  <c r="OHG64" i="7"/>
  <c r="OHH64" i="7"/>
  <c r="OHI64" i="7"/>
  <c r="OHJ64" i="7"/>
  <c r="OHK64" i="7"/>
  <c r="OHL64" i="7"/>
  <c r="OHM64" i="7"/>
  <c r="OHN64" i="7"/>
  <c r="OHO64" i="7"/>
  <c r="OHP64" i="7"/>
  <c r="OHQ64" i="7"/>
  <c r="OHR64" i="7"/>
  <c r="OHS64" i="7"/>
  <c r="OHT64" i="7"/>
  <c r="OHU64" i="7"/>
  <c r="OHV64" i="7"/>
  <c r="OHW64" i="7"/>
  <c r="OHX64" i="7"/>
  <c r="OHY64" i="7"/>
  <c r="OHZ64" i="7"/>
  <c r="OIA64" i="7"/>
  <c r="OIB64" i="7"/>
  <c r="OIC64" i="7"/>
  <c r="OID64" i="7"/>
  <c r="OIE64" i="7"/>
  <c r="OIF64" i="7"/>
  <c r="OIG64" i="7"/>
  <c r="OIH64" i="7"/>
  <c r="OII64" i="7"/>
  <c r="OIJ64" i="7"/>
  <c r="OIK64" i="7"/>
  <c r="OIL64" i="7"/>
  <c r="OIM64" i="7"/>
  <c r="OIN64" i="7"/>
  <c r="OIO64" i="7"/>
  <c r="OIP64" i="7"/>
  <c r="OIQ64" i="7"/>
  <c r="OIR64" i="7"/>
  <c r="OIS64" i="7"/>
  <c r="OIT64" i="7"/>
  <c r="OIU64" i="7"/>
  <c r="OIV64" i="7"/>
  <c r="OIW64" i="7"/>
  <c r="OIX64" i="7"/>
  <c r="OIY64" i="7"/>
  <c r="OIZ64" i="7"/>
  <c r="OJA64" i="7"/>
  <c r="OJB64" i="7"/>
  <c r="OJC64" i="7"/>
  <c r="OJD64" i="7"/>
  <c r="OJE64" i="7"/>
  <c r="OJF64" i="7"/>
  <c r="OJG64" i="7"/>
  <c r="OJH64" i="7"/>
  <c r="OJI64" i="7"/>
  <c r="OJJ64" i="7"/>
  <c r="OJK64" i="7"/>
  <c r="OJL64" i="7"/>
  <c r="OJM64" i="7"/>
  <c r="OJN64" i="7"/>
  <c r="OJO64" i="7"/>
  <c r="OJP64" i="7"/>
  <c r="OJQ64" i="7"/>
  <c r="OJR64" i="7"/>
  <c r="OJS64" i="7"/>
  <c r="OJT64" i="7"/>
  <c r="OJU64" i="7"/>
  <c r="OJV64" i="7"/>
  <c r="OJW64" i="7"/>
  <c r="OJX64" i="7"/>
  <c r="OJY64" i="7"/>
  <c r="OJZ64" i="7"/>
  <c r="OKA64" i="7"/>
  <c r="OKB64" i="7"/>
  <c r="OKC64" i="7"/>
  <c r="OKD64" i="7"/>
  <c r="OKE64" i="7"/>
  <c r="OKF64" i="7"/>
  <c r="OKG64" i="7"/>
  <c r="OKH64" i="7"/>
  <c r="OKI64" i="7"/>
  <c r="OKJ64" i="7"/>
  <c r="OKK64" i="7"/>
  <c r="OKL64" i="7"/>
  <c r="OKM64" i="7"/>
  <c r="OKN64" i="7"/>
  <c r="OKO64" i="7"/>
  <c r="OKP64" i="7"/>
  <c r="OKQ64" i="7"/>
  <c r="OKR64" i="7"/>
  <c r="OKS64" i="7"/>
  <c r="OKT64" i="7"/>
  <c r="OKU64" i="7"/>
  <c r="OKV64" i="7"/>
  <c r="OKW64" i="7"/>
  <c r="OKX64" i="7"/>
  <c r="OKY64" i="7"/>
  <c r="OKZ64" i="7"/>
  <c r="OLA64" i="7"/>
  <c r="OLB64" i="7"/>
  <c r="OLC64" i="7"/>
  <c r="OLD64" i="7"/>
  <c r="OLE64" i="7"/>
  <c r="OLF64" i="7"/>
  <c r="OLG64" i="7"/>
  <c r="OLH64" i="7"/>
  <c r="OLI64" i="7"/>
  <c r="OLJ64" i="7"/>
  <c r="OLK64" i="7"/>
  <c r="OLL64" i="7"/>
  <c r="OLM64" i="7"/>
  <c r="OLN64" i="7"/>
  <c r="OLO64" i="7"/>
  <c r="OLP64" i="7"/>
  <c r="OLQ64" i="7"/>
  <c r="OLR64" i="7"/>
  <c r="OLS64" i="7"/>
  <c r="OLT64" i="7"/>
  <c r="OLU64" i="7"/>
  <c r="OLV64" i="7"/>
  <c r="OLW64" i="7"/>
  <c r="OLX64" i="7"/>
  <c r="OLY64" i="7"/>
  <c r="OLZ64" i="7"/>
  <c r="OMA64" i="7"/>
  <c r="OMB64" i="7"/>
  <c r="OMC64" i="7"/>
  <c r="OMD64" i="7"/>
  <c r="OME64" i="7"/>
  <c r="OMF64" i="7"/>
  <c r="OMG64" i="7"/>
  <c r="OMH64" i="7"/>
  <c r="OMI64" i="7"/>
  <c r="OMJ64" i="7"/>
  <c r="OMK64" i="7"/>
  <c r="OML64" i="7"/>
  <c r="OMM64" i="7"/>
  <c r="OMN64" i="7"/>
  <c r="OMO64" i="7"/>
  <c r="OMP64" i="7"/>
  <c r="OMQ64" i="7"/>
  <c r="OMR64" i="7"/>
  <c r="OMS64" i="7"/>
  <c r="OMT64" i="7"/>
  <c r="OMU64" i="7"/>
  <c r="OMV64" i="7"/>
  <c r="OMW64" i="7"/>
  <c r="OMX64" i="7"/>
  <c r="OMY64" i="7"/>
  <c r="OMZ64" i="7"/>
  <c r="ONA64" i="7"/>
  <c r="ONB64" i="7"/>
  <c r="ONC64" i="7"/>
  <c r="OND64" i="7"/>
  <c r="ONE64" i="7"/>
  <c r="ONF64" i="7"/>
  <c r="ONG64" i="7"/>
  <c r="ONH64" i="7"/>
  <c r="ONI64" i="7"/>
  <c r="ONJ64" i="7"/>
  <c r="ONK64" i="7"/>
  <c r="ONL64" i="7"/>
  <c r="ONM64" i="7"/>
  <c r="ONN64" i="7"/>
  <c r="ONO64" i="7"/>
  <c r="ONP64" i="7"/>
  <c r="ONQ64" i="7"/>
  <c r="ONR64" i="7"/>
  <c r="ONS64" i="7"/>
  <c r="ONT64" i="7"/>
  <c r="ONU64" i="7"/>
  <c r="ONV64" i="7"/>
  <c r="ONW64" i="7"/>
  <c r="ONX64" i="7"/>
  <c r="ONY64" i="7"/>
  <c r="ONZ64" i="7"/>
  <c r="OOA64" i="7"/>
  <c r="OOB64" i="7"/>
  <c r="OOC64" i="7"/>
  <c r="OOD64" i="7"/>
  <c r="OOE64" i="7"/>
  <c r="OOF64" i="7"/>
  <c r="OOG64" i="7"/>
  <c r="OOH64" i="7"/>
  <c r="OOI64" i="7"/>
  <c r="OOJ64" i="7"/>
  <c r="OOK64" i="7"/>
  <c r="OOL64" i="7"/>
  <c r="OOM64" i="7"/>
  <c r="OON64" i="7"/>
  <c r="OOO64" i="7"/>
  <c r="OOP64" i="7"/>
  <c r="OOQ64" i="7"/>
  <c r="OOR64" i="7"/>
  <c r="OOS64" i="7"/>
  <c r="OOT64" i="7"/>
  <c r="OOU64" i="7"/>
  <c r="OOV64" i="7"/>
  <c r="OOW64" i="7"/>
  <c r="OOX64" i="7"/>
  <c r="OOY64" i="7"/>
  <c r="OOZ64" i="7"/>
  <c r="OPA64" i="7"/>
  <c r="OPB64" i="7"/>
  <c r="OPC64" i="7"/>
  <c r="OPD64" i="7"/>
  <c r="OPE64" i="7"/>
  <c r="OPF64" i="7"/>
  <c r="OPG64" i="7"/>
  <c r="OPH64" i="7"/>
  <c r="OPI64" i="7"/>
  <c r="OPJ64" i="7"/>
  <c r="OPK64" i="7"/>
  <c r="OPL64" i="7"/>
  <c r="OPM64" i="7"/>
  <c r="OPN64" i="7"/>
  <c r="OPO64" i="7"/>
  <c r="OPP64" i="7"/>
  <c r="OPQ64" i="7"/>
  <c r="OPR64" i="7"/>
  <c r="OPS64" i="7"/>
  <c r="OPT64" i="7"/>
  <c r="OPU64" i="7"/>
  <c r="OPV64" i="7"/>
  <c r="OPW64" i="7"/>
  <c r="OPX64" i="7"/>
  <c r="OPY64" i="7"/>
  <c r="OPZ64" i="7"/>
  <c r="OQA64" i="7"/>
  <c r="OQB64" i="7"/>
  <c r="OQC64" i="7"/>
  <c r="OQD64" i="7"/>
  <c r="OQE64" i="7"/>
  <c r="OQF64" i="7"/>
  <c r="OQG64" i="7"/>
  <c r="OQH64" i="7"/>
  <c r="OQI64" i="7"/>
  <c r="OQJ64" i="7"/>
  <c r="OQK64" i="7"/>
  <c r="OQL64" i="7"/>
  <c r="OQM64" i="7"/>
  <c r="OQN64" i="7"/>
  <c r="OQO64" i="7"/>
  <c r="OQP64" i="7"/>
  <c r="OQQ64" i="7"/>
  <c r="OQR64" i="7"/>
  <c r="OQS64" i="7"/>
  <c r="OQT64" i="7"/>
  <c r="OQU64" i="7"/>
  <c r="OQV64" i="7"/>
  <c r="OQW64" i="7"/>
  <c r="OQX64" i="7"/>
  <c r="OQY64" i="7"/>
  <c r="OQZ64" i="7"/>
  <c r="ORA64" i="7"/>
  <c r="ORB64" i="7"/>
  <c r="ORC64" i="7"/>
  <c r="ORD64" i="7"/>
  <c r="ORE64" i="7"/>
  <c r="ORF64" i="7"/>
  <c r="ORG64" i="7"/>
  <c r="ORH64" i="7"/>
  <c r="ORI64" i="7"/>
  <c r="ORJ64" i="7"/>
  <c r="ORK64" i="7"/>
  <c r="ORL64" i="7"/>
  <c r="ORM64" i="7"/>
  <c r="ORN64" i="7"/>
  <c r="ORO64" i="7"/>
  <c r="ORP64" i="7"/>
  <c r="ORQ64" i="7"/>
  <c r="ORR64" i="7"/>
  <c r="ORS64" i="7"/>
  <c r="ORT64" i="7"/>
  <c r="ORU64" i="7"/>
  <c r="ORV64" i="7"/>
  <c r="ORW64" i="7"/>
  <c r="ORX64" i="7"/>
  <c r="ORY64" i="7"/>
  <c r="ORZ64" i="7"/>
  <c r="OSA64" i="7"/>
  <c r="OSB64" i="7"/>
  <c r="OSC64" i="7"/>
  <c r="OSD64" i="7"/>
  <c r="OSE64" i="7"/>
  <c r="OSF64" i="7"/>
  <c r="OSG64" i="7"/>
  <c r="OSH64" i="7"/>
  <c r="OSI64" i="7"/>
  <c r="OSJ64" i="7"/>
  <c r="OSK64" i="7"/>
  <c r="OSL64" i="7"/>
  <c r="OSM64" i="7"/>
  <c r="OSN64" i="7"/>
  <c r="OSO64" i="7"/>
  <c r="OSP64" i="7"/>
  <c r="OSQ64" i="7"/>
  <c r="OSR64" i="7"/>
  <c r="OSS64" i="7"/>
  <c r="OST64" i="7"/>
  <c r="OSU64" i="7"/>
  <c r="OSV64" i="7"/>
  <c r="OSW64" i="7"/>
  <c r="OSX64" i="7"/>
  <c r="OSY64" i="7"/>
  <c r="OSZ64" i="7"/>
  <c r="OTA64" i="7"/>
  <c r="OTB64" i="7"/>
  <c r="OTC64" i="7"/>
  <c r="OTD64" i="7"/>
  <c r="OTE64" i="7"/>
  <c r="OTF64" i="7"/>
  <c r="OTG64" i="7"/>
  <c r="OTH64" i="7"/>
  <c r="OTI64" i="7"/>
  <c r="OTJ64" i="7"/>
  <c r="OTK64" i="7"/>
  <c r="OTL64" i="7"/>
  <c r="OTM64" i="7"/>
  <c r="OTN64" i="7"/>
  <c r="OTO64" i="7"/>
  <c r="OTP64" i="7"/>
  <c r="OTQ64" i="7"/>
  <c r="OTR64" i="7"/>
  <c r="OTS64" i="7"/>
  <c r="OTT64" i="7"/>
  <c r="OTU64" i="7"/>
  <c r="OTV64" i="7"/>
  <c r="OTW64" i="7"/>
  <c r="OTX64" i="7"/>
  <c r="OTY64" i="7"/>
  <c r="OTZ64" i="7"/>
  <c r="OUA64" i="7"/>
  <c r="OUB64" i="7"/>
  <c r="OUC64" i="7"/>
  <c r="OUD64" i="7"/>
  <c r="OUE64" i="7"/>
  <c r="OUF64" i="7"/>
  <c r="OUG64" i="7"/>
  <c r="OUH64" i="7"/>
  <c r="OUI64" i="7"/>
  <c r="OUJ64" i="7"/>
  <c r="OUK64" i="7"/>
  <c r="OUL64" i="7"/>
  <c r="OUM64" i="7"/>
  <c r="OUN64" i="7"/>
  <c r="OUO64" i="7"/>
  <c r="OUP64" i="7"/>
  <c r="OUQ64" i="7"/>
  <c r="OUR64" i="7"/>
  <c r="OUS64" i="7"/>
  <c r="OUT64" i="7"/>
  <c r="OUU64" i="7"/>
  <c r="OUV64" i="7"/>
  <c r="OUW64" i="7"/>
  <c r="OUX64" i="7"/>
  <c r="OUY64" i="7"/>
  <c r="OUZ64" i="7"/>
  <c r="OVA64" i="7"/>
  <c r="OVB64" i="7"/>
  <c r="OVC64" i="7"/>
  <c r="OVD64" i="7"/>
  <c r="OVE64" i="7"/>
  <c r="OVF64" i="7"/>
  <c r="OVG64" i="7"/>
  <c r="OVH64" i="7"/>
  <c r="OVI64" i="7"/>
  <c r="OVJ64" i="7"/>
  <c r="OVK64" i="7"/>
  <c r="OVL64" i="7"/>
  <c r="OVM64" i="7"/>
  <c r="OVN64" i="7"/>
  <c r="OVO64" i="7"/>
  <c r="OVP64" i="7"/>
  <c r="OVQ64" i="7"/>
  <c r="OVR64" i="7"/>
  <c r="OVS64" i="7"/>
  <c r="OVT64" i="7"/>
  <c r="OVU64" i="7"/>
  <c r="OVV64" i="7"/>
  <c r="OVW64" i="7"/>
  <c r="OVX64" i="7"/>
  <c r="OVY64" i="7"/>
  <c r="OVZ64" i="7"/>
  <c r="OWA64" i="7"/>
  <c r="OWB64" i="7"/>
  <c r="OWC64" i="7"/>
  <c r="OWD64" i="7"/>
  <c r="OWE64" i="7"/>
  <c r="OWF64" i="7"/>
  <c r="OWG64" i="7"/>
  <c r="OWH64" i="7"/>
  <c r="OWI64" i="7"/>
  <c r="OWJ64" i="7"/>
  <c r="OWK64" i="7"/>
  <c r="OWL64" i="7"/>
  <c r="OWM64" i="7"/>
  <c r="OWN64" i="7"/>
  <c r="OWO64" i="7"/>
  <c r="OWP64" i="7"/>
  <c r="OWQ64" i="7"/>
  <c r="OWR64" i="7"/>
  <c r="OWS64" i="7"/>
  <c r="OWT64" i="7"/>
  <c r="OWU64" i="7"/>
  <c r="OWV64" i="7"/>
  <c r="OWW64" i="7"/>
  <c r="OWX64" i="7"/>
  <c r="OWY64" i="7"/>
  <c r="OWZ64" i="7"/>
  <c r="OXA64" i="7"/>
  <c r="OXB64" i="7"/>
  <c r="OXC64" i="7"/>
  <c r="OXD64" i="7"/>
  <c r="OXE64" i="7"/>
  <c r="OXF64" i="7"/>
  <c r="OXG64" i="7"/>
  <c r="OXH64" i="7"/>
  <c r="OXI64" i="7"/>
  <c r="OXJ64" i="7"/>
  <c r="OXK64" i="7"/>
  <c r="OXL64" i="7"/>
  <c r="OXM64" i="7"/>
  <c r="OXN64" i="7"/>
  <c r="OXO64" i="7"/>
  <c r="OXP64" i="7"/>
  <c r="OXQ64" i="7"/>
  <c r="OXR64" i="7"/>
  <c r="OXS64" i="7"/>
  <c r="OXT64" i="7"/>
  <c r="OXU64" i="7"/>
  <c r="OXV64" i="7"/>
  <c r="OXW64" i="7"/>
  <c r="OXX64" i="7"/>
  <c r="OXY64" i="7"/>
  <c r="OXZ64" i="7"/>
  <c r="OYA64" i="7"/>
  <c r="OYB64" i="7"/>
  <c r="OYC64" i="7"/>
  <c r="OYD64" i="7"/>
  <c r="OYE64" i="7"/>
  <c r="OYF64" i="7"/>
  <c r="OYG64" i="7"/>
  <c r="OYH64" i="7"/>
  <c r="OYI64" i="7"/>
  <c r="OYJ64" i="7"/>
  <c r="OYK64" i="7"/>
  <c r="OYL64" i="7"/>
  <c r="OYM64" i="7"/>
  <c r="OYN64" i="7"/>
  <c r="OYO64" i="7"/>
  <c r="OYP64" i="7"/>
  <c r="OYQ64" i="7"/>
  <c r="OYR64" i="7"/>
  <c r="OYS64" i="7"/>
  <c r="OYT64" i="7"/>
  <c r="OYU64" i="7"/>
  <c r="OYV64" i="7"/>
  <c r="OYW64" i="7"/>
  <c r="OYX64" i="7"/>
  <c r="OYY64" i="7"/>
  <c r="OYZ64" i="7"/>
  <c r="OZA64" i="7"/>
  <c r="OZB64" i="7"/>
  <c r="OZC64" i="7"/>
  <c r="OZD64" i="7"/>
  <c r="OZE64" i="7"/>
  <c r="OZF64" i="7"/>
  <c r="OZG64" i="7"/>
  <c r="OZH64" i="7"/>
  <c r="OZI64" i="7"/>
  <c r="OZJ64" i="7"/>
  <c r="OZK64" i="7"/>
  <c r="OZL64" i="7"/>
  <c r="OZM64" i="7"/>
  <c r="OZN64" i="7"/>
  <c r="OZO64" i="7"/>
  <c r="OZP64" i="7"/>
  <c r="OZQ64" i="7"/>
  <c r="OZR64" i="7"/>
  <c r="OZS64" i="7"/>
  <c r="OZT64" i="7"/>
  <c r="OZU64" i="7"/>
  <c r="OZV64" i="7"/>
  <c r="OZW64" i="7"/>
  <c r="OZX64" i="7"/>
  <c r="OZY64" i="7"/>
  <c r="OZZ64" i="7"/>
  <c r="PAA64" i="7"/>
  <c r="PAB64" i="7"/>
  <c r="PAC64" i="7"/>
  <c r="PAD64" i="7"/>
  <c r="PAE64" i="7"/>
  <c r="PAF64" i="7"/>
  <c r="PAG64" i="7"/>
  <c r="PAH64" i="7"/>
  <c r="PAI64" i="7"/>
  <c r="PAJ64" i="7"/>
  <c r="PAK64" i="7"/>
  <c r="PAL64" i="7"/>
  <c r="PAM64" i="7"/>
  <c r="PAN64" i="7"/>
  <c r="PAO64" i="7"/>
  <c r="PAP64" i="7"/>
  <c r="PAQ64" i="7"/>
  <c r="PAR64" i="7"/>
  <c r="PAS64" i="7"/>
  <c r="PAT64" i="7"/>
  <c r="PAU64" i="7"/>
  <c r="PAV64" i="7"/>
  <c r="PAW64" i="7"/>
  <c r="PAX64" i="7"/>
  <c r="PAY64" i="7"/>
  <c r="PAZ64" i="7"/>
  <c r="PBA64" i="7"/>
  <c r="PBB64" i="7"/>
  <c r="PBC64" i="7"/>
  <c r="PBD64" i="7"/>
  <c r="PBE64" i="7"/>
  <c r="PBF64" i="7"/>
  <c r="PBG64" i="7"/>
  <c r="PBH64" i="7"/>
  <c r="PBI64" i="7"/>
  <c r="PBJ64" i="7"/>
  <c r="PBK64" i="7"/>
  <c r="PBL64" i="7"/>
  <c r="PBM64" i="7"/>
  <c r="PBN64" i="7"/>
  <c r="PBO64" i="7"/>
  <c r="PBP64" i="7"/>
  <c r="PBQ64" i="7"/>
  <c r="PBR64" i="7"/>
  <c r="PBS64" i="7"/>
  <c r="PBT64" i="7"/>
  <c r="PBU64" i="7"/>
  <c r="PBV64" i="7"/>
  <c r="PBW64" i="7"/>
  <c r="PBX64" i="7"/>
  <c r="PBY64" i="7"/>
  <c r="PBZ64" i="7"/>
  <c r="PCA64" i="7"/>
  <c r="PCB64" i="7"/>
  <c r="PCC64" i="7"/>
  <c r="PCD64" i="7"/>
  <c r="PCE64" i="7"/>
  <c r="PCF64" i="7"/>
  <c r="PCG64" i="7"/>
  <c r="PCH64" i="7"/>
  <c r="PCI64" i="7"/>
  <c r="PCJ64" i="7"/>
  <c r="PCK64" i="7"/>
  <c r="PCL64" i="7"/>
  <c r="PCM64" i="7"/>
  <c r="PCN64" i="7"/>
  <c r="PCO64" i="7"/>
  <c r="PCP64" i="7"/>
  <c r="PCQ64" i="7"/>
  <c r="PCR64" i="7"/>
  <c r="PCS64" i="7"/>
  <c r="PCT64" i="7"/>
  <c r="PCU64" i="7"/>
  <c r="PCV64" i="7"/>
  <c r="PCW64" i="7"/>
  <c r="PCX64" i="7"/>
  <c r="PCY64" i="7"/>
  <c r="PCZ64" i="7"/>
  <c r="PDA64" i="7"/>
  <c r="PDB64" i="7"/>
  <c r="PDC64" i="7"/>
  <c r="PDD64" i="7"/>
  <c r="PDE64" i="7"/>
  <c r="PDF64" i="7"/>
  <c r="PDG64" i="7"/>
  <c r="PDH64" i="7"/>
  <c r="PDI64" i="7"/>
  <c r="PDJ64" i="7"/>
  <c r="PDK64" i="7"/>
  <c r="PDL64" i="7"/>
  <c r="PDM64" i="7"/>
  <c r="PDN64" i="7"/>
  <c r="PDO64" i="7"/>
  <c r="PDP64" i="7"/>
  <c r="PDQ64" i="7"/>
  <c r="PDR64" i="7"/>
  <c r="PDS64" i="7"/>
  <c r="PDT64" i="7"/>
  <c r="PDU64" i="7"/>
  <c r="PDV64" i="7"/>
  <c r="PDW64" i="7"/>
  <c r="PDX64" i="7"/>
  <c r="PDY64" i="7"/>
  <c r="PDZ64" i="7"/>
  <c r="PEA64" i="7"/>
  <c r="PEB64" i="7"/>
  <c r="PEC64" i="7"/>
  <c r="PED64" i="7"/>
  <c r="PEE64" i="7"/>
  <c r="PEF64" i="7"/>
  <c r="PEG64" i="7"/>
  <c r="PEH64" i="7"/>
  <c r="PEI64" i="7"/>
  <c r="PEJ64" i="7"/>
  <c r="PEK64" i="7"/>
  <c r="PEL64" i="7"/>
  <c r="PEM64" i="7"/>
  <c r="PEN64" i="7"/>
  <c r="PEO64" i="7"/>
  <c r="PEP64" i="7"/>
  <c r="PEQ64" i="7"/>
  <c r="PER64" i="7"/>
  <c r="PES64" i="7"/>
  <c r="PET64" i="7"/>
  <c r="PEU64" i="7"/>
  <c r="PEV64" i="7"/>
  <c r="PEW64" i="7"/>
  <c r="PEX64" i="7"/>
  <c r="PEY64" i="7"/>
  <c r="PEZ64" i="7"/>
  <c r="PFA64" i="7"/>
  <c r="PFB64" i="7"/>
  <c r="PFC64" i="7"/>
  <c r="PFD64" i="7"/>
  <c r="PFE64" i="7"/>
  <c r="PFF64" i="7"/>
  <c r="PFG64" i="7"/>
  <c r="PFH64" i="7"/>
  <c r="PFI64" i="7"/>
  <c r="PFJ64" i="7"/>
  <c r="PFK64" i="7"/>
  <c r="PFL64" i="7"/>
  <c r="PFM64" i="7"/>
  <c r="PFN64" i="7"/>
  <c r="PFO64" i="7"/>
  <c r="PFP64" i="7"/>
  <c r="PFQ64" i="7"/>
  <c r="PFR64" i="7"/>
  <c r="PFS64" i="7"/>
  <c r="PFT64" i="7"/>
  <c r="PFU64" i="7"/>
  <c r="PFV64" i="7"/>
  <c r="PFW64" i="7"/>
  <c r="PFX64" i="7"/>
  <c r="PFY64" i="7"/>
  <c r="PFZ64" i="7"/>
  <c r="PGA64" i="7"/>
  <c r="PGB64" i="7"/>
  <c r="PGC64" i="7"/>
  <c r="PGD64" i="7"/>
  <c r="PGE64" i="7"/>
  <c r="PGF64" i="7"/>
  <c r="PGG64" i="7"/>
  <c r="PGH64" i="7"/>
  <c r="PGI64" i="7"/>
  <c r="PGJ64" i="7"/>
  <c r="PGK64" i="7"/>
  <c r="PGL64" i="7"/>
  <c r="PGM64" i="7"/>
  <c r="PGN64" i="7"/>
  <c r="PGO64" i="7"/>
  <c r="PGP64" i="7"/>
  <c r="PGQ64" i="7"/>
  <c r="PGR64" i="7"/>
  <c r="PGS64" i="7"/>
  <c r="PGT64" i="7"/>
  <c r="PGU64" i="7"/>
  <c r="PGV64" i="7"/>
  <c r="PGW64" i="7"/>
  <c r="PGX64" i="7"/>
  <c r="PGY64" i="7"/>
  <c r="PGZ64" i="7"/>
  <c r="PHA64" i="7"/>
  <c r="PHB64" i="7"/>
  <c r="PHC64" i="7"/>
  <c r="PHD64" i="7"/>
  <c r="PHE64" i="7"/>
  <c r="PHF64" i="7"/>
  <c r="PHG64" i="7"/>
  <c r="PHH64" i="7"/>
  <c r="PHI64" i="7"/>
  <c r="PHJ64" i="7"/>
  <c r="PHK64" i="7"/>
  <c r="PHL64" i="7"/>
  <c r="PHM64" i="7"/>
  <c r="PHN64" i="7"/>
  <c r="PHO64" i="7"/>
  <c r="PHP64" i="7"/>
  <c r="PHQ64" i="7"/>
  <c r="PHR64" i="7"/>
  <c r="PHS64" i="7"/>
  <c r="PHT64" i="7"/>
  <c r="PHU64" i="7"/>
  <c r="PHV64" i="7"/>
  <c r="PHW64" i="7"/>
  <c r="PHX64" i="7"/>
  <c r="PHY64" i="7"/>
  <c r="PHZ64" i="7"/>
  <c r="PIA64" i="7"/>
  <c r="PIB64" i="7"/>
  <c r="PIC64" i="7"/>
  <c r="PID64" i="7"/>
  <c r="PIE64" i="7"/>
  <c r="PIF64" i="7"/>
  <c r="PIG64" i="7"/>
  <c r="PIH64" i="7"/>
  <c r="PII64" i="7"/>
  <c r="PIJ64" i="7"/>
  <c r="PIK64" i="7"/>
  <c r="PIL64" i="7"/>
  <c r="PIM64" i="7"/>
  <c r="PIN64" i="7"/>
  <c r="PIO64" i="7"/>
  <c r="PIP64" i="7"/>
  <c r="PIQ64" i="7"/>
  <c r="PIR64" i="7"/>
  <c r="PIS64" i="7"/>
  <c r="PIT64" i="7"/>
  <c r="PIU64" i="7"/>
  <c r="PIV64" i="7"/>
  <c r="PIW64" i="7"/>
  <c r="PIX64" i="7"/>
  <c r="PIY64" i="7"/>
  <c r="PIZ64" i="7"/>
  <c r="PJA64" i="7"/>
  <c r="PJB64" i="7"/>
  <c r="PJC64" i="7"/>
  <c r="PJD64" i="7"/>
  <c r="PJE64" i="7"/>
  <c r="PJF64" i="7"/>
  <c r="PJG64" i="7"/>
  <c r="PJH64" i="7"/>
  <c r="PJI64" i="7"/>
  <c r="PJJ64" i="7"/>
  <c r="PJK64" i="7"/>
  <c r="PJL64" i="7"/>
  <c r="PJM64" i="7"/>
  <c r="PJN64" i="7"/>
  <c r="PJO64" i="7"/>
  <c r="PJP64" i="7"/>
  <c r="PJQ64" i="7"/>
  <c r="PJR64" i="7"/>
  <c r="PJS64" i="7"/>
  <c r="PJT64" i="7"/>
  <c r="PJU64" i="7"/>
  <c r="PJV64" i="7"/>
  <c r="PJW64" i="7"/>
  <c r="PJX64" i="7"/>
  <c r="PJY64" i="7"/>
  <c r="PJZ64" i="7"/>
  <c r="PKA64" i="7"/>
  <c r="PKB64" i="7"/>
  <c r="PKC64" i="7"/>
  <c r="PKD64" i="7"/>
  <c r="PKE64" i="7"/>
  <c r="PKF64" i="7"/>
  <c r="PKG64" i="7"/>
  <c r="PKH64" i="7"/>
  <c r="PKI64" i="7"/>
  <c r="PKJ64" i="7"/>
  <c r="PKK64" i="7"/>
  <c r="PKL64" i="7"/>
  <c r="PKM64" i="7"/>
  <c r="PKN64" i="7"/>
  <c r="PKO64" i="7"/>
  <c r="PKP64" i="7"/>
  <c r="PKQ64" i="7"/>
  <c r="PKR64" i="7"/>
  <c r="PKS64" i="7"/>
  <c r="PKT64" i="7"/>
  <c r="PKU64" i="7"/>
  <c r="PKV64" i="7"/>
  <c r="PKW64" i="7"/>
  <c r="PKX64" i="7"/>
  <c r="PKY64" i="7"/>
  <c r="PKZ64" i="7"/>
  <c r="PLA64" i="7"/>
  <c r="PLB64" i="7"/>
  <c r="PLC64" i="7"/>
  <c r="PLD64" i="7"/>
  <c r="PLE64" i="7"/>
  <c r="PLF64" i="7"/>
  <c r="PLG64" i="7"/>
  <c r="PLH64" i="7"/>
  <c r="PLI64" i="7"/>
  <c r="PLJ64" i="7"/>
  <c r="PLK64" i="7"/>
  <c r="PLL64" i="7"/>
  <c r="PLM64" i="7"/>
  <c r="PLN64" i="7"/>
  <c r="PLO64" i="7"/>
  <c r="PLP64" i="7"/>
  <c r="PLQ64" i="7"/>
  <c r="PLR64" i="7"/>
  <c r="PLS64" i="7"/>
  <c r="PLT64" i="7"/>
  <c r="PLU64" i="7"/>
  <c r="PLV64" i="7"/>
  <c r="PLW64" i="7"/>
  <c r="PLX64" i="7"/>
  <c r="PLY64" i="7"/>
  <c r="PLZ64" i="7"/>
  <c r="PMA64" i="7"/>
  <c r="PMB64" i="7"/>
  <c r="PMC64" i="7"/>
  <c r="PMD64" i="7"/>
  <c r="PME64" i="7"/>
  <c r="PMF64" i="7"/>
  <c r="PMG64" i="7"/>
  <c r="PMH64" i="7"/>
  <c r="PMI64" i="7"/>
  <c r="PMJ64" i="7"/>
  <c r="PMK64" i="7"/>
  <c r="PML64" i="7"/>
  <c r="PMM64" i="7"/>
  <c r="PMN64" i="7"/>
  <c r="PMO64" i="7"/>
  <c r="PMP64" i="7"/>
  <c r="PMQ64" i="7"/>
  <c r="PMR64" i="7"/>
  <c r="PMS64" i="7"/>
  <c r="PMT64" i="7"/>
  <c r="PMU64" i="7"/>
  <c r="PMV64" i="7"/>
  <c r="PMW64" i="7"/>
  <c r="PMX64" i="7"/>
  <c r="PMY64" i="7"/>
  <c r="PMZ64" i="7"/>
  <c r="PNA64" i="7"/>
  <c r="PNB64" i="7"/>
  <c r="PNC64" i="7"/>
  <c r="PND64" i="7"/>
  <c r="PNE64" i="7"/>
  <c r="PNF64" i="7"/>
  <c r="PNG64" i="7"/>
  <c r="PNH64" i="7"/>
  <c r="PNI64" i="7"/>
  <c r="PNJ64" i="7"/>
  <c r="PNK64" i="7"/>
  <c r="PNL64" i="7"/>
  <c r="PNM64" i="7"/>
  <c r="PNN64" i="7"/>
  <c r="PNO64" i="7"/>
  <c r="PNP64" i="7"/>
  <c r="PNQ64" i="7"/>
  <c r="PNR64" i="7"/>
  <c r="PNS64" i="7"/>
  <c r="PNT64" i="7"/>
  <c r="PNU64" i="7"/>
  <c r="PNV64" i="7"/>
  <c r="PNW64" i="7"/>
  <c r="PNX64" i="7"/>
  <c r="PNY64" i="7"/>
  <c r="PNZ64" i="7"/>
  <c r="POA64" i="7"/>
  <c r="POB64" i="7"/>
  <c r="POC64" i="7"/>
  <c r="POD64" i="7"/>
  <c r="POE64" i="7"/>
  <c r="POF64" i="7"/>
  <c r="POG64" i="7"/>
  <c r="POH64" i="7"/>
  <c r="POI64" i="7"/>
  <c r="POJ64" i="7"/>
  <c r="POK64" i="7"/>
  <c r="POL64" i="7"/>
  <c r="POM64" i="7"/>
  <c r="PON64" i="7"/>
  <c r="POO64" i="7"/>
  <c r="POP64" i="7"/>
  <c r="POQ64" i="7"/>
  <c r="POR64" i="7"/>
  <c r="POS64" i="7"/>
  <c r="POT64" i="7"/>
  <c r="POU64" i="7"/>
  <c r="POV64" i="7"/>
  <c r="POW64" i="7"/>
  <c r="POX64" i="7"/>
  <c r="POY64" i="7"/>
  <c r="POZ64" i="7"/>
  <c r="PPA64" i="7"/>
  <c r="PPB64" i="7"/>
  <c r="PPC64" i="7"/>
  <c r="PPD64" i="7"/>
  <c r="PPE64" i="7"/>
  <c r="PPF64" i="7"/>
  <c r="PPG64" i="7"/>
  <c r="PPH64" i="7"/>
  <c r="PPI64" i="7"/>
  <c r="PPJ64" i="7"/>
  <c r="PPK64" i="7"/>
  <c r="PPL64" i="7"/>
  <c r="PPM64" i="7"/>
  <c r="PPN64" i="7"/>
  <c r="PPO64" i="7"/>
  <c r="PPP64" i="7"/>
  <c r="PPQ64" i="7"/>
  <c r="PPR64" i="7"/>
  <c r="PPS64" i="7"/>
  <c r="PPT64" i="7"/>
  <c r="PPU64" i="7"/>
  <c r="PPV64" i="7"/>
  <c r="PPW64" i="7"/>
  <c r="PPX64" i="7"/>
  <c r="PPY64" i="7"/>
  <c r="PPZ64" i="7"/>
  <c r="PQA64" i="7"/>
  <c r="PQB64" i="7"/>
  <c r="PQC64" i="7"/>
  <c r="PQD64" i="7"/>
  <c r="PQE64" i="7"/>
  <c r="PQF64" i="7"/>
  <c r="PQG64" i="7"/>
  <c r="PQH64" i="7"/>
  <c r="PQI64" i="7"/>
  <c r="PQJ64" i="7"/>
  <c r="PQK64" i="7"/>
  <c r="PQL64" i="7"/>
  <c r="PQM64" i="7"/>
  <c r="PQN64" i="7"/>
  <c r="PQO64" i="7"/>
  <c r="PQP64" i="7"/>
  <c r="PQQ64" i="7"/>
  <c r="PQR64" i="7"/>
  <c r="PQS64" i="7"/>
  <c r="PQT64" i="7"/>
  <c r="PQU64" i="7"/>
  <c r="PQV64" i="7"/>
  <c r="PQW64" i="7"/>
  <c r="PQX64" i="7"/>
  <c r="PQY64" i="7"/>
  <c r="PQZ64" i="7"/>
  <c r="PRA64" i="7"/>
  <c r="PRB64" i="7"/>
  <c r="PRC64" i="7"/>
  <c r="PRD64" i="7"/>
  <c r="PRE64" i="7"/>
  <c r="PRF64" i="7"/>
  <c r="PRG64" i="7"/>
  <c r="PRH64" i="7"/>
  <c r="PRI64" i="7"/>
  <c r="PRJ64" i="7"/>
  <c r="PRK64" i="7"/>
  <c r="PRL64" i="7"/>
  <c r="PRM64" i="7"/>
  <c r="PRN64" i="7"/>
  <c r="PRO64" i="7"/>
  <c r="PRP64" i="7"/>
  <c r="PRQ64" i="7"/>
  <c r="PRR64" i="7"/>
  <c r="PRS64" i="7"/>
  <c r="PRT64" i="7"/>
  <c r="PRU64" i="7"/>
  <c r="PRV64" i="7"/>
  <c r="PRW64" i="7"/>
  <c r="PRX64" i="7"/>
  <c r="PRY64" i="7"/>
  <c r="PRZ64" i="7"/>
  <c r="PSA64" i="7"/>
  <c r="PSB64" i="7"/>
  <c r="PSC64" i="7"/>
  <c r="PSD64" i="7"/>
  <c r="PSE64" i="7"/>
  <c r="PSF64" i="7"/>
  <c r="PSG64" i="7"/>
  <c r="PSH64" i="7"/>
  <c r="PSI64" i="7"/>
  <c r="PSJ64" i="7"/>
  <c r="PSK64" i="7"/>
  <c r="PSL64" i="7"/>
  <c r="PSM64" i="7"/>
  <c r="PSN64" i="7"/>
  <c r="PSO64" i="7"/>
  <c r="PSP64" i="7"/>
  <c r="PSQ64" i="7"/>
  <c r="PSR64" i="7"/>
  <c r="PSS64" i="7"/>
  <c r="PST64" i="7"/>
  <c r="PSU64" i="7"/>
  <c r="PSV64" i="7"/>
  <c r="PSW64" i="7"/>
  <c r="PSX64" i="7"/>
  <c r="PSY64" i="7"/>
  <c r="PSZ64" i="7"/>
  <c r="PTA64" i="7"/>
  <c r="PTB64" i="7"/>
  <c r="PTC64" i="7"/>
  <c r="PTD64" i="7"/>
  <c r="PTE64" i="7"/>
  <c r="PTF64" i="7"/>
  <c r="PTG64" i="7"/>
  <c r="PTH64" i="7"/>
  <c r="PTI64" i="7"/>
  <c r="PTJ64" i="7"/>
  <c r="PTK64" i="7"/>
  <c r="PTL64" i="7"/>
  <c r="PTM64" i="7"/>
  <c r="PTN64" i="7"/>
  <c r="PTO64" i="7"/>
  <c r="PTP64" i="7"/>
  <c r="PTQ64" i="7"/>
  <c r="PTR64" i="7"/>
  <c r="PTS64" i="7"/>
  <c r="PTT64" i="7"/>
  <c r="PTU64" i="7"/>
  <c r="PTV64" i="7"/>
  <c r="PTW64" i="7"/>
  <c r="PTX64" i="7"/>
  <c r="PTY64" i="7"/>
  <c r="PTZ64" i="7"/>
  <c r="PUA64" i="7"/>
  <c r="PUB64" i="7"/>
  <c r="PUC64" i="7"/>
  <c r="PUD64" i="7"/>
  <c r="PUE64" i="7"/>
  <c r="PUF64" i="7"/>
  <c r="PUG64" i="7"/>
  <c r="PUH64" i="7"/>
  <c r="PUI64" i="7"/>
  <c r="PUJ64" i="7"/>
  <c r="PUK64" i="7"/>
  <c r="PUL64" i="7"/>
  <c r="PUM64" i="7"/>
  <c r="PUN64" i="7"/>
  <c r="PUO64" i="7"/>
  <c r="PUP64" i="7"/>
  <c r="PUQ64" i="7"/>
  <c r="PUR64" i="7"/>
  <c r="PUS64" i="7"/>
  <c r="PUT64" i="7"/>
  <c r="PUU64" i="7"/>
  <c r="PUV64" i="7"/>
  <c r="PUW64" i="7"/>
  <c r="PUX64" i="7"/>
  <c r="PUY64" i="7"/>
  <c r="PUZ64" i="7"/>
  <c r="PVA64" i="7"/>
  <c r="PVB64" i="7"/>
  <c r="PVC64" i="7"/>
  <c r="PVD64" i="7"/>
  <c r="PVE64" i="7"/>
  <c r="PVF64" i="7"/>
  <c r="PVG64" i="7"/>
  <c r="PVH64" i="7"/>
  <c r="PVI64" i="7"/>
  <c r="PVJ64" i="7"/>
  <c r="PVK64" i="7"/>
  <c r="PVL64" i="7"/>
  <c r="PVM64" i="7"/>
  <c r="PVN64" i="7"/>
  <c r="PVO64" i="7"/>
  <c r="PVP64" i="7"/>
  <c r="PVQ64" i="7"/>
  <c r="PVR64" i="7"/>
  <c r="PVS64" i="7"/>
  <c r="PVT64" i="7"/>
  <c r="PVU64" i="7"/>
  <c r="PVV64" i="7"/>
  <c r="PVW64" i="7"/>
  <c r="PVX64" i="7"/>
  <c r="PVY64" i="7"/>
  <c r="PVZ64" i="7"/>
  <c r="PWA64" i="7"/>
  <c r="PWB64" i="7"/>
  <c r="PWC64" i="7"/>
  <c r="PWD64" i="7"/>
  <c r="PWE64" i="7"/>
  <c r="PWF64" i="7"/>
  <c r="PWG64" i="7"/>
  <c r="PWH64" i="7"/>
  <c r="PWI64" i="7"/>
  <c r="PWJ64" i="7"/>
  <c r="PWK64" i="7"/>
  <c r="PWL64" i="7"/>
  <c r="PWM64" i="7"/>
  <c r="PWN64" i="7"/>
  <c r="PWO64" i="7"/>
  <c r="PWP64" i="7"/>
  <c r="PWQ64" i="7"/>
  <c r="PWR64" i="7"/>
  <c r="PWS64" i="7"/>
  <c r="PWT64" i="7"/>
  <c r="PWU64" i="7"/>
  <c r="PWV64" i="7"/>
  <c r="PWW64" i="7"/>
  <c r="PWX64" i="7"/>
  <c r="PWY64" i="7"/>
  <c r="PWZ64" i="7"/>
  <c r="PXA64" i="7"/>
  <c r="PXB64" i="7"/>
  <c r="PXC64" i="7"/>
  <c r="PXD64" i="7"/>
  <c r="PXE64" i="7"/>
  <c r="PXF64" i="7"/>
  <c r="PXG64" i="7"/>
  <c r="PXH64" i="7"/>
  <c r="PXI64" i="7"/>
  <c r="PXJ64" i="7"/>
  <c r="PXK64" i="7"/>
  <c r="PXL64" i="7"/>
  <c r="PXM64" i="7"/>
  <c r="PXN64" i="7"/>
  <c r="PXO64" i="7"/>
  <c r="PXP64" i="7"/>
  <c r="PXQ64" i="7"/>
  <c r="PXR64" i="7"/>
  <c r="PXS64" i="7"/>
  <c r="PXT64" i="7"/>
  <c r="PXU64" i="7"/>
  <c r="PXV64" i="7"/>
  <c r="PXW64" i="7"/>
  <c r="PXX64" i="7"/>
  <c r="PXY64" i="7"/>
  <c r="PXZ64" i="7"/>
  <c r="PYA64" i="7"/>
  <c r="PYB64" i="7"/>
  <c r="PYC64" i="7"/>
  <c r="PYD64" i="7"/>
  <c r="PYE64" i="7"/>
  <c r="PYF64" i="7"/>
  <c r="PYG64" i="7"/>
  <c r="PYH64" i="7"/>
  <c r="PYI64" i="7"/>
  <c r="PYJ64" i="7"/>
  <c r="PYK64" i="7"/>
  <c r="PYL64" i="7"/>
  <c r="PYM64" i="7"/>
  <c r="PYN64" i="7"/>
  <c r="PYO64" i="7"/>
  <c r="PYP64" i="7"/>
  <c r="PYQ64" i="7"/>
  <c r="PYR64" i="7"/>
  <c r="PYS64" i="7"/>
  <c r="PYT64" i="7"/>
  <c r="PYU64" i="7"/>
  <c r="PYV64" i="7"/>
  <c r="PYW64" i="7"/>
  <c r="PYX64" i="7"/>
  <c r="PYY64" i="7"/>
  <c r="PYZ64" i="7"/>
  <c r="PZA64" i="7"/>
  <c r="PZB64" i="7"/>
  <c r="PZC64" i="7"/>
  <c r="PZD64" i="7"/>
  <c r="PZE64" i="7"/>
  <c r="PZF64" i="7"/>
  <c r="PZG64" i="7"/>
  <c r="PZH64" i="7"/>
  <c r="PZI64" i="7"/>
  <c r="PZJ64" i="7"/>
  <c r="PZK64" i="7"/>
  <c r="PZL64" i="7"/>
  <c r="PZM64" i="7"/>
  <c r="PZN64" i="7"/>
  <c r="PZO64" i="7"/>
  <c r="PZP64" i="7"/>
  <c r="PZQ64" i="7"/>
  <c r="PZR64" i="7"/>
  <c r="PZS64" i="7"/>
  <c r="PZT64" i="7"/>
  <c r="PZU64" i="7"/>
  <c r="PZV64" i="7"/>
  <c r="PZW64" i="7"/>
  <c r="PZX64" i="7"/>
  <c r="PZY64" i="7"/>
  <c r="PZZ64" i="7"/>
  <c r="QAA64" i="7"/>
  <c r="QAB64" i="7"/>
  <c r="QAC64" i="7"/>
  <c r="QAD64" i="7"/>
  <c r="QAE64" i="7"/>
  <c r="QAF64" i="7"/>
  <c r="QAG64" i="7"/>
  <c r="QAH64" i="7"/>
  <c r="QAI64" i="7"/>
  <c r="QAJ64" i="7"/>
  <c r="QAK64" i="7"/>
  <c r="QAL64" i="7"/>
  <c r="QAM64" i="7"/>
  <c r="QAN64" i="7"/>
  <c r="QAO64" i="7"/>
  <c r="QAP64" i="7"/>
  <c r="QAQ64" i="7"/>
  <c r="QAR64" i="7"/>
  <c r="QAS64" i="7"/>
  <c r="QAT64" i="7"/>
  <c r="QAU64" i="7"/>
  <c r="QAV64" i="7"/>
  <c r="QAW64" i="7"/>
  <c r="QAX64" i="7"/>
  <c r="QAY64" i="7"/>
  <c r="QAZ64" i="7"/>
  <c r="QBA64" i="7"/>
  <c r="QBB64" i="7"/>
  <c r="QBC64" i="7"/>
  <c r="QBD64" i="7"/>
  <c r="QBE64" i="7"/>
  <c r="QBF64" i="7"/>
  <c r="QBG64" i="7"/>
  <c r="QBH64" i="7"/>
  <c r="QBI64" i="7"/>
  <c r="QBJ64" i="7"/>
  <c r="QBK64" i="7"/>
  <c r="QBL64" i="7"/>
  <c r="QBM64" i="7"/>
  <c r="QBN64" i="7"/>
  <c r="QBO64" i="7"/>
  <c r="QBP64" i="7"/>
  <c r="QBQ64" i="7"/>
  <c r="QBR64" i="7"/>
  <c r="QBS64" i="7"/>
  <c r="QBT64" i="7"/>
  <c r="QBU64" i="7"/>
  <c r="QBV64" i="7"/>
  <c r="QBW64" i="7"/>
  <c r="QBX64" i="7"/>
  <c r="QBY64" i="7"/>
  <c r="QBZ64" i="7"/>
  <c r="QCA64" i="7"/>
  <c r="QCB64" i="7"/>
  <c r="QCC64" i="7"/>
  <c r="QCD64" i="7"/>
  <c r="QCE64" i="7"/>
  <c r="QCF64" i="7"/>
  <c r="QCG64" i="7"/>
  <c r="QCH64" i="7"/>
  <c r="QCI64" i="7"/>
  <c r="QCJ64" i="7"/>
  <c r="QCK64" i="7"/>
  <c r="QCL64" i="7"/>
  <c r="QCM64" i="7"/>
  <c r="QCN64" i="7"/>
  <c r="QCO64" i="7"/>
  <c r="QCP64" i="7"/>
  <c r="QCQ64" i="7"/>
  <c r="QCR64" i="7"/>
  <c r="QCS64" i="7"/>
  <c r="QCT64" i="7"/>
  <c r="QCU64" i="7"/>
  <c r="QCV64" i="7"/>
  <c r="QCW64" i="7"/>
  <c r="QCX64" i="7"/>
  <c r="QCY64" i="7"/>
  <c r="QCZ64" i="7"/>
  <c r="QDA64" i="7"/>
  <c r="QDB64" i="7"/>
  <c r="QDC64" i="7"/>
  <c r="QDD64" i="7"/>
  <c r="QDE64" i="7"/>
  <c r="QDF64" i="7"/>
  <c r="QDG64" i="7"/>
  <c r="QDH64" i="7"/>
  <c r="QDI64" i="7"/>
  <c r="QDJ64" i="7"/>
  <c r="QDK64" i="7"/>
  <c r="QDL64" i="7"/>
  <c r="QDM64" i="7"/>
  <c r="QDN64" i="7"/>
  <c r="QDO64" i="7"/>
  <c r="QDP64" i="7"/>
  <c r="QDQ64" i="7"/>
  <c r="QDR64" i="7"/>
  <c r="QDS64" i="7"/>
  <c r="QDT64" i="7"/>
  <c r="QDU64" i="7"/>
  <c r="QDV64" i="7"/>
  <c r="QDW64" i="7"/>
  <c r="QDX64" i="7"/>
  <c r="QDY64" i="7"/>
  <c r="QDZ64" i="7"/>
  <c r="QEA64" i="7"/>
  <c r="QEB64" i="7"/>
  <c r="QEC64" i="7"/>
  <c r="QED64" i="7"/>
  <c r="QEE64" i="7"/>
  <c r="QEF64" i="7"/>
  <c r="QEG64" i="7"/>
  <c r="QEH64" i="7"/>
  <c r="QEI64" i="7"/>
  <c r="QEJ64" i="7"/>
  <c r="QEK64" i="7"/>
  <c r="QEL64" i="7"/>
  <c r="QEM64" i="7"/>
  <c r="QEN64" i="7"/>
  <c r="QEO64" i="7"/>
  <c r="QEP64" i="7"/>
  <c r="QEQ64" i="7"/>
  <c r="QER64" i="7"/>
  <c r="QES64" i="7"/>
  <c r="QET64" i="7"/>
  <c r="QEU64" i="7"/>
  <c r="QEV64" i="7"/>
  <c r="QEW64" i="7"/>
  <c r="QEX64" i="7"/>
  <c r="QEY64" i="7"/>
  <c r="QEZ64" i="7"/>
  <c r="QFA64" i="7"/>
  <c r="QFB64" i="7"/>
  <c r="QFC64" i="7"/>
  <c r="QFD64" i="7"/>
  <c r="QFE64" i="7"/>
  <c r="QFF64" i="7"/>
  <c r="QFG64" i="7"/>
  <c r="QFH64" i="7"/>
  <c r="QFI64" i="7"/>
  <c r="QFJ64" i="7"/>
  <c r="QFK64" i="7"/>
  <c r="QFL64" i="7"/>
  <c r="QFM64" i="7"/>
  <c r="QFN64" i="7"/>
  <c r="QFO64" i="7"/>
  <c r="QFP64" i="7"/>
  <c r="QFQ64" i="7"/>
  <c r="QFR64" i="7"/>
  <c r="QFS64" i="7"/>
  <c r="QFT64" i="7"/>
  <c r="QFU64" i="7"/>
  <c r="QFV64" i="7"/>
  <c r="QFW64" i="7"/>
  <c r="QFX64" i="7"/>
  <c r="QFY64" i="7"/>
  <c r="QFZ64" i="7"/>
  <c r="QGA64" i="7"/>
  <c r="QGB64" i="7"/>
  <c r="QGC64" i="7"/>
  <c r="QGD64" i="7"/>
  <c r="QGE64" i="7"/>
  <c r="QGF64" i="7"/>
  <c r="QGG64" i="7"/>
  <c r="QGH64" i="7"/>
  <c r="QGI64" i="7"/>
  <c r="QGJ64" i="7"/>
  <c r="QGK64" i="7"/>
  <c r="QGL64" i="7"/>
  <c r="QGM64" i="7"/>
  <c r="QGN64" i="7"/>
  <c r="QGO64" i="7"/>
  <c r="QGP64" i="7"/>
  <c r="QGQ64" i="7"/>
  <c r="QGR64" i="7"/>
  <c r="QGS64" i="7"/>
  <c r="QGT64" i="7"/>
  <c r="QGU64" i="7"/>
  <c r="QGV64" i="7"/>
  <c r="QGW64" i="7"/>
  <c r="QGX64" i="7"/>
  <c r="QGY64" i="7"/>
  <c r="QGZ64" i="7"/>
  <c r="QHA64" i="7"/>
  <c r="QHB64" i="7"/>
  <c r="QHC64" i="7"/>
  <c r="QHD64" i="7"/>
  <c r="QHE64" i="7"/>
  <c r="QHF64" i="7"/>
  <c r="QHG64" i="7"/>
  <c r="QHH64" i="7"/>
  <c r="QHI64" i="7"/>
  <c r="QHJ64" i="7"/>
  <c r="QHK64" i="7"/>
  <c r="QHL64" i="7"/>
  <c r="QHM64" i="7"/>
  <c r="QHN64" i="7"/>
  <c r="QHO64" i="7"/>
  <c r="QHP64" i="7"/>
  <c r="QHQ64" i="7"/>
  <c r="QHR64" i="7"/>
  <c r="QHS64" i="7"/>
  <c r="QHT64" i="7"/>
  <c r="QHU64" i="7"/>
  <c r="QHV64" i="7"/>
  <c r="QHW64" i="7"/>
  <c r="QHX64" i="7"/>
  <c r="QHY64" i="7"/>
  <c r="QHZ64" i="7"/>
  <c r="QIA64" i="7"/>
  <c r="QIB64" i="7"/>
  <c r="QIC64" i="7"/>
  <c r="QID64" i="7"/>
  <c r="QIE64" i="7"/>
  <c r="QIF64" i="7"/>
  <c r="QIG64" i="7"/>
  <c r="QIH64" i="7"/>
  <c r="QII64" i="7"/>
  <c r="QIJ64" i="7"/>
  <c r="QIK64" i="7"/>
  <c r="QIL64" i="7"/>
  <c r="QIM64" i="7"/>
  <c r="QIN64" i="7"/>
  <c r="QIO64" i="7"/>
  <c r="QIP64" i="7"/>
  <c r="QIQ64" i="7"/>
  <c r="QIR64" i="7"/>
  <c r="QIS64" i="7"/>
  <c r="QIT64" i="7"/>
  <c r="QIU64" i="7"/>
  <c r="QIV64" i="7"/>
  <c r="QIW64" i="7"/>
  <c r="QIX64" i="7"/>
  <c r="QIY64" i="7"/>
  <c r="QIZ64" i="7"/>
  <c r="QJA64" i="7"/>
  <c r="QJB64" i="7"/>
  <c r="QJC64" i="7"/>
  <c r="QJD64" i="7"/>
  <c r="QJE64" i="7"/>
  <c r="QJF64" i="7"/>
  <c r="QJG64" i="7"/>
  <c r="QJH64" i="7"/>
  <c r="QJI64" i="7"/>
  <c r="QJJ64" i="7"/>
  <c r="QJK64" i="7"/>
  <c r="QJL64" i="7"/>
  <c r="QJM64" i="7"/>
  <c r="QJN64" i="7"/>
  <c r="QJO64" i="7"/>
  <c r="QJP64" i="7"/>
  <c r="QJQ64" i="7"/>
  <c r="QJR64" i="7"/>
  <c r="QJS64" i="7"/>
  <c r="QJT64" i="7"/>
  <c r="QJU64" i="7"/>
  <c r="QJV64" i="7"/>
  <c r="QJW64" i="7"/>
  <c r="QJX64" i="7"/>
  <c r="QJY64" i="7"/>
  <c r="QJZ64" i="7"/>
  <c r="QKA64" i="7"/>
  <c r="QKB64" i="7"/>
  <c r="QKC64" i="7"/>
  <c r="QKD64" i="7"/>
  <c r="QKE64" i="7"/>
  <c r="QKF64" i="7"/>
  <c r="QKG64" i="7"/>
  <c r="QKH64" i="7"/>
  <c r="QKI64" i="7"/>
  <c r="QKJ64" i="7"/>
  <c r="QKK64" i="7"/>
  <c r="QKL64" i="7"/>
  <c r="QKM64" i="7"/>
  <c r="QKN64" i="7"/>
  <c r="QKO64" i="7"/>
  <c r="QKP64" i="7"/>
  <c r="QKQ64" i="7"/>
  <c r="QKR64" i="7"/>
  <c r="QKS64" i="7"/>
  <c r="QKT64" i="7"/>
  <c r="QKU64" i="7"/>
  <c r="QKV64" i="7"/>
  <c r="QKW64" i="7"/>
  <c r="QKX64" i="7"/>
  <c r="QKY64" i="7"/>
  <c r="QKZ64" i="7"/>
  <c r="QLA64" i="7"/>
  <c r="QLB64" i="7"/>
  <c r="QLC64" i="7"/>
  <c r="QLD64" i="7"/>
  <c r="QLE64" i="7"/>
  <c r="QLF64" i="7"/>
  <c r="QLG64" i="7"/>
  <c r="QLH64" i="7"/>
  <c r="QLI64" i="7"/>
  <c r="QLJ64" i="7"/>
  <c r="QLK64" i="7"/>
  <c r="QLL64" i="7"/>
  <c r="QLM64" i="7"/>
  <c r="QLN64" i="7"/>
  <c r="QLO64" i="7"/>
  <c r="QLP64" i="7"/>
  <c r="QLQ64" i="7"/>
  <c r="QLR64" i="7"/>
  <c r="QLS64" i="7"/>
  <c r="QLT64" i="7"/>
  <c r="QLU64" i="7"/>
  <c r="QLV64" i="7"/>
  <c r="QLW64" i="7"/>
  <c r="QLX64" i="7"/>
  <c r="QLY64" i="7"/>
  <c r="QLZ64" i="7"/>
  <c r="QMA64" i="7"/>
  <c r="QMB64" i="7"/>
  <c r="QMC64" i="7"/>
  <c r="QMD64" i="7"/>
  <c r="QME64" i="7"/>
  <c r="QMF64" i="7"/>
  <c r="QMG64" i="7"/>
  <c r="QMH64" i="7"/>
  <c r="QMI64" i="7"/>
  <c r="QMJ64" i="7"/>
  <c r="QMK64" i="7"/>
  <c r="QML64" i="7"/>
  <c r="QMM64" i="7"/>
  <c r="QMN64" i="7"/>
  <c r="QMO64" i="7"/>
  <c r="QMP64" i="7"/>
  <c r="QMQ64" i="7"/>
  <c r="QMR64" i="7"/>
  <c r="QMS64" i="7"/>
  <c r="QMT64" i="7"/>
  <c r="QMU64" i="7"/>
  <c r="QMV64" i="7"/>
  <c r="QMW64" i="7"/>
  <c r="QMX64" i="7"/>
  <c r="QMY64" i="7"/>
  <c r="QMZ64" i="7"/>
  <c r="QNA64" i="7"/>
  <c r="QNB64" i="7"/>
  <c r="QNC64" i="7"/>
  <c r="QND64" i="7"/>
  <c r="QNE64" i="7"/>
  <c r="QNF64" i="7"/>
  <c r="QNG64" i="7"/>
  <c r="QNH64" i="7"/>
  <c r="QNI64" i="7"/>
  <c r="QNJ64" i="7"/>
  <c r="QNK64" i="7"/>
  <c r="QNL64" i="7"/>
  <c r="QNM64" i="7"/>
  <c r="QNN64" i="7"/>
  <c r="QNO64" i="7"/>
  <c r="QNP64" i="7"/>
  <c r="QNQ64" i="7"/>
  <c r="QNR64" i="7"/>
  <c r="QNS64" i="7"/>
  <c r="QNT64" i="7"/>
  <c r="QNU64" i="7"/>
  <c r="QNV64" i="7"/>
  <c r="QNW64" i="7"/>
  <c r="QNX64" i="7"/>
  <c r="QNY64" i="7"/>
  <c r="QNZ64" i="7"/>
  <c r="QOA64" i="7"/>
  <c r="QOB64" i="7"/>
  <c r="QOC64" i="7"/>
  <c r="QOD64" i="7"/>
  <c r="QOE64" i="7"/>
  <c r="QOF64" i="7"/>
  <c r="QOG64" i="7"/>
  <c r="QOH64" i="7"/>
  <c r="QOI64" i="7"/>
  <c r="QOJ64" i="7"/>
  <c r="QOK64" i="7"/>
  <c r="QOL64" i="7"/>
  <c r="QOM64" i="7"/>
  <c r="QON64" i="7"/>
  <c r="QOO64" i="7"/>
  <c r="QOP64" i="7"/>
  <c r="QOQ64" i="7"/>
  <c r="QOR64" i="7"/>
  <c r="QOS64" i="7"/>
  <c r="QOT64" i="7"/>
  <c r="QOU64" i="7"/>
  <c r="QOV64" i="7"/>
  <c r="QOW64" i="7"/>
  <c r="QOX64" i="7"/>
  <c r="QOY64" i="7"/>
  <c r="QOZ64" i="7"/>
  <c r="QPA64" i="7"/>
  <c r="QPB64" i="7"/>
  <c r="QPC64" i="7"/>
  <c r="QPD64" i="7"/>
  <c r="QPE64" i="7"/>
  <c r="QPF64" i="7"/>
  <c r="QPG64" i="7"/>
  <c r="QPH64" i="7"/>
  <c r="QPI64" i="7"/>
  <c r="QPJ64" i="7"/>
  <c r="QPK64" i="7"/>
  <c r="QPL64" i="7"/>
  <c r="QPM64" i="7"/>
  <c r="QPN64" i="7"/>
  <c r="QPO64" i="7"/>
  <c r="QPP64" i="7"/>
  <c r="QPQ64" i="7"/>
  <c r="QPR64" i="7"/>
  <c r="QPS64" i="7"/>
  <c r="QPT64" i="7"/>
  <c r="QPU64" i="7"/>
  <c r="QPV64" i="7"/>
  <c r="QPW64" i="7"/>
  <c r="QPX64" i="7"/>
  <c r="QPY64" i="7"/>
  <c r="QPZ64" i="7"/>
  <c r="QQA64" i="7"/>
  <c r="QQB64" i="7"/>
  <c r="QQC64" i="7"/>
  <c r="QQD64" i="7"/>
  <c r="QQE64" i="7"/>
  <c r="QQF64" i="7"/>
  <c r="QQG64" i="7"/>
  <c r="QQH64" i="7"/>
  <c r="QQI64" i="7"/>
  <c r="QQJ64" i="7"/>
  <c r="QQK64" i="7"/>
  <c r="QQL64" i="7"/>
  <c r="QQM64" i="7"/>
  <c r="QQN64" i="7"/>
  <c r="QQO64" i="7"/>
  <c r="QQP64" i="7"/>
  <c r="QQQ64" i="7"/>
  <c r="QQR64" i="7"/>
  <c r="QQS64" i="7"/>
  <c r="QQT64" i="7"/>
  <c r="QQU64" i="7"/>
  <c r="QQV64" i="7"/>
  <c r="QQW64" i="7"/>
  <c r="QQX64" i="7"/>
  <c r="QQY64" i="7"/>
  <c r="QQZ64" i="7"/>
  <c r="QRA64" i="7"/>
  <c r="QRB64" i="7"/>
  <c r="QRC64" i="7"/>
  <c r="QRD64" i="7"/>
  <c r="QRE64" i="7"/>
  <c r="QRF64" i="7"/>
  <c r="QRG64" i="7"/>
  <c r="QRH64" i="7"/>
  <c r="QRI64" i="7"/>
  <c r="QRJ64" i="7"/>
  <c r="QRK64" i="7"/>
  <c r="QRL64" i="7"/>
  <c r="QRM64" i="7"/>
  <c r="QRN64" i="7"/>
  <c r="QRO64" i="7"/>
  <c r="QRP64" i="7"/>
  <c r="QRQ64" i="7"/>
  <c r="QRR64" i="7"/>
  <c r="QRS64" i="7"/>
  <c r="QRT64" i="7"/>
  <c r="QRU64" i="7"/>
  <c r="QRV64" i="7"/>
  <c r="QRW64" i="7"/>
  <c r="QRX64" i="7"/>
  <c r="QRY64" i="7"/>
  <c r="QRZ64" i="7"/>
  <c r="QSA64" i="7"/>
  <c r="QSB64" i="7"/>
  <c r="QSC64" i="7"/>
  <c r="QSD64" i="7"/>
  <c r="QSE64" i="7"/>
  <c r="QSF64" i="7"/>
  <c r="QSG64" i="7"/>
  <c r="QSH64" i="7"/>
  <c r="QSI64" i="7"/>
  <c r="QSJ64" i="7"/>
  <c r="QSK64" i="7"/>
  <c r="QSL64" i="7"/>
  <c r="QSM64" i="7"/>
  <c r="QSN64" i="7"/>
  <c r="QSO64" i="7"/>
  <c r="QSP64" i="7"/>
  <c r="QSQ64" i="7"/>
  <c r="QSR64" i="7"/>
  <c r="QSS64" i="7"/>
  <c r="QST64" i="7"/>
  <c r="QSU64" i="7"/>
  <c r="QSV64" i="7"/>
  <c r="QSW64" i="7"/>
  <c r="QSX64" i="7"/>
  <c r="QSY64" i="7"/>
  <c r="QSZ64" i="7"/>
  <c r="QTA64" i="7"/>
  <c r="QTB64" i="7"/>
  <c r="QTC64" i="7"/>
  <c r="QTD64" i="7"/>
  <c r="QTE64" i="7"/>
  <c r="QTF64" i="7"/>
  <c r="QTG64" i="7"/>
  <c r="QTH64" i="7"/>
  <c r="QTI64" i="7"/>
  <c r="QTJ64" i="7"/>
  <c r="QTK64" i="7"/>
  <c r="QTL64" i="7"/>
  <c r="QTM64" i="7"/>
  <c r="QTN64" i="7"/>
  <c r="QTO64" i="7"/>
  <c r="QTP64" i="7"/>
  <c r="QTQ64" i="7"/>
  <c r="QTR64" i="7"/>
  <c r="QTS64" i="7"/>
  <c r="QTT64" i="7"/>
  <c r="QTU64" i="7"/>
  <c r="QTV64" i="7"/>
  <c r="QTW64" i="7"/>
  <c r="QTX64" i="7"/>
  <c r="QTY64" i="7"/>
  <c r="QTZ64" i="7"/>
  <c r="QUA64" i="7"/>
  <c r="QUB64" i="7"/>
  <c r="QUC64" i="7"/>
  <c r="QUD64" i="7"/>
  <c r="QUE64" i="7"/>
  <c r="QUF64" i="7"/>
  <c r="QUG64" i="7"/>
  <c r="QUH64" i="7"/>
  <c r="QUI64" i="7"/>
  <c r="QUJ64" i="7"/>
  <c r="QUK64" i="7"/>
  <c r="QUL64" i="7"/>
  <c r="QUM64" i="7"/>
  <c r="QUN64" i="7"/>
  <c r="QUO64" i="7"/>
  <c r="QUP64" i="7"/>
  <c r="QUQ64" i="7"/>
  <c r="QUR64" i="7"/>
  <c r="QUS64" i="7"/>
  <c r="QUT64" i="7"/>
  <c r="QUU64" i="7"/>
  <c r="QUV64" i="7"/>
  <c r="QUW64" i="7"/>
  <c r="QUX64" i="7"/>
  <c r="QUY64" i="7"/>
  <c r="QUZ64" i="7"/>
  <c r="QVA64" i="7"/>
  <c r="QVB64" i="7"/>
  <c r="QVC64" i="7"/>
  <c r="QVD64" i="7"/>
  <c r="QVE64" i="7"/>
  <c r="QVF64" i="7"/>
  <c r="QVG64" i="7"/>
  <c r="QVH64" i="7"/>
  <c r="QVI64" i="7"/>
  <c r="QVJ64" i="7"/>
  <c r="QVK64" i="7"/>
  <c r="QVL64" i="7"/>
  <c r="QVM64" i="7"/>
  <c r="QVN64" i="7"/>
  <c r="QVO64" i="7"/>
  <c r="QVP64" i="7"/>
  <c r="QVQ64" i="7"/>
  <c r="QVR64" i="7"/>
  <c r="QVS64" i="7"/>
  <c r="QVT64" i="7"/>
  <c r="QVU64" i="7"/>
  <c r="QVV64" i="7"/>
  <c r="QVW64" i="7"/>
  <c r="QVX64" i="7"/>
  <c r="QVY64" i="7"/>
  <c r="QVZ64" i="7"/>
  <c r="QWA64" i="7"/>
  <c r="QWB64" i="7"/>
  <c r="QWC64" i="7"/>
  <c r="QWD64" i="7"/>
  <c r="QWE64" i="7"/>
  <c r="QWF64" i="7"/>
  <c r="QWG64" i="7"/>
  <c r="QWH64" i="7"/>
  <c r="QWI64" i="7"/>
  <c r="QWJ64" i="7"/>
  <c r="QWK64" i="7"/>
  <c r="QWL64" i="7"/>
  <c r="QWM64" i="7"/>
  <c r="QWN64" i="7"/>
  <c r="QWO64" i="7"/>
  <c r="QWP64" i="7"/>
  <c r="QWQ64" i="7"/>
  <c r="QWR64" i="7"/>
  <c r="QWS64" i="7"/>
  <c r="QWT64" i="7"/>
  <c r="QWU64" i="7"/>
  <c r="QWV64" i="7"/>
  <c r="QWW64" i="7"/>
  <c r="QWX64" i="7"/>
  <c r="QWY64" i="7"/>
  <c r="QWZ64" i="7"/>
  <c r="QXA64" i="7"/>
  <c r="QXB64" i="7"/>
  <c r="QXC64" i="7"/>
  <c r="QXD64" i="7"/>
  <c r="QXE64" i="7"/>
  <c r="QXF64" i="7"/>
  <c r="QXG64" i="7"/>
  <c r="QXH64" i="7"/>
  <c r="QXI64" i="7"/>
  <c r="QXJ64" i="7"/>
  <c r="QXK64" i="7"/>
  <c r="QXL64" i="7"/>
  <c r="QXM64" i="7"/>
  <c r="QXN64" i="7"/>
  <c r="QXO64" i="7"/>
  <c r="QXP64" i="7"/>
  <c r="QXQ64" i="7"/>
  <c r="QXR64" i="7"/>
  <c r="QXS64" i="7"/>
  <c r="QXT64" i="7"/>
  <c r="QXU64" i="7"/>
  <c r="QXV64" i="7"/>
  <c r="QXW64" i="7"/>
  <c r="QXX64" i="7"/>
  <c r="QXY64" i="7"/>
  <c r="QXZ64" i="7"/>
  <c r="QYA64" i="7"/>
  <c r="QYB64" i="7"/>
  <c r="QYC64" i="7"/>
  <c r="QYD64" i="7"/>
  <c r="QYE64" i="7"/>
  <c r="QYF64" i="7"/>
  <c r="QYG64" i="7"/>
  <c r="QYH64" i="7"/>
  <c r="QYI64" i="7"/>
  <c r="QYJ64" i="7"/>
  <c r="QYK64" i="7"/>
  <c r="QYL64" i="7"/>
  <c r="QYM64" i="7"/>
  <c r="QYN64" i="7"/>
  <c r="QYO64" i="7"/>
  <c r="QYP64" i="7"/>
  <c r="QYQ64" i="7"/>
  <c r="QYR64" i="7"/>
  <c r="QYS64" i="7"/>
  <c r="QYT64" i="7"/>
  <c r="QYU64" i="7"/>
  <c r="QYV64" i="7"/>
  <c r="QYW64" i="7"/>
  <c r="QYX64" i="7"/>
  <c r="QYY64" i="7"/>
  <c r="QYZ64" i="7"/>
  <c r="QZA64" i="7"/>
  <c r="QZB64" i="7"/>
  <c r="QZC64" i="7"/>
  <c r="QZD64" i="7"/>
  <c r="QZE64" i="7"/>
  <c r="QZF64" i="7"/>
  <c r="QZG64" i="7"/>
  <c r="QZH64" i="7"/>
  <c r="QZI64" i="7"/>
  <c r="QZJ64" i="7"/>
  <c r="QZK64" i="7"/>
  <c r="QZL64" i="7"/>
  <c r="QZM64" i="7"/>
  <c r="QZN64" i="7"/>
  <c r="QZO64" i="7"/>
  <c r="QZP64" i="7"/>
  <c r="QZQ64" i="7"/>
  <c r="QZR64" i="7"/>
  <c r="QZS64" i="7"/>
  <c r="QZT64" i="7"/>
  <c r="QZU64" i="7"/>
  <c r="QZV64" i="7"/>
  <c r="QZW64" i="7"/>
  <c r="QZX64" i="7"/>
  <c r="QZY64" i="7"/>
  <c r="QZZ64" i="7"/>
  <c r="RAA64" i="7"/>
  <c r="RAB64" i="7"/>
  <c r="RAC64" i="7"/>
  <c r="RAD64" i="7"/>
  <c r="RAE64" i="7"/>
  <c r="RAF64" i="7"/>
  <c r="RAG64" i="7"/>
  <c r="RAH64" i="7"/>
  <c r="RAI64" i="7"/>
  <c r="RAJ64" i="7"/>
  <c r="RAK64" i="7"/>
  <c r="RAL64" i="7"/>
  <c r="RAM64" i="7"/>
  <c r="RAN64" i="7"/>
  <c r="RAO64" i="7"/>
  <c r="RAP64" i="7"/>
  <c r="RAQ64" i="7"/>
  <c r="RAR64" i="7"/>
  <c r="RAS64" i="7"/>
  <c r="RAT64" i="7"/>
  <c r="RAU64" i="7"/>
  <c r="RAV64" i="7"/>
  <c r="RAW64" i="7"/>
  <c r="RAX64" i="7"/>
  <c r="RAY64" i="7"/>
  <c r="RAZ64" i="7"/>
  <c r="RBA64" i="7"/>
  <c r="RBB64" i="7"/>
  <c r="RBC64" i="7"/>
  <c r="RBD64" i="7"/>
  <c r="RBE64" i="7"/>
  <c r="RBF64" i="7"/>
  <c r="RBG64" i="7"/>
  <c r="RBH64" i="7"/>
  <c r="RBI64" i="7"/>
  <c r="RBJ64" i="7"/>
  <c r="RBK64" i="7"/>
  <c r="RBL64" i="7"/>
  <c r="RBM64" i="7"/>
  <c r="RBN64" i="7"/>
  <c r="RBO64" i="7"/>
  <c r="RBP64" i="7"/>
  <c r="RBQ64" i="7"/>
  <c r="RBR64" i="7"/>
  <c r="RBS64" i="7"/>
  <c r="RBT64" i="7"/>
  <c r="RBU64" i="7"/>
  <c r="RBV64" i="7"/>
  <c r="RBW64" i="7"/>
  <c r="RBX64" i="7"/>
  <c r="RBY64" i="7"/>
  <c r="RBZ64" i="7"/>
  <c r="RCA64" i="7"/>
  <c r="RCB64" i="7"/>
  <c r="RCC64" i="7"/>
  <c r="RCD64" i="7"/>
  <c r="RCE64" i="7"/>
  <c r="RCF64" i="7"/>
  <c r="RCG64" i="7"/>
  <c r="RCH64" i="7"/>
  <c r="RCI64" i="7"/>
  <c r="RCJ64" i="7"/>
  <c r="RCK64" i="7"/>
  <c r="RCL64" i="7"/>
  <c r="RCM64" i="7"/>
  <c r="RCN64" i="7"/>
  <c r="RCO64" i="7"/>
  <c r="RCP64" i="7"/>
  <c r="RCQ64" i="7"/>
  <c r="RCR64" i="7"/>
  <c r="RCS64" i="7"/>
  <c r="RCT64" i="7"/>
  <c r="RCU64" i="7"/>
  <c r="RCV64" i="7"/>
  <c r="RCW64" i="7"/>
  <c r="RCX64" i="7"/>
  <c r="RCY64" i="7"/>
  <c r="RCZ64" i="7"/>
  <c r="RDA64" i="7"/>
  <c r="RDB64" i="7"/>
  <c r="RDC64" i="7"/>
  <c r="RDD64" i="7"/>
  <c r="RDE64" i="7"/>
  <c r="RDF64" i="7"/>
  <c r="RDG64" i="7"/>
  <c r="RDH64" i="7"/>
  <c r="RDI64" i="7"/>
  <c r="RDJ64" i="7"/>
  <c r="RDK64" i="7"/>
  <c r="RDL64" i="7"/>
  <c r="RDM64" i="7"/>
  <c r="RDN64" i="7"/>
  <c r="RDO64" i="7"/>
  <c r="RDP64" i="7"/>
  <c r="RDQ64" i="7"/>
  <c r="RDR64" i="7"/>
  <c r="RDS64" i="7"/>
  <c r="RDT64" i="7"/>
  <c r="RDU64" i="7"/>
  <c r="RDV64" i="7"/>
  <c r="RDW64" i="7"/>
  <c r="RDX64" i="7"/>
  <c r="RDY64" i="7"/>
  <c r="RDZ64" i="7"/>
  <c r="REA64" i="7"/>
  <c r="REB64" i="7"/>
  <c r="REC64" i="7"/>
  <c r="RED64" i="7"/>
  <c r="REE64" i="7"/>
  <c r="REF64" i="7"/>
  <c r="REG64" i="7"/>
  <c r="REH64" i="7"/>
  <c r="REI64" i="7"/>
  <c r="REJ64" i="7"/>
  <c r="REK64" i="7"/>
  <c r="REL64" i="7"/>
  <c r="REM64" i="7"/>
  <c r="REN64" i="7"/>
  <c r="REO64" i="7"/>
  <c r="REP64" i="7"/>
  <c r="REQ64" i="7"/>
  <c r="RER64" i="7"/>
  <c r="RES64" i="7"/>
  <c r="RET64" i="7"/>
  <c r="REU64" i="7"/>
  <c r="REV64" i="7"/>
  <c r="REW64" i="7"/>
  <c r="REX64" i="7"/>
  <c r="REY64" i="7"/>
  <c r="REZ64" i="7"/>
  <c r="RFA64" i="7"/>
  <c r="RFB64" i="7"/>
  <c r="RFC64" i="7"/>
  <c r="RFD64" i="7"/>
  <c r="RFE64" i="7"/>
  <c r="RFF64" i="7"/>
  <c r="RFG64" i="7"/>
  <c r="RFH64" i="7"/>
  <c r="RFI64" i="7"/>
  <c r="RFJ64" i="7"/>
  <c r="RFK64" i="7"/>
  <c r="RFL64" i="7"/>
  <c r="RFM64" i="7"/>
  <c r="RFN64" i="7"/>
  <c r="RFO64" i="7"/>
  <c r="RFP64" i="7"/>
  <c r="RFQ64" i="7"/>
  <c r="RFR64" i="7"/>
  <c r="RFS64" i="7"/>
  <c r="RFT64" i="7"/>
  <c r="RFU64" i="7"/>
  <c r="RFV64" i="7"/>
  <c r="RFW64" i="7"/>
  <c r="RFX64" i="7"/>
  <c r="RFY64" i="7"/>
  <c r="RFZ64" i="7"/>
  <c r="RGA64" i="7"/>
  <c r="RGB64" i="7"/>
  <c r="RGC64" i="7"/>
  <c r="RGD64" i="7"/>
  <c r="RGE64" i="7"/>
  <c r="RGF64" i="7"/>
  <c r="RGG64" i="7"/>
  <c r="RGH64" i="7"/>
  <c r="RGI64" i="7"/>
  <c r="RGJ64" i="7"/>
  <c r="RGK64" i="7"/>
  <c r="RGL64" i="7"/>
  <c r="RGM64" i="7"/>
  <c r="RGN64" i="7"/>
  <c r="RGO64" i="7"/>
  <c r="RGP64" i="7"/>
  <c r="RGQ64" i="7"/>
  <c r="RGR64" i="7"/>
  <c r="RGS64" i="7"/>
  <c r="RGT64" i="7"/>
  <c r="RGU64" i="7"/>
  <c r="RGV64" i="7"/>
  <c r="RGW64" i="7"/>
  <c r="RGX64" i="7"/>
  <c r="RGY64" i="7"/>
  <c r="RGZ64" i="7"/>
  <c r="RHA64" i="7"/>
  <c r="RHB64" i="7"/>
  <c r="RHC64" i="7"/>
  <c r="RHD64" i="7"/>
  <c r="RHE64" i="7"/>
  <c r="RHF64" i="7"/>
  <c r="RHG64" i="7"/>
  <c r="RHH64" i="7"/>
  <c r="RHI64" i="7"/>
  <c r="RHJ64" i="7"/>
  <c r="RHK64" i="7"/>
  <c r="RHL64" i="7"/>
  <c r="RHM64" i="7"/>
  <c r="RHN64" i="7"/>
  <c r="RHO64" i="7"/>
  <c r="RHP64" i="7"/>
  <c r="RHQ64" i="7"/>
  <c r="RHR64" i="7"/>
  <c r="RHS64" i="7"/>
  <c r="RHT64" i="7"/>
  <c r="RHU64" i="7"/>
  <c r="RHV64" i="7"/>
  <c r="RHW64" i="7"/>
  <c r="RHX64" i="7"/>
  <c r="RHY64" i="7"/>
  <c r="RHZ64" i="7"/>
  <c r="RIA64" i="7"/>
  <c r="RIB64" i="7"/>
  <c r="RIC64" i="7"/>
  <c r="RID64" i="7"/>
  <c r="RIE64" i="7"/>
  <c r="RIF64" i="7"/>
  <c r="RIG64" i="7"/>
  <c r="RIH64" i="7"/>
  <c r="RII64" i="7"/>
  <c r="RIJ64" i="7"/>
  <c r="RIK64" i="7"/>
  <c r="RIL64" i="7"/>
  <c r="RIM64" i="7"/>
  <c r="RIN64" i="7"/>
  <c r="RIO64" i="7"/>
  <c r="RIP64" i="7"/>
  <c r="RIQ64" i="7"/>
  <c r="RIR64" i="7"/>
  <c r="RIS64" i="7"/>
  <c r="RIT64" i="7"/>
  <c r="RIU64" i="7"/>
  <c r="RIV64" i="7"/>
  <c r="RIW64" i="7"/>
  <c r="RIX64" i="7"/>
  <c r="RIY64" i="7"/>
  <c r="RIZ64" i="7"/>
  <c r="RJA64" i="7"/>
  <c r="RJB64" i="7"/>
  <c r="RJC64" i="7"/>
  <c r="RJD64" i="7"/>
  <c r="RJE64" i="7"/>
  <c r="RJF64" i="7"/>
  <c r="RJG64" i="7"/>
  <c r="RJH64" i="7"/>
  <c r="RJI64" i="7"/>
  <c r="RJJ64" i="7"/>
  <c r="RJK64" i="7"/>
  <c r="RJL64" i="7"/>
  <c r="RJM64" i="7"/>
  <c r="RJN64" i="7"/>
  <c r="RJO64" i="7"/>
  <c r="RJP64" i="7"/>
  <c r="RJQ64" i="7"/>
  <c r="RJR64" i="7"/>
  <c r="RJS64" i="7"/>
  <c r="RJT64" i="7"/>
  <c r="RJU64" i="7"/>
  <c r="RJV64" i="7"/>
  <c r="RJW64" i="7"/>
  <c r="RJX64" i="7"/>
  <c r="RJY64" i="7"/>
  <c r="RJZ64" i="7"/>
  <c r="RKA64" i="7"/>
  <c r="RKB64" i="7"/>
  <c r="RKC64" i="7"/>
  <c r="RKD64" i="7"/>
  <c r="RKE64" i="7"/>
  <c r="RKF64" i="7"/>
  <c r="RKG64" i="7"/>
  <c r="RKH64" i="7"/>
  <c r="RKI64" i="7"/>
  <c r="RKJ64" i="7"/>
  <c r="RKK64" i="7"/>
  <c r="RKL64" i="7"/>
  <c r="RKM64" i="7"/>
  <c r="RKN64" i="7"/>
  <c r="RKO64" i="7"/>
  <c r="RKP64" i="7"/>
  <c r="RKQ64" i="7"/>
  <c r="RKR64" i="7"/>
  <c r="RKS64" i="7"/>
  <c r="RKT64" i="7"/>
  <c r="RKU64" i="7"/>
  <c r="RKV64" i="7"/>
  <c r="RKW64" i="7"/>
  <c r="RKX64" i="7"/>
  <c r="RKY64" i="7"/>
  <c r="RKZ64" i="7"/>
  <c r="RLA64" i="7"/>
  <c r="RLB64" i="7"/>
  <c r="RLC64" i="7"/>
  <c r="RLD64" i="7"/>
  <c r="RLE64" i="7"/>
  <c r="RLF64" i="7"/>
  <c r="RLG64" i="7"/>
  <c r="RLH64" i="7"/>
  <c r="RLI64" i="7"/>
  <c r="RLJ64" i="7"/>
  <c r="RLK64" i="7"/>
  <c r="RLL64" i="7"/>
  <c r="RLM64" i="7"/>
  <c r="RLN64" i="7"/>
  <c r="RLO64" i="7"/>
  <c r="RLP64" i="7"/>
  <c r="RLQ64" i="7"/>
  <c r="RLR64" i="7"/>
  <c r="RLS64" i="7"/>
  <c r="RLT64" i="7"/>
  <c r="RLU64" i="7"/>
  <c r="RLV64" i="7"/>
  <c r="RLW64" i="7"/>
  <c r="RLX64" i="7"/>
  <c r="RLY64" i="7"/>
  <c r="RLZ64" i="7"/>
  <c r="RMA64" i="7"/>
  <c r="RMB64" i="7"/>
  <c r="RMC64" i="7"/>
  <c r="RMD64" i="7"/>
  <c r="RME64" i="7"/>
  <c r="RMF64" i="7"/>
  <c r="RMG64" i="7"/>
  <c r="RMH64" i="7"/>
  <c r="RMI64" i="7"/>
  <c r="RMJ64" i="7"/>
  <c r="RMK64" i="7"/>
  <c r="RML64" i="7"/>
  <c r="RMM64" i="7"/>
  <c r="RMN64" i="7"/>
  <c r="RMO64" i="7"/>
  <c r="RMP64" i="7"/>
  <c r="RMQ64" i="7"/>
  <c r="RMR64" i="7"/>
  <c r="RMS64" i="7"/>
  <c r="RMT64" i="7"/>
  <c r="RMU64" i="7"/>
  <c r="RMV64" i="7"/>
  <c r="RMW64" i="7"/>
  <c r="RMX64" i="7"/>
  <c r="RMY64" i="7"/>
  <c r="RMZ64" i="7"/>
  <c r="RNA64" i="7"/>
  <c r="RNB64" i="7"/>
  <c r="RNC64" i="7"/>
  <c r="RND64" i="7"/>
  <c r="RNE64" i="7"/>
  <c r="RNF64" i="7"/>
  <c r="RNG64" i="7"/>
  <c r="RNH64" i="7"/>
  <c r="RNI64" i="7"/>
  <c r="RNJ64" i="7"/>
  <c r="RNK64" i="7"/>
  <c r="RNL64" i="7"/>
  <c r="RNM64" i="7"/>
  <c r="RNN64" i="7"/>
  <c r="RNO64" i="7"/>
  <c r="RNP64" i="7"/>
  <c r="RNQ64" i="7"/>
  <c r="RNR64" i="7"/>
  <c r="RNS64" i="7"/>
  <c r="RNT64" i="7"/>
  <c r="RNU64" i="7"/>
  <c r="RNV64" i="7"/>
  <c r="RNW64" i="7"/>
  <c r="RNX64" i="7"/>
  <c r="RNY64" i="7"/>
  <c r="RNZ64" i="7"/>
  <c r="ROA64" i="7"/>
  <c r="ROB64" i="7"/>
  <c r="ROC64" i="7"/>
  <c r="ROD64" i="7"/>
  <c r="ROE64" i="7"/>
  <c r="ROF64" i="7"/>
  <c r="ROG64" i="7"/>
  <c r="ROH64" i="7"/>
  <c r="ROI64" i="7"/>
  <c r="ROJ64" i="7"/>
  <c r="ROK64" i="7"/>
  <c r="ROL64" i="7"/>
  <c r="ROM64" i="7"/>
  <c r="RON64" i="7"/>
  <c r="ROO64" i="7"/>
  <c r="ROP64" i="7"/>
  <c r="ROQ64" i="7"/>
  <c r="ROR64" i="7"/>
  <c r="ROS64" i="7"/>
  <c r="ROT64" i="7"/>
  <c r="ROU64" i="7"/>
  <c r="ROV64" i="7"/>
  <c r="ROW64" i="7"/>
  <c r="ROX64" i="7"/>
  <c r="ROY64" i="7"/>
  <c r="ROZ64" i="7"/>
  <c r="RPA64" i="7"/>
  <c r="RPB64" i="7"/>
  <c r="RPC64" i="7"/>
  <c r="RPD64" i="7"/>
  <c r="RPE64" i="7"/>
  <c r="RPF64" i="7"/>
  <c r="RPG64" i="7"/>
  <c r="RPH64" i="7"/>
  <c r="RPI64" i="7"/>
  <c r="RPJ64" i="7"/>
  <c r="RPK64" i="7"/>
  <c r="RPL64" i="7"/>
  <c r="RPM64" i="7"/>
  <c r="RPN64" i="7"/>
  <c r="RPO64" i="7"/>
  <c r="RPP64" i="7"/>
  <c r="RPQ64" i="7"/>
  <c r="RPR64" i="7"/>
  <c r="RPS64" i="7"/>
  <c r="RPT64" i="7"/>
  <c r="RPU64" i="7"/>
  <c r="RPV64" i="7"/>
  <c r="RPW64" i="7"/>
  <c r="RPX64" i="7"/>
  <c r="RPY64" i="7"/>
  <c r="RPZ64" i="7"/>
  <c r="RQA64" i="7"/>
  <c r="RQB64" i="7"/>
  <c r="RQC64" i="7"/>
  <c r="RQD64" i="7"/>
  <c r="RQE64" i="7"/>
  <c r="RQF64" i="7"/>
  <c r="RQG64" i="7"/>
  <c r="RQH64" i="7"/>
  <c r="RQI64" i="7"/>
  <c r="RQJ64" i="7"/>
  <c r="RQK64" i="7"/>
  <c r="RQL64" i="7"/>
  <c r="RQM64" i="7"/>
  <c r="RQN64" i="7"/>
  <c r="RQO64" i="7"/>
  <c r="RQP64" i="7"/>
  <c r="RQQ64" i="7"/>
  <c r="RQR64" i="7"/>
  <c r="RQS64" i="7"/>
  <c r="RQT64" i="7"/>
  <c r="RQU64" i="7"/>
  <c r="RQV64" i="7"/>
  <c r="RQW64" i="7"/>
  <c r="RQX64" i="7"/>
  <c r="RQY64" i="7"/>
  <c r="RQZ64" i="7"/>
  <c r="RRA64" i="7"/>
  <c r="RRB64" i="7"/>
  <c r="RRC64" i="7"/>
  <c r="RRD64" i="7"/>
  <c r="RRE64" i="7"/>
  <c r="RRF64" i="7"/>
  <c r="RRG64" i="7"/>
  <c r="RRH64" i="7"/>
  <c r="RRI64" i="7"/>
  <c r="RRJ64" i="7"/>
  <c r="RRK64" i="7"/>
  <c r="RRL64" i="7"/>
  <c r="RRM64" i="7"/>
  <c r="RRN64" i="7"/>
  <c r="RRO64" i="7"/>
  <c r="RRP64" i="7"/>
  <c r="RRQ64" i="7"/>
  <c r="RRR64" i="7"/>
  <c r="RRS64" i="7"/>
  <c r="RRT64" i="7"/>
  <c r="RRU64" i="7"/>
  <c r="RRV64" i="7"/>
  <c r="RRW64" i="7"/>
  <c r="RRX64" i="7"/>
  <c r="RRY64" i="7"/>
  <c r="RRZ64" i="7"/>
  <c r="RSA64" i="7"/>
  <c r="RSB64" i="7"/>
  <c r="RSC64" i="7"/>
  <c r="RSD64" i="7"/>
  <c r="RSE64" i="7"/>
  <c r="RSF64" i="7"/>
  <c r="RSG64" i="7"/>
  <c r="RSH64" i="7"/>
  <c r="RSI64" i="7"/>
  <c r="RSJ64" i="7"/>
  <c r="RSK64" i="7"/>
  <c r="RSL64" i="7"/>
  <c r="RSM64" i="7"/>
  <c r="RSN64" i="7"/>
  <c r="RSO64" i="7"/>
  <c r="RSP64" i="7"/>
  <c r="RSQ64" i="7"/>
  <c r="RSR64" i="7"/>
  <c r="RSS64" i="7"/>
  <c r="RST64" i="7"/>
  <c r="RSU64" i="7"/>
  <c r="RSV64" i="7"/>
  <c r="RSW64" i="7"/>
  <c r="RSX64" i="7"/>
  <c r="RSY64" i="7"/>
  <c r="RSZ64" i="7"/>
  <c r="RTA64" i="7"/>
  <c r="RTB64" i="7"/>
  <c r="RTC64" i="7"/>
  <c r="RTD64" i="7"/>
  <c r="RTE64" i="7"/>
  <c r="RTF64" i="7"/>
  <c r="RTG64" i="7"/>
  <c r="RTH64" i="7"/>
  <c r="RTI64" i="7"/>
  <c r="RTJ64" i="7"/>
  <c r="RTK64" i="7"/>
  <c r="RTL64" i="7"/>
  <c r="RTM64" i="7"/>
  <c r="RTN64" i="7"/>
  <c r="RTO64" i="7"/>
  <c r="RTP64" i="7"/>
  <c r="RTQ64" i="7"/>
  <c r="RTR64" i="7"/>
  <c r="RTS64" i="7"/>
  <c r="RTT64" i="7"/>
  <c r="RTU64" i="7"/>
  <c r="RTV64" i="7"/>
  <c r="RTW64" i="7"/>
  <c r="RTX64" i="7"/>
  <c r="RTY64" i="7"/>
  <c r="RTZ64" i="7"/>
  <c r="RUA64" i="7"/>
  <c r="RUB64" i="7"/>
  <c r="RUC64" i="7"/>
  <c r="RUD64" i="7"/>
  <c r="RUE64" i="7"/>
  <c r="RUF64" i="7"/>
  <c r="RUG64" i="7"/>
  <c r="RUH64" i="7"/>
  <c r="RUI64" i="7"/>
  <c r="RUJ64" i="7"/>
  <c r="RUK64" i="7"/>
  <c r="RUL64" i="7"/>
  <c r="RUM64" i="7"/>
  <c r="RUN64" i="7"/>
  <c r="RUO64" i="7"/>
  <c r="RUP64" i="7"/>
  <c r="RUQ64" i="7"/>
  <c r="RUR64" i="7"/>
  <c r="RUS64" i="7"/>
  <c r="RUT64" i="7"/>
  <c r="RUU64" i="7"/>
  <c r="RUV64" i="7"/>
  <c r="RUW64" i="7"/>
  <c r="RUX64" i="7"/>
  <c r="RUY64" i="7"/>
  <c r="RUZ64" i="7"/>
  <c r="RVA64" i="7"/>
  <c r="RVB64" i="7"/>
  <c r="RVC64" i="7"/>
  <c r="RVD64" i="7"/>
  <c r="RVE64" i="7"/>
  <c r="RVF64" i="7"/>
  <c r="RVG64" i="7"/>
  <c r="RVH64" i="7"/>
  <c r="RVI64" i="7"/>
  <c r="RVJ64" i="7"/>
  <c r="RVK64" i="7"/>
  <c r="RVL64" i="7"/>
  <c r="RVM64" i="7"/>
  <c r="RVN64" i="7"/>
  <c r="RVO64" i="7"/>
  <c r="RVP64" i="7"/>
  <c r="RVQ64" i="7"/>
  <c r="RVR64" i="7"/>
  <c r="RVS64" i="7"/>
  <c r="RVT64" i="7"/>
  <c r="RVU64" i="7"/>
  <c r="RVV64" i="7"/>
  <c r="RVW64" i="7"/>
  <c r="RVX64" i="7"/>
  <c r="RVY64" i="7"/>
  <c r="RVZ64" i="7"/>
  <c r="RWA64" i="7"/>
  <c r="RWB64" i="7"/>
  <c r="RWC64" i="7"/>
  <c r="RWD64" i="7"/>
  <c r="RWE64" i="7"/>
  <c r="RWF64" i="7"/>
  <c r="RWG64" i="7"/>
  <c r="RWH64" i="7"/>
  <c r="RWI64" i="7"/>
  <c r="RWJ64" i="7"/>
  <c r="RWK64" i="7"/>
  <c r="RWL64" i="7"/>
  <c r="RWM64" i="7"/>
  <c r="RWN64" i="7"/>
  <c r="RWO64" i="7"/>
  <c r="RWP64" i="7"/>
  <c r="RWQ64" i="7"/>
  <c r="RWR64" i="7"/>
  <c r="RWS64" i="7"/>
  <c r="RWT64" i="7"/>
  <c r="RWU64" i="7"/>
  <c r="RWV64" i="7"/>
  <c r="RWW64" i="7"/>
  <c r="RWX64" i="7"/>
  <c r="RWY64" i="7"/>
  <c r="RWZ64" i="7"/>
  <c r="RXA64" i="7"/>
  <c r="RXB64" i="7"/>
  <c r="RXC64" i="7"/>
  <c r="RXD64" i="7"/>
  <c r="RXE64" i="7"/>
  <c r="RXF64" i="7"/>
  <c r="RXG64" i="7"/>
  <c r="RXH64" i="7"/>
  <c r="RXI64" i="7"/>
  <c r="RXJ64" i="7"/>
  <c r="RXK64" i="7"/>
  <c r="RXL64" i="7"/>
  <c r="RXM64" i="7"/>
  <c r="RXN64" i="7"/>
  <c r="RXO64" i="7"/>
  <c r="RXP64" i="7"/>
  <c r="RXQ64" i="7"/>
  <c r="RXR64" i="7"/>
  <c r="RXS64" i="7"/>
  <c r="RXT64" i="7"/>
  <c r="RXU64" i="7"/>
  <c r="RXV64" i="7"/>
  <c r="RXW64" i="7"/>
  <c r="RXX64" i="7"/>
  <c r="RXY64" i="7"/>
  <c r="RXZ64" i="7"/>
  <c r="RYA64" i="7"/>
  <c r="RYB64" i="7"/>
  <c r="RYC64" i="7"/>
  <c r="RYD64" i="7"/>
  <c r="RYE64" i="7"/>
  <c r="RYF64" i="7"/>
  <c r="RYG64" i="7"/>
  <c r="RYH64" i="7"/>
  <c r="RYI64" i="7"/>
  <c r="RYJ64" i="7"/>
  <c r="RYK64" i="7"/>
  <c r="RYL64" i="7"/>
  <c r="RYM64" i="7"/>
  <c r="RYN64" i="7"/>
  <c r="RYO64" i="7"/>
  <c r="RYP64" i="7"/>
  <c r="RYQ64" i="7"/>
  <c r="RYR64" i="7"/>
  <c r="RYS64" i="7"/>
  <c r="RYT64" i="7"/>
  <c r="RYU64" i="7"/>
  <c r="RYV64" i="7"/>
  <c r="RYW64" i="7"/>
  <c r="RYX64" i="7"/>
  <c r="RYY64" i="7"/>
  <c r="RYZ64" i="7"/>
  <c r="RZA64" i="7"/>
  <c r="RZB64" i="7"/>
  <c r="RZC64" i="7"/>
  <c r="RZD64" i="7"/>
  <c r="RZE64" i="7"/>
  <c r="RZF64" i="7"/>
  <c r="RZG64" i="7"/>
  <c r="RZH64" i="7"/>
  <c r="RZI64" i="7"/>
  <c r="RZJ64" i="7"/>
  <c r="RZK64" i="7"/>
  <c r="RZL64" i="7"/>
  <c r="RZM64" i="7"/>
  <c r="RZN64" i="7"/>
  <c r="RZO64" i="7"/>
  <c r="RZP64" i="7"/>
  <c r="RZQ64" i="7"/>
  <c r="RZR64" i="7"/>
  <c r="RZS64" i="7"/>
  <c r="RZT64" i="7"/>
  <c r="RZU64" i="7"/>
  <c r="RZV64" i="7"/>
  <c r="RZW64" i="7"/>
  <c r="RZX64" i="7"/>
  <c r="RZY64" i="7"/>
  <c r="RZZ64" i="7"/>
  <c r="SAA64" i="7"/>
  <c r="SAB64" i="7"/>
  <c r="SAC64" i="7"/>
  <c r="SAD64" i="7"/>
  <c r="SAE64" i="7"/>
  <c r="SAF64" i="7"/>
  <c r="SAG64" i="7"/>
  <c r="SAH64" i="7"/>
  <c r="SAI64" i="7"/>
  <c r="SAJ64" i="7"/>
  <c r="SAK64" i="7"/>
  <c r="SAL64" i="7"/>
  <c r="SAM64" i="7"/>
  <c r="SAN64" i="7"/>
  <c r="SAO64" i="7"/>
  <c r="SAP64" i="7"/>
  <c r="SAQ64" i="7"/>
  <c r="SAR64" i="7"/>
  <c r="SAS64" i="7"/>
  <c r="SAT64" i="7"/>
  <c r="SAU64" i="7"/>
  <c r="SAV64" i="7"/>
  <c r="SAW64" i="7"/>
  <c r="SAX64" i="7"/>
  <c r="SAY64" i="7"/>
  <c r="SAZ64" i="7"/>
  <c r="SBA64" i="7"/>
  <c r="SBB64" i="7"/>
  <c r="SBC64" i="7"/>
  <c r="SBD64" i="7"/>
  <c r="SBE64" i="7"/>
  <c r="SBF64" i="7"/>
  <c r="SBG64" i="7"/>
  <c r="SBH64" i="7"/>
  <c r="SBI64" i="7"/>
  <c r="SBJ64" i="7"/>
  <c r="SBK64" i="7"/>
  <c r="SBL64" i="7"/>
  <c r="SBM64" i="7"/>
  <c r="SBN64" i="7"/>
  <c r="SBO64" i="7"/>
  <c r="SBP64" i="7"/>
  <c r="SBQ64" i="7"/>
  <c r="SBR64" i="7"/>
  <c r="SBS64" i="7"/>
  <c r="SBT64" i="7"/>
  <c r="SBU64" i="7"/>
  <c r="SBV64" i="7"/>
  <c r="SBW64" i="7"/>
  <c r="SBX64" i="7"/>
  <c r="SBY64" i="7"/>
  <c r="SBZ64" i="7"/>
  <c r="SCA64" i="7"/>
  <c r="SCB64" i="7"/>
  <c r="SCC64" i="7"/>
  <c r="SCD64" i="7"/>
  <c r="SCE64" i="7"/>
  <c r="SCF64" i="7"/>
  <c r="SCG64" i="7"/>
  <c r="SCH64" i="7"/>
  <c r="SCI64" i="7"/>
  <c r="SCJ64" i="7"/>
  <c r="SCK64" i="7"/>
  <c r="SCL64" i="7"/>
  <c r="SCM64" i="7"/>
  <c r="SCN64" i="7"/>
  <c r="SCO64" i="7"/>
  <c r="SCP64" i="7"/>
  <c r="SCQ64" i="7"/>
  <c r="SCR64" i="7"/>
  <c r="SCS64" i="7"/>
  <c r="SCT64" i="7"/>
  <c r="SCU64" i="7"/>
  <c r="SCV64" i="7"/>
  <c r="SCW64" i="7"/>
  <c r="SCX64" i="7"/>
  <c r="SCY64" i="7"/>
  <c r="SCZ64" i="7"/>
  <c r="SDA64" i="7"/>
  <c r="SDB64" i="7"/>
  <c r="SDC64" i="7"/>
  <c r="SDD64" i="7"/>
  <c r="SDE64" i="7"/>
  <c r="SDF64" i="7"/>
  <c r="SDG64" i="7"/>
  <c r="SDH64" i="7"/>
  <c r="SDI64" i="7"/>
  <c r="SDJ64" i="7"/>
  <c r="SDK64" i="7"/>
  <c r="SDL64" i="7"/>
  <c r="SDM64" i="7"/>
  <c r="SDN64" i="7"/>
  <c r="SDO64" i="7"/>
  <c r="SDP64" i="7"/>
  <c r="SDQ64" i="7"/>
  <c r="SDR64" i="7"/>
  <c r="SDS64" i="7"/>
  <c r="SDT64" i="7"/>
  <c r="SDU64" i="7"/>
  <c r="SDV64" i="7"/>
  <c r="SDW64" i="7"/>
  <c r="SDX64" i="7"/>
  <c r="SDY64" i="7"/>
  <c r="SDZ64" i="7"/>
  <c r="SEA64" i="7"/>
  <c r="SEB64" i="7"/>
  <c r="SEC64" i="7"/>
  <c r="SED64" i="7"/>
  <c r="SEE64" i="7"/>
  <c r="SEF64" i="7"/>
  <c r="SEG64" i="7"/>
  <c r="SEH64" i="7"/>
  <c r="SEI64" i="7"/>
  <c r="SEJ64" i="7"/>
  <c r="SEK64" i="7"/>
  <c r="SEL64" i="7"/>
  <c r="SEM64" i="7"/>
  <c r="SEN64" i="7"/>
  <c r="SEO64" i="7"/>
  <c r="SEP64" i="7"/>
  <c r="SEQ64" i="7"/>
  <c r="SER64" i="7"/>
  <c r="SES64" i="7"/>
  <c r="SET64" i="7"/>
  <c r="SEU64" i="7"/>
  <c r="SEV64" i="7"/>
  <c r="SEW64" i="7"/>
  <c r="SEX64" i="7"/>
  <c r="SEY64" i="7"/>
  <c r="SEZ64" i="7"/>
  <c r="SFA64" i="7"/>
  <c r="SFB64" i="7"/>
  <c r="SFC64" i="7"/>
  <c r="SFD64" i="7"/>
  <c r="SFE64" i="7"/>
  <c r="SFF64" i="7"/>
  <c r="SFG64" i="7"/>
  <c r="SFH64" i="7"/>
  <c r="SFI64" i="7"/>
  <c r="SFJ64" i="7"/>
  <c r="SFK64" i="7"/>
  <c r="SFL64" i="7"/>
  <c r="SFM64" i="7"/>
  <c r="SFN64" i="7"/>
  <c r="SFO64" i="7"/>
  <c r="SFP64" i="7"/>
  <c r="SFQ64" i="7"/>
  <c r="SFR64" i="7"/>
  <c r="SFS64" i="7"/>
  <c r="SFT64" i="7"/>
  <c r="SFU64" i="7"/>
  <c r="SFV64" i="7"/>
  <c r="SFW64" i="7"/>
  <c r="SFX64" i="7"/>
  <c r="SFY64" i="7"/>
  <c r="SFZ64" i="7"/>
  <c r="SGA64" i="7"/>
  <c r="SGB64" i="7"/>
  <c r="SGC64" i="7"/>
  <c r="SGD64" i="7"/>
  <c r="SGE64" i="7"/>
  <c r="SGF64" i="7"/>
  <c r="SGG64" i="7"/>
  <c r="SGH64" i="7"/>
  <c r="SGI64" i="7"/>
  <c r="SGJ64" i="7"/>
  <c r="SGK64" i="7"/>
  <c r="SGL64" i="7"/>
  <c r="SGM64" i="7"/>
  <c r="SGN64" i="7"/>
  <c r="SGO64" i="7"/>
  <c r="SGP64" i="7"/>
  <c r="SGQ64" i="7"/>
  <c r="SGR64" i="7"/>
  <c r="SGS64" i="7"/>
  <c r="SGT64" i="7"/>
  <c r="SGU64" i="7"/>
  <c r="SGV64" i="7"/>
  <c r="SGW64" i="7"/>
  <c r="SGX64" i="7"/>
  <c r="SGY64" i="7"/>
  <c r="SGZ64" i="7"/>
  <c r="SHA64" i="7"/>
  <c r="SHB64" i="7"/>
  <c r="SHC64" i="7"/>
  <c r="SHD64" i="7"/>
  <c r="SHE64" i="7"/>
  <c r="SHF64" i="7"/>
  <c r="SHG64" i="7"/>
  <c r="SHH64" i="7"/>
  <c r="SHI64" i="7"/>
  <c r="SHJ64" i="7"/>
  <c r="SHK64" i="7"/>
  <c r="SHL64" i="7"/>
  <c r="SHM64" i="7"/>
  <c r="SHN64" i="7"/>
  <c r="SHO64" i="7"/>
  <c r="SHP64" i="7"/>
  <c r="SHQ64" i="7"/>
  <c r="SHR64" i="7"/>
  <c r="SHS64" i="7"/>
  <c r="SHT64" i="7"/>
  <c r="SHU64" i="7"/>
  <c r="SHV64" i="7"/>
  <c r="SHW64" i="7"/>
  <c r="SHX64" i="7"/>
  <c r="SHY64" i="7"/>
  <c r="SHZ64" i="7"/>
  <c r="SIA64" i="7"/>
  <c r="SIB64" i="7"/>
  <c r="SIC64" i="7"/>
  <c r="SID64" i="7"/>
  <c r="SIE64" i="7"/>
  <c r="SIF64" i="7"/>
  <c r="SIG64" i="7"/>
  <c r="SIH64" i="7"/>
  <c r="SII64" i="7"/>
  <c r="SIJ64" i="7"/>
  <c r="SIK64" i="7"/>
  <c r="SIL64" i="7"/>
  <c r="SIM64" i="7"/>
  <c r="SIN64" i="7"/>
  <c r="SIO64" i="7"/>
  <c r="SIP64" i="7"/>
  <c r="SIQ64" i="7"/>
  <c r="SIR64" i="7"/>
  <c r="SIS64" i="7"/>
  <c r="SIT64" i="7"/>
  <c r="SIU64" i="7"/>
  <c r="SIV64" i="7"/>
  <c r="SIW64" i="7"/>
  <c r="SIX64" i="7"/>
  <c r="SIY64" i="7"/>
  <c r="SIZ64" i="7"/>
  <c r="SJA64" i="7"/>
  <c r="SJB64" i="7"/>
  <c r="SJC64" i="7"/>
  <c r="SJD64" i="7"/>
  <c r="SJE64" i="7"/>
  <c r="SJF64" i="7"/>
  <c r="SJG64" i="7"/>
  <c r="SJH64" i="7"/>
  <c r="SJI64" i="7"/>
  <c r="SJJ64" i="7"/>
  <c r="SJK64" i="7"/>
  <c r="SJL64" i="7"/>
  <c r="SJM64" i="7"/>
  <c r="SJN64" i="7"/>
  <c r="SJO64" i="7"/>
  <c r="SJP64" i="7"/>
  <c r="SJQ64" i="7"/>
  <c r="SJR64" i="7"/>
  <c r="SJS64" i="7"/>
  <c r="SJT64" i="7"/>
  <c r="SJU64" i="7"/>
  <c r="SJV64" i="7"/>
  <c r="SJW64" i="7"/>
  <c r="SJX64" i="7"/>
  <c r="SJY64" i="7"/>
  <c r="SJZ64" i="7"/>
  <c r="SKA64" i="7"/>
  <c r="SKB64" i="7"/>
  <c r="SKC64" i="7"/>
  <c r="SKD64" i="7"/>
  <c r="SKE64" i="7"/>
  <c r="SKF64" i="7"/>
  <c r="SKG64" i="7"/>
  <c r="SKH64" i="7"/>
  <c r="SKI64" i="7"/>
  <c r="SKJ64" i="7"/>
  <c r="SKK64" i="7"/>
  <c r="SKL64" i="7"/>
  <c r="SKM64" i="7"/>
  <c r="SKN64" i="7"/>
  <c r="SKO64" i="7"/>
  <c r="SKP64" i="7"/>
  <c r="SKQ64" i="7"/>
  <c r="SKR64" i="7"/>
  <c r="SKS64" i="7"/>
  <c r="SKT64" i="7"/>
  <c r="SKU64" i="7"/>
  <c r="SKV64" i="7"/>
  <c r="SKW64" i="7"/>
  <c r="SKX64" i="7"/>
  <c r="SKY64" i="7"/>
  <c r="SKZ64" i="7"/>
  <c r="SLA64" i="7"/>
  <c r="SLB64" i="7"/>
  <c r="SLC64" i="7"/>
  <c r="SLD64" i="7"/>
  <c r="SLE64" i="7"/>
  <c r="SLF64" i="7"/>
  <c r="SLG64" i="7"/>
  <c r="SLH64" i="7"/>
  <c r="SLI64" i="7"/>
  <c r="SLJ64" i="7"/>
  <c r="SLK64" i="7"/>
  <c r="SLL64" i="7"/>
  <c r="SLM64" i="7"/>
  <c r="SLN64" i="7"/>
  <c r="SLO64" i="7"/>
  <c r="SLP64" i="7"/>
  <c r="SLQ64" i="7"/>
  <c r="SLR64" i="7"/>
  <c r="SLS64" i="7"/>
  <c r="SLT64" i="7"/>
  <c r="SLU64" i="7"/>
  <c r="SLV64" i="7"/>
  <c r="SLW64" i="7"/>
  <c r="SLX64" i="7"/>
  <c r="SLY64" i="7"/>
  <c r="SLZ64" i="7"/>
  <c r="SMA64" i="7"/>
  <c r="SMB64" i="7"/>
  <c r="SMC64" i="7"/>
  <c r="SMD64" i="7"/>
  <c r="SME64" i="7"/>
  <c r="SMF64" i="7"/>
  <c r="SMG64" i="7"/>
  <c r="SMH64" i="7"/>
  <c r="SMI64" i="7"/>
  <c r="SMJ64" i="7"/>
  <c r="SMK64" i="7"/>
  <c r="SML64" i="7"/>
  <c r="SMM64" i="7"/>
  <c r="SMN64" i="7"/>
  <c r="SMO64" i="7"/>
  <c r="SMP64" i="7"/>
  <c r="SMQ64" i="7"/>
  <c r="SMR64" i="7"/>
  <c r="SMS64" i="7"/>
  <c r="SMT64" i="7"/>
  <c r="SMU64" i="7"/>
  <c r="SMV64" i="7"/>
  <c r="SMW64" i="7"/>
  <c r="SMX64" i="7"/>
  <c r="SMY64" i="7"/>
  <c r="SMZ64" i="7"/>
  <c r="SNA64" i="7"/>
  <c r="SNB64" i="7"/>
  <c r="SNC64" i="7"/>
  <c r="SND64" i="7"/>
  <c r="SNE64" i="7"/>
  <c r="SNF64" i="7"/>
  <c r="SNG64" i="7"/>
  <c r="SNH64" i="7"/>
  <c r="SNI64" i="7"/>
  <c r="SNJ64" i="7"/>
  <c r="SNK64" i="7"/>
  <c r="SNL64" i="7"/>
  <c r="SNM64" i="7"/>
  <c r="SNN64" i="7"/>
  <c r="SNO64" i="7"/>
  <c r="SNP64" i="7"/>
  <c r="SNQ64" i="7"/>
  <c r="SNR64" i="7"/>
  <c r="SNS64" i="7"/>
  <c r="SNT64" i="7"/>
  <c r="SNU64" i="7"/>
  <c r="SNV64" i="7"/>
  <c r="SNW64" i="7"/>
  <c r="SNX64" i="7"/>
  <c r="SNY64" i="7"/>
  <c r="SNZ64" i="7"/>
  <c r="SOA64" i="7"/>
  <c r="SOB64" i="7"/>
  <c r="SOC64" i="7"/>
  <c r="SOD64" i="7"/>
  <c r="SOE64" i="7"/>
  <c r="SOF64" i="7"/>
  <c r="SOG64" i="7"/>
  <c r="SOH64" i="7"/>
  <c r="SOI64" i="7"/>
  <c r="SOJ64" i="7"/>
  <c r="SOK64" i="7"/>
  <c r="SOL64" i="7"/>
  <c r="SOM64" i="7"/>
  <c r="SON64" i="7"/>
  <c r="SOO64" i="7"/>
  <c r="SOP64" i="7"/>
  <c r="SOQ64" i="7"/>
  <c r="SOR64" i="7"/>
  <c r="SOS64" i="7"/>
  <c r="SOT64" i="7"/>
  <c r="SOU64" i="7"/>
  <c r="SOV64" i="7"/>
  <c r="SOW64" i="7"/>
  <c r="SOX64" i="7"/>
  <c r="SOY64" i="7"/>
  <c r="SOZ64" i="7"/>
  <c r="SPA64" i="7"/>
  <c r="SPB64" i="7"/>
  <c r="SPC64" i="7"/>
  <c r="SPD64" i="7"/>
  <c r="SPE64" i="7"/>
  <c r="SPF64" i="7"/>
  <c r="SPG64" i="7"/>
  <c r="SPH64" i="7"/>
  <c r="SPI64" i="7"/>
  <c r="SPJ64" i="7"/>
  <c r="SPK64" i="7"/>
  <c r="SPL64" i="7"/>
  <c r="SPM64" i="7"/>
  <c r="SPN64" i="7"/>
  <c r="SPO64" i="7"/>
  <c r="SPP64" i="7"/>
  <c r="SPQ64" i="7"/>
  <c r="SPR64" i="7"/>
  <c r="SPS64" i="7"/>
  <c r="SPT64" i="7"/>
  <c r="SPU64" i="7"/>
  <c r="SPV64" i="7"/>
  <c r="SPW64" i="7"/>
  <c r="SPX64" i="7"/>
  <c r="SPY64" i="7"/>
  <c r="SPZ64" i="7"/>
  <c r="SQA64" i="7"/>
  <c r="SQB64" i="7"/>
  <c r="SQC64" i="7"/>
  <c r="SQD64" i="7"/>
  <c r="SQE64" i="7"/>
  <c r="SQF64" i="7"/>
  <c r="SQG64" i="7"/>
  <c r="SQH64" i="7"/>
  <c r="SQI64" i="7"/>
  <c r="SQJ64" i="7"/>
  <c r="SQK64" i="7"/>
  <c r="SQL64" i="7"/>
  <c r="SQM64" i="7"/>
  <c r="SQN64" i="7"/>
  <c r="SQO64" i="7"/>
  <c r="SQP64" i="7"/>
  <c r="SQQ64" i="7"/>
  <c r="SQR64" i="7"/>
  <c r="SQS64" i="7"/>
  <c r="SQT64" i="7"/>
  <c r="SQU64" i="7"/>
  <c r="SQV64" i="7"/>
  <c r="SQW64" i="7"/>
  <c r="SQX64" i="7"/>
  <c r="SQY64" i="7"/>
  <c r="SQZ64" i="7"/>
  <c r="SRA64" i="7"/>
  <c r="SRB64" i="7"/>
  <c r="SRC64" i="7"/>
  <c r="SRD64" i="7"/>
  <c r="SRE64" i="7"/>
  <c r="SRF64" i="7"/>
  <c r="SRG64" i="7"/>
  <c r="SRH64" i="7"/>
  <c r="SRI64" i="7"/>
  <c r="SRJ64" i="7"/>
  <c r="SRK64" i="7"/>
  <c r="SRL64" i="7"/>
  <c r="SRM64" i="7"/>
  <c r="SRN64" i="7"/>
  <c r="SRO64" i="7"/>
  <c r="SRP64" i="7"/>
  <c r="SRQ64" i="7"/>
  <c r="SRR64" i="7"/>
  <c r="SRS64" i="7"/>
  <c r="SRT64" i="7"/>
  <c r="SRU64" i="7"/>
  <c r="SRV64" i="7"/>
  <c r="SRW64" i="7"/>
  <c r="SRX64" i="7"/>
  <c r="SRY64" i="7"/>
  <c r="SRZ64" i="7"/>
  <c r="SSA64" i="7"/>
  <c r="SSB64" i="7"/>
  <c r="SSC64" i="7"/>
  <c r="SSD64" i="7"/>
  <c r="SSE64" i="7"/>
  <c r="SSF64" i="7"/>
  <c r="SSG64" i="7"/>
  <c r="SSH64" i="7"/>
  <c r="SSI64" i="7"/>
  <c r="SSJ64" i="7"/>
  <c r="SSK64" i="7"/>
  <c r="SSL64" i="7"/>
  <c r="SSM64" i="7"/>
  <c r="SSN64" i="7"/>
  <c r="SSO64" i="7"/>
  <c r="SSP64" i="7"/>
  <c r="SSQ64" i="7"/>
  <c r="SSR64" i="7"/>
  <c r="SSS64" i="7"/>
  <c r="SST64" i="7"/>
  <c r="SSU64" i="7"/>
  <c r="SSV64" i="7"/>
  <c r="SSW64" i="7"/>
  <c r="SSX64" i="7"/>
  <c r="SSY64" i="7"/>
  <c r="SSZ64" i="7"/>
  <c r="STA64" i="7"/>
  <c r="STB64" i="7"/>
  <c r="STC64" i="7"/>
  <c r="STD64" i="7"/>
  <c r="STE64" i="7"/>
  <c r="STF64" i="7"/>
  <c r="STG64" i="7"/>
  <c r="STH64" i="7"/>
  <c r="STI64" i="7"/>
  <c r="STJ64" i="7"/>
  <c r="STK64" i="7"/>
  <c r="STL64" i="7"/>
  <c r="STM64" i="7"/>
  <c r="STN64" i="7"/>
  <c r="STO64" i="7"/>
  <c r="STP64" i="7"/>
  <c r="STQ64" i="7"/>
  <c r="STR64" i="7"/>
  <c r="STS64" i="7"/>
  <c r="STT64" i="7"/>
  <c r="STU64" i="7"/>
  <c r="STV64" i="7"/>
  <c r="STW64" i="7"/>
  <c r="STX64" i="7"/>
  <c r="STY64" i="7"/>
  <c r="STZ64" i="7"/>
  <c r="SUA64" i="7"/>
  <c r="SUB64" i="7"/>
  <c r="SUC64" i="7"/>
  <c r="SUD64" i="7"/>
  <c r="SUE64" i="7"/>
  <c r="SUF64" i="7"/>
  <c r="SUG64" i="7"/>
  <c r="SUH64" i="7"/>
  <c r="SUI64" i="7"/>
  <c r="SUJ64" i="7"/>
  <c r="SUK64" i="7"/>
  <c r="SUL64" i="7"/>
  <c r="SUM64" i="7"/>
  <c r="SUN64" i="7"/>
  <c r="SUO64" i="7"/>
  <c r="SUP64" i="7"/>
  <c r="SUQ64" i="7"/>
  <c r="SUR64" i="7"/>
  <c r="SUS64" i="7"/>
  <c r="SUT64" i="7"/>
  <c r="SUU64" i="7"/>
  <c r="SUV64" i="7"/>
  <c r="SUW64" i="7"/>
  <c r="SUX64" i="7"/>
  <c r="SUY64" i="7"/>
  <c r="SUZ64" i="7"/>
  <c r="SVA64" i="7"/>
  <c r="SVB64" i="7"/>
  <c r="SVC64" i="7"/>
  <c r="SVD64" i="7"/>
  <c r="SVE64" i="7"/>
  <c r="SVF64" i="7"/>
  <c r="SVG64" i="7"/>
  <c r="SVH64" i="7"/>
  <c r="SVI64" i="7"/>
  <c r="SVJ64" i="7"/>
  <c r="SVK64" i="7"/>
  <c r="SVL64" i="7"/>
  <c r="SVM64" i="7"/>
  <c r="SVN64" i="7"/>
  <c r="SVO64" i="7"/>
  <c r="SVP64" i="7"/>
  <c r="SVQ64" i="7"/>
  <c r="SVR64" i="7"/>
  <c r="SVS64" i="7"/>
  <c r="SVT64" i="7"/>
  <c r="SVU64" i="7"/>
  <c r="SVV64" i="7"/>
  <c r="SVW64" i="7"/>
  <c r="SVX64" i="7"/>
  <c r="SVY64" i="7"/>
  <c r="SVZ64" i="7"/>
  <c r="SWA64" i="7"/>
  <c r="SWB64" i="7"/>
  <c r="SWC64" i="7"/>
  <c r="SWD64" i="7"/>
  <c r="SWE64" i="7"/>
  <c r="SWF64" i="7"/>
  <c r="SWG64" i="7"/>
  <c r="SWH64" i="7"/>
  <c r="SWI64" i="7"/>
  <c r="SWJ64" i="7"/>
  <c r="SWK64" i="7"/>
  <c r="SWL64" i="7"/>
  <c r="SWM64" i="7"/>
  <c r="SWN64" i="7"/>
  <c r="SWO64" i="7"/>
  <c r="SWP64" i="7"/>
  <c r="SWQ64" i="7"/>
  <c r="SWR64" i="7"/>
  <c r="SWS64" i="7"/>
  <c r="SWT64" i="7"/>
  <c r="SWU64" i="7"/>
  <c r="SWV64" i="7"/>
  <c r="SWW64" i="7"/>
  <c r="SWX64" i="7"/>
  <c r="SWY64" i="7"/>
  <c r="SWZ64" i="7"/>
  <c r="SXA64" i="7"/>
  <c r="SXB64" i="7"/>
  <c r="SXC64" i="7"/>
  <c r="SXD64" i="7"/>
  <c r="SXE64" i="7"/>
  <c r="SXF64" i="7"/>
  <c r="SXG64" i="7"/>
  <c r="SXH64" i="7"/>
  <c r="SXI64" i="7"/>
  <c r="SXJ64" i="7"/>
  <c r="SXK64" i="7"/>
  <c r="SXL64" i="7"/>
  <c r="SXM64" i="7"/>
  <c r="SXN64" i="7"/>
  <c r="SXO64" i="7"/>
  <c r="SXP64" i="7"/>
  <c r="SXQ64" i="7"/>
  <c r="SXR64" i="7"/>
  <c r="SXS64" i="7"/>
  <c r="SXT64" i="7"/>
  <c r="SXU64" i="7"/>
  <c r="SXV64" i="7"/>
  <c r="SXW64" i="7"/>
  <c r="SXX64" i="7"/>
  <c r="SXY64" i="7"/>
  <c r="SXZ64" i="7"/>
  <c r="SYA64" i="7"/>
  <c r="SYB64" i="7"/>
  <c r="SYC64" i="7"/>
  <c r="SYD64" i="7"/>
  <c r="SYE64" i="7"/>
  <c r="SYF64" i="7"/>
  <c r="SYG64" i="7"/>
  <c r="SYH64" i="7"/>
  <c r="SYI64" i="7"/>
  <c r="SYJ64" i="7"/>
  <c r="SYK64" i="7"/>
  <c r="SYL64" i="7"/>
  <c r="SYM64" i="7"/>
  <c r="SYN64" i="7"/>
  <c r="SYO64" i="7"/>
  <c r="SYP64" i="7"/>
  <c r="SYQ64" i="7"/>
  <c r="SYR64" i="7"/>
  <c r="SYS64" i="7"/>
  <c r="SYT64" i="7"/>
  <c r="SYU64" i="7"/>
  <c r="SYV64" i="7"/>
  <c r="SYW64" i="7"/>
  <c r="SYX64" i="7"/>
  <c r="SYY64" i="7"/>
  <c r="SYZ64" i="7"/>
  <c r="SZA64" i="7"/>
  <c r="SZB64" i="7"/>
  <c r="SZC64" i="7"/>
  <c r="SZD64" i="7"/>
  <c r="SZE64" i="7"/>
  <c r="SZF64" i="7"/>
  <c r="SZG64" i="7"/>
  <c r="SZH64" i="7"/>
  <c r="SZI64" i="7"/>
  <c r="SZJ64" i="7"/>
  <c r="SZK64" i="7"/>
  <c r="SZL64" i="7"/>
  <c r="SZM64" i="7"/>
  <c r="SZN64" i="7"/>
  <c r="SZO64" i="7"/>
  <c r="SZP64" i="7"/>
  <c r="SZQ64" i="7"/>
  <c r="SZR64" i="7"/>
  <c r="SZS64" i="7"/>
  <c r="SZT64" i="7"/>
  <c r="SZU64" i="7"/>
  <c r="SZV64" i="7"/>
  <c r="SZW64" i="7"/>
  <c r="SZX64" i="7"/>
  <c r="SZY64" i="7"/>
  <c r="SZZ64" i="7"/>
  <c r="TAA64" i="7"/>
  <c r="TAB64" i="7"/>
  <c r="TAC64" i="7"/>
  <c r="TAD64" i="7"/>
  <c r="TAE64" i="7"/>
  <c r="TAF64" i="7"/>
  <c r="TAG64" i="7"/>
  <c r="TAH64" i="7"/>
  <c r="TAI64" i="7"/>
  <c r="TAJ64" i="7"/>
  <c r="TAK64" i="7"/>
  <c r="TAL64" i="7"/>
  <c r="TAM64" i="7"/>
  <c r="TAN64" i="7"/>
  <c r="TAO64" i="7"/>
  <c r="TAP64" i="7"/>
  <c r="TAQ64" i="7"/>
  <c r="TAR64" i="7"/>
  <c r="TAS64" i="7"/>
  <c r="TAT64" i="7"/>
  <c r="TAU64" i="7"/>
  <c r="TAV64" i="7"/>
  <c r="TAW64" i="7"/>
  <c r="TAX64" i="7"/>
  <c r="TAY64" i="7"/>
  <c r="TAZ64" i="7"/>
  <c r="TBA64" i="7"/>
  <c r="TBB64" i="7"/>
  <c r="TBC64" i="7"/>
  <c r="TBD64" i="7"/>
  <c r="TBE64" i="7"/>
  <c r="TBF64" i="7"/>
  <c r="TBG64" i="7"/>
  <c r="TBH64" i="7"/>
  <c r="TBI64" i="7"/>
  <c r="TBJ64" i="7"/>
  <c r="TBK64" i="7"/>
  <c r="TBL64" i="7"/>
  <c r="TBM64" i="7"/>
  <c r="TBN64" i="7"/>
  <c r="TBO64" i="7"/>
  <c r="TBP64" i="7"/>
  <c r="TBQ64" i="7"/>
  <c r="TBR64" i="7"/>
  <c r="TBS64" i="7"/>
  <c r="TBT64" i="7"/>
  <c r="TBU64" i="7"/>
  <c r="TBV64" i="7"/>
  <c r="TBW64" i="7"/>
  <c r="TBX64" i="7"/>
  <c r="TBY64" i="7"/>
  <c r="TBZ64" i="7"/>
  <c r="TCA64" i="7"/>
  <c r="TCB64" i="7"/>
  <c r="TCC64" i="7"/>
  <c r="TCD64" i="7"/>
  <c r="TCE64" i="7"/>
  <c r="TCF64" i="7"/>
  <c r="TCG64" i="7"/>
  <c r="TCH64" i="7"/>
  <c r="TCI64" i="7"/>
  <c r="TCJ64" i="7"/>
  <c r="TCK64" i="7"/>
  <c r="TCL64" i="7"/>
  <c r="TCM64" i="7"/>
  <c r="TCN64" i="7"/>
  <c r="TCO64" i="7"/>
  <c r="TCP64" i="7"/>
  <c r="TCQ64" i="7"/>
  <c r="TCR64" i="7"/>
  <c r="TCS64" i="7"/>
  <c r="TCT64" i="7"/>
  <c r="TCU64" i="7"/>
  <c r="TCV64" i="7"/>
  <c r="TCW64" i="7"/>
  <c r="TCX64" i="7"/>
  <c r="TCY64" i="7"/>
  <c r="TCZ64" i="7"/>
  <c r="TDA64" i="7"/>
  <c r="TDB64" i="7"/>
  <c r="TDC64" i="7"/>
  <c r="TDD64" i="7"/>
  <c r="TDE64" i="7"/>
  <c r="TDF64" i="7"/>
  <c r="TDG64" i="7"/>
  <c r="TDH64" i="7"/>
  <c r="TDI64" i="7"/>
  <c r="TDJ64" i="7"/>
  <c r="TDK64" i="7"/>
  <c r="TDL64" i="7"/>
  <c r="TDM64" i="7"/>
  <c r="TDN64" i="7"/>
  <c r="TDO64" i="7"/>
  <c r="TDP64" i="7"/>
  <c r="TDQ64" i="7"/>
  <c r="TDR64" i="7"/>
  <c r="TDS64" i="7"/>
  <c r="TDT64" i="7"/>
  <c r="TDU64" i="7"/>
  <c r="TDV64" i="7"/>
  <c r="TDW64" i="7"/>
  <c r="TDX64" i="7"/>
  <c r="TDY64" i="7"/>
  <c r="TDZ64" i="7"/>
  <c r="TEA64" i="7"/>
  <c r="TEB64" i="7"/>
  <c r="TEC64" i="7"/>
  <c r="TED64" i="7"/>
  <c r="TEE64" i="7"/>
  <c r="TEF64" i="7"/>
  <c r="TEG64" i="7"/>
  <c r="TEH64" i="7"/>
  <c r="TEI64" i="7"/>
  <c r="TEJ64" i="7"/>
  <c r="TEK64" i="7"/>
  <c r="TEL64" i="7"/>
  <c r="TEM64" i="7"/>
  <c r="TEN64" i="7"/>
  <c r="TEO64" i="7"/>
  <c r="TEP64" i="7"/>
  <c r="TEQ64" i="7"/>
  <c r="TER64" i="7"/>
  <c r="TES64" i="7"/>
  <c r="TET64" i="7"/>
  <c r="TEU64" i="7"/>
  <c r="TEV64" i="7"/>
  <c r="TEW64" i="7"/>
  <c r="TEX64" i="7"/>
  <c r="TEY64" i="7"/>
  <c r="TEZ64" i="7"/>
  <c r="TFA64" i="7"/>
  <c r="TFB64" i="7"/>
  <c r="TFC64" i="7"/>
  <c r="TFD64" i="7"/>
  <c r="TFE64" i="7"/>
  <c r="TFF64" i="7"/>
  <c r="TFG64" i="7"/>
  <c r="TFH64" i="7"/>
  <c r="TFI64" i="7"/>
  <c r="TFJ64" i="7"/>
  <c r="TFK64" i="7"/>
  <c r="TFL64" i="7"/>
  <c r="TFM64" i="7"/>
  <c r="TFN64" i="7"/>
  <c r="TFO64" i="7"/>
  <c r="TFP64" i="7"/>
  <c r="TFQ64" i="7"/>
  <c r="TFR64" i="7"/>
  <c r="TFS64" i="7"/>
  <c r="TFT64" i="7"/>
  <c r="TFU64" i="7"/>
  <c r="TFV64" i="7"/>
  <c r="TFW64" i="7"/>
  <c r="TFX64" i="7"/>
  <c r="TFY64" i="7"/>
  <c r="TFZ64" i="7"/>
  <c r="TGA64" i="7"/>
  <c r="TGB64" i="7"/>
  <c r="TGC64" i="7"/>
  <c r="TGD64" i="7"/>
  <c r="TGE64" i="7"/>
  <c r="TGF64" i="7"/>
  <c r="TGG64" i="7"/>
  <c r="TGH64" i="7"/>
  <c r="TGI64" i="7"/>
  <c r="TGJ64" i="7"/>
  <c r="TGK64" i="7"/>
  <c r="TGL64" i="7"/>
  <c r="TGM64" i="7"/>
  <c r="TGN64" i="7"/>
  <c r="TGO64" i="7"/>
  <c r="TGP64" i="7"/>
  <c r="TGQ64" i="7"/>
  <c r="TGR64" i="7"/>
  <c r="TGS64" i="7"/>
  <c r="TGT64" i="7"/>
  <c r="TGU64" i="7"/>
  <c r="TGV64" i="7"/>
  <c r="TGW64" i="7"/>
  <c r="TGX64" i="7"/>
  <c r="TGY64" i="7"/>
  <c r="TGZ64" i="7"/>
  <c r="THA64" i="7"/>
  <c r="THB64" i="7"/>
  <c r="THC64" i="7"/>
  <c r="THD64" i="7"/>
  <c r="THE64" i="7"/>
  <c r="THF64" i="7"/>
  <c r="THG64" i="7"/>
  <c r="THH64" i="7"/>
  <c r="THI64" i="7"/>
  <c r="THJ64" i="7"/>
  <c r="THK64" i="7"/>
  <c r="THL64" i="7"/>
  <c r="THM64" i="7"/>
  <c r="THN64" i="7"/>
  <c r="THO64" i="7"/>
  <c r="THP64" i="7"/>
  <c r="THQ64" i="7"/>
  <c r="THR64" i="7"/>
  <c r="THS64" i="7"/>
  <c r="THT64" i="7"/>
  <c r="THU64" i="7"/>
  <c r="THV64" i="7"/>
  <c r="THW64" i="7"/>
  <c r="THX64" i="7"/>
  <c r="THY64" i="7"/>
  <c r="THZ64" i="7"/>
  <c r="TIA64" i="7"/>
  <c r="TIB64" i="7"/>
  <c r="TIC64" i="7"/>
  <c r="TID64" i="7"/>
  <c r="TIE64" i="7"/>
  <c r="TIF64" i="7"/>
  <c r="TIG64" i="7"/>
  <c r="TIH64" i="7"/>
  <c r="TII64" i="7"/>
  <c r="TIJ64" i="7"/>
  <c r="TIK64" i="7"/>
  <c r="TIL64" i="7"/>
  <c r="TIM64" i="7"/>
  <c r="TIN64" i="7"/>
  <c r="TIO64" i="7"/>
  <c r="TIP64" i="7"/>
  <c r="TIQ64" i="7"/>
  <c r="TIR64" i="7"/>
  <c r="TIS64" i="7"/>
  <c r="TIT64" i="7"/>
  <c r="TIU64" i="7"/>
  <c r="TIV64" i="7"/>
  <c r="TIW64" i="7"/>
  <c r="TIX64" i="7"/>
  <c r="TIY64" i="7"/>
  <c r="TIZ64" i="7"/>
  <c r="TJA64" i="7"/>
  <c r="TJB64" i="7"/>
  <c r="TJC64" i="7"/>
  <c r="TJD64" i="7"/>
  <c r="TJE64" i="7"/>
  <c r="TJF64" i="7"/>
  <c r="TJG64" i="7"/>
  <c r="TJH64" i="7"/>
  <c r="TJI64" i="7"/>
  <c r="TJJ64" i="7"/>
  <c r="TJK64" i="7"/>
  <c r="TJL64" i="7"/>
  <c r="TJM64" i="7"/>
  <c r="TJN64" i="7"/>
  <c r="TJO64" i="7"/>
  <c r="TJP64" i="7"/>
  <c r="TJQ64" i="7"/>
  <c r="TJR64" i="7"/>
  <c r="TJS64" i="7"/>
  <c r="TJT64" i="7"/>
  <c r="TJU64" i="7"/>
  <c r="TJV64" i="7"/>
  <c r="TJW64" i="7"/>
  <c r="TJX64" i="7"/>
  <c r="TJY64" i="7"/>
  <c r="TJZ64" i="7"/>
  <c r="TKA64" i="7"/>
  <c r="TKB64" i="7"/>
  <c r="TKC64" i="7"/>
  <c r="TKD64" i="7"/>
  <c r="TKE64" i="7"/>
  <c r="TKF64" i="7"/>
  <c r="TKG64" i="7"/>
  <c r="TKH64" i="7"/>
  <c r="TKI64" i="7"/>
  <c r="TKJ64" i="7"/>
  <c r="TKK64" i="7"/>
  <c r="TKL64" i="7"/>
  <c r="TKM64" i="7"/>
  <c r="TKN64" i="7"/>
  <c r="TKO64" i="7"/>
  <c r="TKP64" i="7"/>
  <c r="TKQ64" i="7"/>
  <c r="TKR64" i="7"/>
  <c r="TKS64" i="7"/>
  <c r="TKT64" i="7"/>
  <c r="TKU64" i="7"/>
  <c r="TKV64" i="7"/>
  <c r="TKW64" i="7"/>
  <c r="TKX64" i="7"/>
  <c r="TKY64" i="7"/>
  <c r="TKZ64" i="7"/>
  <c r="TLA64" i="7"/>
  <c r="TLB64" i="7"/>
  <c r="TLC64" i="7"/>
  <c r="TLD64" i="7"/>
  <c r="TLE64" i="7"/>
  <c r="TLF64" i="7"/>
  <c r="TLG64" i="7"/>
  <c r="TLH64" i="7"/>
  <c r="TLI64" i="7"/>
  <c r="TLJ64" i="7"/>
  <c r="TLK64" i="7"/>
  <c r="TLL64" i="7"/>
  <c r="TLM64" i="7"/>
  <c r="TLN64" i="7"/>
  <c r="TLO64" i="7"/>
  <c r="TLP64" i="7"/>
  <c r="TLQ64" i="7"/>
  <c r="TLR64" i="7"/>
  <c r="TLS64" i="7"/>
  <c r="TLT64" i="7"/>
  <c r="TLU64" i="7"/>
  <c r="TLV64" i="7"/>
  <c r="TLW64" i="7"/>
  <c r="TLX64" i="7"/>
  <c r="TLY64" i="7"/>
  <c r="TLZ64" i="7"/>
  <c r="TMA64" i="7"/>
  <c r="TMB64" i="7"/>
  <c r="TMC64" i="7"/>
  <c r="TMD64" i="7"/>
  <c r="TME64" i="7"/>
  <c r="TMF64" i="7"/>
  <c r="TMG64" i="7"/>
  <c r="TMH64" i="7"/>
  <c r="TMI64" i="7"/>
  <c r="TMJ64" i="7"/>
  <c r="TMK64" i="7"/>
  <c r="TML64" i="7"/>
  <c r="TMM64" i="7"/>
  <c r="TMN64" i="7"/>
  <c r="TMO64" i="7"/>
  <c r="TMP64" i="7"/>
  <c r="TMQ64" i="7"/>
  <c r="TMR64" i="7"/>
  <c r="TMS64" i="7"/>
  <c r="TMT64" i="7"/>
  <c r="TMU64" i="7"/>
  <c r="TMV64" i="7"/>
  <c r="TMW64" i="7"/>
  <c r="TMX64" i="7"/>
  <c r="TMY64" i="7"/>
  <c r="TMZ64" i="7"/>
  <c r="TNA64" i="7"/>
  <c r="TNB64" i="7"/>
  <c r="TNC64" i="7"/>
  <c r="TND64" i="7"/>
  <c r="TNE64" i="7"/>
  <c r="TNF64" i="7"/>
  <c r="TNG64" i="7"/>
  <c r="TNH64" i="7"/>
  <c r="TNI64" i="7"/>
  <c r="TNJ64" i="7"/>
  <c r="TNK64" i="7"/>
  <c r="TNL64" i="7"/>
  <c r="TNM64" i="7"/>
  <c r="TNN64" i="7"/>
  <c r="TNO64" i="7"/>
  <c r="TNP64" i="7"/>
  <c r="TNQ64" i="7"/>
  <c r="TNR64" i="7"/>
  <c r="TNS64" i="7"/>
  <c r="TNT64" i="7"/>
  <c r="TNU64" i="7"/>
  <c r="TNV64" i="7"/>
  <c r="TNW64" i="7"/>
  <c r="TNX64" i="7"/>
  <c r="TNY64" i="7"/>
  <c r="TNZ64" i="7"/>
  <c r="TOA64" i="7"/>
  <c r="TOB64" i="7"/>
  <c r="TOC64" i="7"/>
  <c r="TOD64" i="7"/>
  <c r="TOE64" i="7"/>
  <c r="TOF64" i="7"/>
  <c r="TOG64" i="7"/>
  <c r="TOH64" i="7"/>
  <c r="TOI64" i="7"/>
  <c r="TOJ64" i="7"/>
  <c r="TOK64" i="7"/>
  <c r="TOL64" i="7"/>
  <c r="TOM64" i="7"/>
  <c r="TON64" i="7"/>
  <c r="TOO64" i="7"/>
  <c r="TOP64" i="7"/>
  <c r="TOQ64" i="7"/>
  <c r="TOR64" i="7"/>
  <c r="TOS64" i="7"/>
  <c r="TOT64" i="7"/>
  <c r="TOU64" i="7"/>
  <c r="TOV64" i="7"/>
  <c r="TOW64" i="7"/>
  <c r="TOX64" i="7"/>
  <c r="TOY64" i="7"/>
  <c r="TOZ64" i="7"/>
  <c r="TPA64" i="7"/>
  <c r="TPB64" i="7"/>
  <c r="TPC64" i="7"/>
  <c r="TPD64" i="7"/>
  <c r="TPE64" i="7"/>
  <c r="TPF64" i="7"/>
  <c r="TPG64" i="7"/>
  <c r="TPH64" i="7"/>
  <c r="TPI64" i="7"/>
  <c r="TPJ64" i="7"/>
  <c r="TPK64" i="7"/>
  <c r="TPL64" i="7"/>
  <c r="TPM64" i="7"/>
  <c r="TPN64" i="7"/>
  <c r="TPO64" i="7"/>
  <c r="TPP64" i="7"/>
  <c r="TPQ64" i="7"/>
  <c r="TPR64" i="7"/>
  <c r="TPS64" i="7"/>
  <c r="TPT64" i="7"/>
  <c r="TPU64" i="7"/>
  <c r="TPV64" i="7"/>
  <c r="TPW64" i="7"/>
  <c r="TPX64" i="7"/>
  <c r="TPY64" i="7"/>
  <c r="TPZ64" i="7"/>
  <c r="TQA64" i="7"/>
  <c r="TQB64" i="7"/>
  <c r="TQC64" i="7"/>
  <c r="TQD64" i="7"/>
  <c r="TQE64" i="7"/>
  <c r="TQF64" i="7"/>
  <c r="TQG64" i="7"/>
  <c r="TQH64" i="7"/>
  <c r="TQI64" i="7"/>
  <c r="TQJ64" i="7"/>
  <c r="TQK64" i="7"/>
  <c r="TQL64" i="7"/>
  <c r="TQM64" i="7"/>
  <c r="TQN64" i="7"/>
  <c r="TQO64" i="7"/>
  <c r="TQP64" i="7"/>
  <c r="TQQ64" i="7"/>
  <c r="TQR64" i="7"/>
  <c r="TQS64" i="7"/>
  <c r="TQT64" i="7"/>
  <c r="TQU64" i="7"/>
  <c r="TQV64" i="7"/>
  <c r="TQW64" i="7"/>
  <c r="TQX64" i="7"/>
  <c r="TQY64" i="7"/>
  <c r="TQZ64" i="7"/>
  <c r="TRA64" i="7"/>
  <c r="TRB64" i="7"/>
  <c r="TRC64" i="7"/>
  <c r="TRD64" i="7"/>
  <c r="TRE64" i="7"/>
  <c r="TRF64" i="7"/>
  <c r="TRG64" i="7"/>
  <c r="TRH64" i="7"/>
  <c r="TRI64" i="7"/>
  <c r="TRJ64" i="7"/>
  <c r="TRK64" i="7"/>
  <c r="TRL64" i="7"/>
  <c r="TRM64" i="7"/>
  <c r="TRN64" i="7"/>
  <c r="TRO64" i="7"/>
  <c r="TRP64" i="7"/>
  <c r="TRQ64" i="7"/>
  <c r="TRR64" i="7"/>
  <c r="TRS64" i="7"/>
  <c r="TRT64" i="7"/>
  <c r="TRU64" i="7"/>
  <c r="TRV64" i="7"/>
  <c r="TRW64" i="7"/>
  <c r="TRX64" i="7"/>
  <c r="TRY64" i="7"/>
  <c r="TRZ64" i="7"/>
  <c r="TSA64" i="7"/>
  <c r="TSB64" i="7"/>
  <c r="TSC64" i="7"/>
  <c r="TSD64" i="7"/>
  <c r="TSE64" i="7"/>
  <c r="TSF64" i="7"/>
  <c r="TSG64" i="7"/>
  <c r="TSH64" i="7"/>
  <c r="TSI64" i="7"/>
  <c r="TSJ64" i="7"/>
  <c r="TSK64" i="7"/>
  <c r="TSL64" i="7"/>
  <c r="TSM64" i="7"/>
  <c r="TSN64" i="7"/>
  <c r="TSO64" i="7"/>
  <c r="TSP64" i="7"/>
  <c r="TSQ64" i="7"/>
  <c r="TSR64" i="7"/>
  <c r="TSS64" i="7"/>
  <c r="TST64" i="7"/>
  <c r="TSU64" i="7"/>
  <c r="TSV64" i="7"/>
  <c r="TSW64" i="7"/>
  <c r="TSX64" i="7"/>
  <c r="TSY64" i="7"/>
  <c r="TSZ64" i="7"/>
  <c r="TTA64" i="7"/>
  <c r="TTB64" i="7"/>
  <c r="TTC64" i="7"/>
  <c r="TTD64" i="7"/>
  <c r="TTE64" i="7"/>
  <c r="TTF64" i="7"/>
  <c r="TTG64" i="7"/>
  <c r="TTH64" i="7"/>
  <c r="TTI64" i="7"/>
  <c r="TTJ64" i="7"/>
  <c r="TTK64" i="7"/>
  <c r="TTL64" i="7"/>
  <c r="TTM64" i="7"/>
  <c r="TTN64" i="7"/>
  <c r="TTO64" i="7"/>
  <c r="TTP64" i="7"/>
  <c r="TTQ64" i="7"/>
  <c r="TTR64" i="7"/>
  <c r="TTS64" i="7"/>
  <c r="TTT64" i="7"/>
  <c r="TTU64" i="7"/>
  <c r="TTV64" i="7"/>
  <c r="TTW64" i="7"/>
  <c r="TTX64" i="7"/>
  <c r="TTY64" i="7"/>
  <c r="TTZ64" i="7"/>
  <c r="TUA64" i="7"/>
  <c r="TUB64" i="7"/>
  <c r="TUC64" i="7"/>
  <c r="TUD64" i="7"/>
  <c r="TUE64" i="7"/>
  <c r="TUF64" i="7"/>
  <c r="TUG64" i="7"/>
  <c r="TUH64" i="7"/>
  <c r="TUI64" i="7"/>
  <c r="TUJ64" i="7"/>
  <c r="TUK64" i="7"/>
  <c r="TUL64" i="7"/>
  <c r="TUM64" i="7"/>
  <c r="TUN64" i="7"/>
  <c r="TUO64" i="7"/>
  <c r="TUP64" i="7"/>
  <c r="TUQ64" i="7"/>
  <c r="TUR64" i="7"/>
  <c r="TUS64" i="7"/>
  <c r="TUT64" i="7"/>
  <c r="TUU64" i="7"/>
  <c r="TUV64" i="7"/>
  <c r="TUW64" i="7"/>
  <c r="TUX64" i="7"/>
  <c r="TUY64" i="7"/>
  <c r="TUZ64" i="7"/>
  <c r="TVA64" i="7"/>
  <c r="TVB64" i="7"/>
  <c r="TVC64" i="7"/>
  <c r="TVD64" i="7"/>
  <c r="TVE64" i="7"/>
  <c r="TVF64" i="7"/>
  <c r="TVG64" i="7"/>
  <c r="TVH64" i="7"/>
  <c r="TVI64" i="7"/>
  <c r="TVJ64" i="7"/>
  <c r="TVK64" i="7"/>
  <c r="TVL64" i="7"/>
  <c r="TVM64" i="7"/>
  <c r="TVN64" i="7"/>
  <c r="TVO64" i="7"/>
  <c r="TVP64" i="7"/>
  <c r="TVQ64" i="7"/>
  <c r="TVR64" i="7"/>
  <c r="TVS64" i="7"/>
  <c r="TVT64" i="7"/>
  <c r="TVU64" i="7"/>
  <c r="TVV64" i="7"/>
  <c r="TVW64" i="7"/>
  <c r="TVX64" i="7"/>
  <c r="TVY64" i="7"/>
  <c r="TVZ64" i="7"/>
  <c r="TWA64" i="7"/>
  <c r="TWB64" i="7"/>
  <c r="TWC64" i="7"/>
  <c r="TWD64" i="7"/>
  <c r="TWE64" i="7"/>
  <c r="TWF64" i="7"/>
  <c r="TWG64" i="7"/>
  <c r="TWH64" i="7"/>
  <c r="TWI64" i="7"/>
  <c r="TWJ64" i="7"/>
  <c r="TWK64" i="7"/>
  <c r="TWL64" i="7"/>
  <c r="TWM64" i="7"/>
  <c r="TWN64" i="7"/>
  <c r="TWO64" i="7"/>
  <c r="TWP64" i="7"/>
  <c r="TWQ64" i="7"/>
  <c r="TWR64" i="7"/>
  <c r="TWS64" i="7"/>
  <c r="TWT64" i="7"/>
  <c r="TWU64" i="7"/>
  <c r="TWV64" i="7"/>
  <c r="TWW64" i="7"/>
  <c r="TWX64" i="7"/>
  <c r="TWY64" i="7"/>
  <c r="TWZ64" i="7"/>
  <c r="TXA64" i="7"/>
  <c r="TXB64" i="7"/>
  <c r="TXC64" i="7"/>
  <c r="TXD64" i="7"/>
  <c r="TXE64" i="7"/>
  <c r="TXF64" i="7"/>
  <c r="TXG64" i="7"/>
  <c r="TXH64" i="7"/>
  <c r="TXI64" i="7"/>
  <c r="TXJ64" i="7"/>
  <c r="TXK64" i="7"/>
  <c r="TXL64" i="7"/>
  <c r="TXM64" i="7"/>
  <c r="TXN64" i="7"/>
  <c r="TXO64" i="7"/>
  <c r="TXP64" i="7"/>
  <c r="TXQ64" i="7"/>
  <c r="TXR64" i="7"/>
  <c r="TXS64" i="7"/>
  <c r="TXT64" i="7"/>
  <c r="TXU64" i="7"/>
  <c r="TXV64" i="7"/>
  <c r="TXW64" i="7"/>
  <c r="TXX64" i="7"/>
  <c r="TXY64" i="7"/>
  <c r="TXZ64" i="7"/>
  <c r="TYA64" i="7"/>
  <c r="TYB64" i="7"/>
  <c r="TYC64" i="7"/>
  <c r="TYD64" i="7"/>
  <c r="TYE64" i="7"/>
  <c r="TYF64" i="7"/>
  <c r="TYG64" i="7"/>
  <c r="TYH64" i="7"/>
  <c r="TYI64" i="7"/>
  <c r="TYJ64" i="7"/>
  <c r="TYK64" i="7"/>
  <c r="TYL64" i="7"/>
  <c r="TYM64" i="7"/>
  <c r="TYN64" i="7"/>
  <c r="TYO64" i="7"/>
  <c r="TYP64" i="7"/>
  <c r="TYQ64" i="7"/>
  <c r="TYR64" i="7"/>
  <c r="TYS64" i="7"/>
  <c r="TYT64" i="7"/>
  <c r="TYU64" i="7"/>
  <c r="TYV64" i="7"/>
  <c r="TYW64" i="7"/>
  <c r="TYX64" i="7"/>
  <c r="TYY64" i="7"/>
  <c r="TYZ64" i="7"/>
  <c r="TZA64" i="7"/>
  <c r="TZB64" i="7"/>
  <c r="TZC64" i="7"/>
  <c r="TZD64" i="7"/>
  <c r="TZE64" i="7"/>
  <c r="TZF64" i="7"/>
  <c r="TZG64" i="7"/>
  <c r="TZH64" i="7"/>
  <c r="TZI64" i="7"/>
  <c r="TZJ64" i="7"/>
  <c r="TZK64" i="7"/>
  <c r="TZL64" i="7"/>
  <c r="TZM64" i="7"/>
  <c r="TZN64" i="7"/>
  <c r="TZO64" i="7"/>
  <c r="TZP64" i="7"/>
  <c r="TZQ64" i="7"/>
  <c r="TZR64" i="7"/>
  <c r="TZS64" i="7"/>
  <c r="TZT64" i="7"/>
  <c r="TZU64" i="7"/>
  <c r="TZV64" i="7"/>
  <c r="TZW64" i="7"/>
  <c r="TZX64" i="7"/>
  <c r="TZY64" i="7"/>
  <c r="TZZ64" i="7"/>
  <c r="UAA64" i="7"/>
  <c r="UAB64" i="7"/>
  <c r="UAC64" i="7"/>
  <c r="UAD64" i="7"/>
  <c r="UAE64" i="7"/>
  <c r="UAF64" i="7"/>
  <c r="UAG64" i="7"/>
  <c r="UAH64" i="7"/>
  <c r="UAI64" i="7"/>
  <c r="UAJ64" i="7"/>
  <c r="UAK64" i="7"/>
  <c r="UAL64" i="7"/>
  <c r="UAM64" i="7"/>
  <c r="UAN64" i="7"/>
  <c r="UAO64" i="7"/>
  <c r="UAP64" i="7"/>
  <c r="UAQ64" i="7"/>
  <c r="UAR64" i="7"/>
  <c r="UAS64" i="7"/>
  <c r="UAT64" i="7"/>
  <c r="UAU64" i="7"/>
  <c r="UAV64" i="7"/>
  <c r="UAW64" i="7"/>
  <c r="UAX64" i="7"/>
  <c r="UAY64" i="7"/>
  <c r="UAZ64" i="7"/>
  <c r="UBA64" i="7"/>
  <c r="UBB64" i="7"/>
  <c r="UBC64" i="7"/>
  <c r="UBD64" i="7"/>
  <c r="UBE64" i="7"/>
  <c r="UBF64" i="7"/>
  <c r="UBG64" i="7"/>
  <c r="UBH64" i="7"/>
  <c r="UBI64" i="7"/>
  <c r="UBJ64" i="7"/>
  <c r="UBK64" i="7"/>
  <c r="UBL64" i="7"/>
  <c r="UBM64" i="7"/>
  <c r="UBN64" i="7"/>
  <c r="UBO64" i="7"/>
  <c r="UBP64" i="7"/>
  <c r="UBQ64" i="7"/>
  <c r="UBR64" i="7"/>
  <c r="UBS64" i="7"/>
  <c r="UBT64" i="7"/>
  <c r="UBU64" i="7"/>
  <c r="UBV64" i="7"/>
  <c r="UBW64" i="7"/>
  <c r="UBX64" i="7"/>
  <c r="UBY64" i="7"/>
  <c r="UBZ64" i="7"/>
  <c r="UCA64" i="7"/>
  <c r="UCB64" i="7"/>
  <c r="UCC64" i="7"/>
  <c r="UCD64" i="7"/>
  <c r="UCE64" i="7"/>
  <c r="UCF64" i="7"/>
  <c r="UCG64" i="7"/>
  <c r="UCH64" i="7"/>
  <c r="UCI64" i="7"/>
  <c r="UCJ64" i="7"/>
  <c r="UCK64" i="7"/>
  <c r="UCL64" i="7"/>
  <c r="UCM64" i="7"/>
  <c r="UCN64" i="7"/>
  <c r="UCO64" i="7"/>
  <c r="UCP64" i="7"/>
  <c r="UCQ64" i="7"/>
  <c r="UCR64" i="7"/>
  <c r="UCS64" i="7"/>
  <c r="UCT64" i="7"/>
  <c r="UCU64" i="7"/>
  <c r="UCV64" i="7"/>
  <c r="UCW64" i="7"/>
  <c r="UCX64" i="7"/>
  <c r="UCY64" i="7"/>
  <c r="UCZ64" i="7"/>
  <c r="UDA64" i="7"/>
  <c r="UDB64" i="7"/>
  <c r="UDC64" i="7"/>
  <c r="UDD64" i="7"/>
  <c r="UDE64" i="7"/>
  <c r="UDF64" i="7"/>
  <c r="UDG64" i="7"/>
  <c r="UDH64" i="7"/>
  <c r="UDI64" i="7"/>
  <c r="UDJ64" i="7"/>
  <c r="UDK64" i="7"/>
  <c r="UDL64" i="7"/>
  <c r="UDM64" i="7"/>
  <c r="UDN64" i="7"/>
  <c r="UDO64" i="7"/>
  <c r="UDP64" i="7"/>
  <c r="UDQ64" i="7"/>
  <c r="UDR64" i="7"/>
  <c r="UDS64" i="7"/>
  <c r="UDT64" i="7"/>
  <c r="UDU64" i="7"/>
  <c r="UDV64" i="7"/>
  <c r="UDW64" i="7"/>
  <c r="UDX64" i="7"/>
  <c r="UDY64" i="7"/>
  <c r="UDZ64" i="7"/>
  <c r="UEA64" i="7"/>
  <c r="UEB64" i="7"/>
  <c r="UEC64" i="7"/>
  <c r="UED64" i="7"/>
  <c r="UEE64" i="7"/>
  <c r="UEF64" i="7"/>
  <c r="UEG64" i="7"/>
  <c r="UEH64" i="7"/>
  <c r="UEI64" i="7"/>
  <c r="UEJ64" i="7"/>
  <c r="UEK64" i="7"/>
  <c r="UEL64" i="7"/>
  <c r="UEM64" i="7"/>
  <c r="UEN64" i="7"/>
  <c r="UEO64" i="7"/>
  <c r="UEP64" i="7"/>
  <c r="UEQ64" i="7"/>
  <c r="UER64" i="7"/>
  <c r="UES64" i="7"/>
  <c r="UET64" i="7"/>
  <c r="UEU64" i="7"/>
  <c r="UEV64" i="7"/>
  <c r="UEW64" i="7"/>
  <c r="UEX64" i="7"/>
  <c r="UEY64" i="7"/>
  <c r="UEZ64" i="7"/>
  <c r="UFA64" i="7"/>
  <c r="UFB64" i="7"/>
  <c r="UFC64" i="7"/>
  <c r="UFD64" i="7"/>
  <c r="UFE64" i="7"/>
  <c r="UFF64" i="7"/>
  <c r="UFG64" i="7"/>
  <c r="UFH64" i="7"/>
  <c r="UFI64" i="7"/>
  <c r="UFJ64" i="7"/>
  <c r="UFK64" i="7"/>
  <c r="UFL64" i="7"/>
  <c r="UFM64" i="7"/>
  <c r="UFN64" i="7"/>
  <c r="UFO64" i="7"/>
  <c r="UFP64" i="7"/>
  <c r="UFQ64" i="7"/>
  <c r="UFR64" i="7"/>
  <c r="UFS64" i="7"/>
  <c r="UFT64" i="7"/>
  <c r="UFU64" i="7"/>
  <c r="UFV64" i="7"/>
  <c r="UFW64" i="7"/>
  <c r="UFX64" i="7"/>
  <c r="UFY64" i="7"/>
  <c r="UFZ64" i="7"/>
  <c r="UGA64" i="7"/>
  <c r="UGB64" i="7"/>
  <c r="UGC64" i="7"/>
  <c r="UGD64" i="7"/>
  <c r="UGE64" i="7"/>
  <c r="UGF64" i="7"/>
  <c r="UGG64" i="7"/>
  <c r="UGH64" i="7"/>
  <c r="UGI64" i="7"/>
  <c r="UGJ64" i="7"/>
  <c r="UGK64" i="7"/>
  <c r="UGL64" i="7"/>
  <c r="UGM64" i="7"/>
  <c r="UGN64" i="7"/>
  <c r="UGO64" i="7"/>
  <c r="UGP64" i="7"/>
  <c r="UGQ64" i="7"/>
  <c r="UGR64" i="7"/>
  <c r="UGS64" i="7"/>
  <c r="UGT64" i="7"/>
  <c r="UGU64" i="7"/>
  <c r="UGV64" i="7"/>
  <c r="UGW64" i="7"/>
  <c r="UGX64" i="7"/>
  <c r="UGY64" i="7"/>
  <c r="UGZ64" i="7"/>
  <c r="UHA64" i="7"/>
  <c r="UHB64" i="7"/>
  <c r="UHC64" i="7"/>
  <c r="UHD64" i="7"/>
  <c r="UHE64" i="7"/>
  <c r="UHF64" i="7"/>
  <c r="UHG64" i="7"/>
  <c r="UHH64" i="7"/>
  <c r="UHI64" i="7"/>
  <c r="UHJ64" i="7"/>
  <c r="UHK64" i="7"/>
  <c r="UHL64" i="7"/>
  <c r="UHM64" i="7"/>
  <c r="UHN64" i="7"/>
  <c r="UHO64" i="7"/>
  <c r="UHP64" i="7"/>
  <c r="UHQ64" i="7"/>
  <c r="UHR64" i="7"/>
  <c r="UHS64" i="7"/>
  <c r="UHT64" i="7"/>
  <c r="UHU64" i="7"/>
  <c r="UHV64" i="7"/>
  <c r="UHW64" i="7"/>
  <c r="UHX64" i="7"/>
  <c r="UHY64" i="7"/>
  <c r="UHZ64" i="7"/>
  <c r="UIA64" i="7"/>
  <c r="UIB64" i="7"/>
  <c r="UIC64" i="7"/>
  <c r="UID64" i="7"/>
  <c r="UIE64" i="7"/>
  <c r="UIF64" i="7"/>
  <c r="UIG64" i="7"/>
  <c r="UIH64" i="7"/>
  <c r="UII64" i="7"/>
  <c r="UIJ64" i="7"/>
  <c r="UIK64" i="7"/>
  <c r="UIL64" i="7"/>
  <c r="UIM64" i="7"/>
  <c r="UIN64" i="7"/>
  <c r="UIO64" i="7"/>
  <c r="UIP64" i="7"/>
  <c r="UIQ64" i="7"/>
  <c r="UIR64" i="7"/>
  <c r="UIS64" i="7"/>
  <c r="UIT64" i="7"/>
  <c r="UIU64" i="7"/>
  <c r="UIV64" i="7"/>
  <c r="UIW64" i="7"/>
  <c r="UIX64" i="7"/>
  <c r="UIY64" i="7"/>
  <c r="UIZ64" i="7"/>
  <c r="UJA64" i="7"/>
  <c r="UJB64" i="7"/>
  <c r="UJC64" i="7"/>
  <c r="UJD64" i="7"/>
  <c r="UJE64" i="7"/>
  <c r="UJF64" i="7"/>
  <c r="UJG64" i="7"/>
  <c r="UJH64" i="7"/>
  <c r="UJI64" i="7"/>
  <c r="UJJ64" i="7"/>
  <c r="UJK64" i="7"/>
  <c r="UJL64" i="7"/>
  <c r="UJM64" i="7"/>
  <c r="UJN64" i="7"/>
  <c r="UJO64" i="7"/>
  <c r="UJP64" i="7"/>
  <c r="UJQ64" i="7"/>
  <c r="UJR64" i="7"/>
  <c r="UJS64" i="7"/>
  <c r="UJT64" i="7"/>
  <c r="UJU64" i="7"/>
  <c r="UJV64" i="7"/>
  <c r="UJW64" i="7"/>
  <c r="UJX64" i="7"/>
  <c r="UJY64" i="7"/>
  <c r="UJZ64" i="7"/>
  <c r="UKA64" i="7"/>
  <c r="UKB64" i="7"/>
  <c r="UKC64" i="7"/>
  <c r="UKD64" i="7"/>
  <c r="UKE64" i="7"/>
  <c r="UKF64" i="7"/>
  <c r="UKG64" i="7"/>
  <c r="UKH64" i="7"/>
  <c r="UKI64" i="7"/>
  <c r="UKJ64" i="7"/>
  <c r="UKK64" i="7"/>
  <c r="UKL64" i="7"/>
  <c r="UKM64" i="7"/>
  <c r="UKN64" i="7"/>
  <c r="UKO64" i="7"/>
  <c r="UKP64" i="7"/>
  <c r="UKQ64" i="7"/>
  <c r="UKR64" i="7"/>
  <c r="UKS64" i="7"/>
  <c r="UKT64" i="7"/>
  <c r="UKU64" i="7"/>
  <c r="UKV64" i="7"/>
  <c r="UKW64" i="7"/>
  <c r="UKX64" i="7"/>
  <c r="UKY64" i="7"/>
  <c r="UKZ64" i="7"/>
  <c r="ULA64" i="7"/>
  <c r="ULB64" i="7"/>
  <c r="ULC64" i="7"/>
  <c r="ULD64" i="7"/>
  <c r="ULE64" i="7"/>
  <c r="ULF64" i="7"/>
  <c r="ULG64" i="7"/>
  <c r="ULH64" i="7"/>
  <c r="ULI64" i="7"/>
  <c r="ULJ64" i="7"/>
  <c r="ULK64" i="7"/>
  <c r="ULL64" i="7"/>
  <c r="ULM64" i="7"/>
  <c r="ULN64" i="7"/>
  <c r="ULO64" i="7"/>
  <c r="ULP64" i="7"/>
  <c r="ULQ64" i="7"/>
  <c r="ULR64" i="7"/>
  <c r="ULS64" i="7"/>
  <c r="ULT64" i="7"/>
  <c r="ULU64" i="7"/>
  <c r="ULV64" i="7"/>
  <c r="ULW64" i="7"/>
  <c r="ULX64" i="7"/>
  <c r="ULY64" i="7"/>
  <c r="ULZ64" i="7"/>
  <c r="UMA64" i="7"/>
  <c r="UMB64" i="7"/>
  <c r="UMC64" i="7"/>
  <c r="UMD64" i="7"/>
  <c r="UME64" i="7"/>
  <c r="UMF64" i="7"/>
  <c r="UMG64" i="7"/>
  <c r="UMH64" i="7"/>
  <c r="UMI64" i="7"/>
  <c r="UMJ64" i="7"/>
  <c r="UMK64" i="7"/>
  <c r="UML64" i="7"/>
  <c r="UMM64" i="7"/>
  <c r="UMN64" i="7"/>
  <c r="UMO64" i="7"/>
  <c r="UMP64" i="7"/>
  <c r="UMQ64" i="7"/>
  <c r="UMR64" i="7"/>
  <c r="UMS64" i="7"/>
  <c r="UMT64" i="7"/>
  <c r="UMU64" i="7"/>
  <c r="UMV64" i="7"/>
  <c r="UMW64" i="7"/>
  <c r="UMX64" i="7"/>
  <c r="UMY64" i="7"/>
  <c r="UMZ64" i="7"/>
  <c r="UNA64" i="7"/>
  <c r="UNB64" i="7"/>
  <c r="UNC64" i="7"/>
  <c r="UND64" i="7"/>
  <c r="UNE64" i="7"/>
  <c r="UNF64" i="7"/>
  <c r="UNG64" i="7"/>
  <c r="UNH64" i="7"/>
  <c r="UNI64" i="7"/>
  <c r="UNJ64" i="7"/>
  <c r="UNK64" i="7"/>
  <c r="UNL64" i="7"/>
  <c r="UNM64" i="7"/>
  <c r="UNN64" i="7"/>
  <c r="UNO64" i="7"/>
  <c r="UNP64" i="7"/>
  <c r="UNQ64" i="7"/>
  <c r="UNR64" i="7"/>
  <c r="UNS64" i="7"/>
  <c r="UNT64" i="7"/>
  <c r="UNU64" i="7"/>
  <c r="UNV64" i="7"/>
  <c r="UNW64" i="7"/>
  <c r="UNX64" i="7"/>
  <c r="UNY64" i="7"/>
  <c r="UNZ64" i="7"/>
  <c r="UOA64" i="7"/>
  <c r="UOB64" i="7"/>
  <c r="UOC64" i="7"/>
  <c r="UOD64" i="7"/>
  <c r="UOE64" i="7"/>
  <c r="UOF64" i="7"/>
  <c r="UOG64" i="7"/>
  <c r="UOH64" i="7"/>
  <c r="UOI64" i="7"/>
  <c r="UOJ64" i="7"/>
  <c r="UOK64" i="7"/>
  <c r="UOL64" i="7"/>
  <c r="UOM64" i="7"/>
  <c r="UON64" i="7"/>
  <c r="UOO64" i="7"/>
  <c r="UOP64" i="7"/>
  <c r="UOQ64" i="7"/>
  <c r="UOR64" i="7"/>
  <c r="UOS64" i="7"/>
  <c r="UOT64" i="7"/>
  <c r="UOU64" i="7"/>
  <c r="UOV64" i="7"/>
  <c r="UOW64" i="7"/>
  <c r="UOX64" i="7"/>
  <c r="UOY64" i="7"/>
  <c r="UOZ64" i="7"/>
  <c r="UPA64" i="7"/>
  <c r="UPB64" i="7"/>
  <c r="UPC64" i="7"/>
  <c r="UPD64" i="7"/>
  <c r="UPE64" i="7"/>
  <c r="UPF64" i="7"/>
  <c r="UPG64" i="7"/>
  <c r="UPH64" i="7"/>
  <c r="UPI64" i="7"/>
  <c r="UPJ64" i="7"/>
  <c r="UPK64" i="7"/>
  <c r="UPL64" i="7"/>
  <c r="UPM64" i="7"/>
  <c r="UPN64" i="7"/>
  <c r="UPO64" i="7"/>
  <c r="UPP64" i="7"/>
  <c r="UPQ64" i="7"/>
  <c r="UPR64" i="7"/>
  <c r="UPS64" i="7"/>
  <c r="UPT64" i="7"/>
  <c r="UPU64" i="7"/>
  <c r="UPV64" i="7"/>
  <c r="UPW64" i="7"/>
  <c r="UPX64" i="7"/>
  <c r="UPY64" i="7"/>
  <c r="UPZ64" i="7"/>
  <c r="UQA64" i="7"/>
  <c r="UQB64" i="7"/>
  <c r="UQC64" i="7"/>
  <c r="UQD64" i="7"/>
  <c r="UQE64" i="7"/>
  <c r="UQF64" i="7"/>
  <c r="UQG64" i="7"/>
  <c r="UQH64" i="7"/>
  <c r="UQI64" i="7"/>
  <c r="UQJ64" i="7"/>
  <c r="UQK64" i="7"/>
  <c r="UQL64" i="7"/>
  <c r="UQM64" i="7"/>
  <c r="UQN64" i="7"/>
  <c r="UQO64" i="7"/>
  <c r="UQP64" i="7"/>
  <c r="UQQ64" i="7"/>
  <c r="UQR64" i="7"/>
  <c r="UQS64" i="7"/>
  <c r="UQT64" i="7"/>
  <c r="UQU64" i="7"/>
  <c r="UQV64" i="7"/>
  <c r="UQW64" i="7"/>
  <c r="UQX64" i="7"/>
  <c r="UQY64" i="7"/>
  <c r="UQZ64" i="7"/>
  <c r="URA64" i="7"/>
  <c r="URB64" i="7"/>
  <c r="URC64" i="7"/>
  <c r="URD64" i="7"/>
  <c r="URE64" i="7"/>
  <c r="URF64" i="7"/>
  <c r="URG64" i="7"/>
  <c r="URH64" i="7"/>
  <c r="URI64" i="7"/>
  <c r="URJ64" i="7"/>
  <c r="URK64" i="7"/>
  <c r="URL64" i="7"/>
  <c r="URM64" i="7"/>
  <c r="URN64" i="7"/>
  <c r="URO64" i="7"/>
  <c r="URP64" i="7"/>
  <c r="URQ64" i="7"/>
  <c r="URR64" i="7"/>
  <c r="URS64" i="7"/>
  <c r="URT64" i="7"/>
  <c r="URU64" i="7"/>
  <c r="URV64" i="7"/>
  <c r="URW64" i="7"/>
  <c r="URX64" i="7"/>
  <c r="URY64" i="7"/>
  <c r="URZ64" i="7"/>
  <c r="USA64" i="7"/>
  <c r="USB64" i="7"/>
  <c r="USC64" i="7"/>
  <c r="USD64" i="7"/>
  <c r="USE64" i="7"/>
  <c r="USF64" i="7"/>
  <c r="USG64" i="7"/>
  <c r="USH64" i="7"/>
  <c r="USI64" i="7"/>
  <c r="USJ64" i="7"/>
  <c r="USK64" i="7"/>
  <c r="USL64" i="7"/>
  <c r="USM64" i="7"/>
  <c r="USN64" i="7"/>
  <c r="USO64" i="7"/>
  <c r="USP64" i="7"/>
  <c r="USQ64" i="7"/>
  <c r="USR64" i="7"/>
  <c r="USS64" i="7"/>
  <c r="UST64" i="7"/>
  <c r="USU64" i="7"/>
  <c r="USV64" i="7"/>
  <c r="USW64" i="7"/>
  <c r="USX64" i="7"/>
  <c r="USY64" i="7"/>
  <c r="USZ64" i="7"/>
  <c r="UTA64" i="7"/>
  <c r="UTB64" i="7"/>
  <c r="UTC64" i="7"/>
  <c r="UTD64" i="7"/>
  <c r="UTE64" i="7"/>
  <c r="UTF64" i="7"/>
  <c r="UTG64" i="7"/>
  <c r="UTH64" i="7"/>
  <c r="UTI64" i="7"/>
  <c r="UTJ64" i="7"/>
  <c r="UTK64" i="7"/>
  <c r="UTL64" i="7"/>
  <c r="UTM64" i="7"/>
  <c r="UTN64" i="7"/>
  <c r="UTO64" i="7"/>
  <c r="UTP64" i="7"/>
  <c r="UTQ64" i="7"/>
  <c r="UTR64" i="7"/>
  <c r="UTS64" i="7"/>
  <c r="UTT64" i="7"/>
  <c r="UTU64" i="7"/>
  <c r="UTV64" i="7"/>
  <c r="UTW64" i="7"/>
  <c r="UTX64" i="7"/>
  <c r="UTY64" i="7"/>
  <c r="UTZ64" i="7"/>
  <c r="UUA64" i="7"/>
  <c r="UUB64" i="7"/>
  <c r="UUC64" i="7"/>
  <c r="UUD64" i="7"/>
  <c r="UUE64" i="7"/>
  <c r="UUF64" i="7"/>
  <c r="UUG64" i="7"/>
  <c r="UUH64" i="7"/>
  <c r="UUI64" i="7"/>
  <c r="UUJ64" i="7"/>
  <c r="UUK64" i="7"/>
  <c r="UUL64" i="7"/>
  <c r="UUM64" i="7"/>
  <c r="UUN64" i="7"/>
  <c r="UUO64" i="7"/>
  <c r="UUP64" i="7"/>
  <c r="UUQ64" i="7"/>
  <c r="UUR64" i="7"/>
  <c r="UUS64" i="7"/>
  <c r="UUT64" i="7"/>
  <c r="UUU64" i="7"/>
  <c r="UUV64" i="7"/>
  <c r="UUW64" i="7"/>
  <c r="UUX64" i="7"/>
  <c r="UUY64" i="7"/>
  <c r="UUZ64" i="7"/>
  <c r="UVA64" i="7"/>
  <c r="UVB64" i="7"/>
  <c r="UVC64" i="7"/>
  <c r="UVD64" i="7"/>
  <c r="UVE64" i="7"/>
  <c r="UVF64" i="7"/>
  <c r="UVG64" i="7"/>
  <c r="UVH64" i="7"/>
  <c r="UVI64" i="7"/>
  <c r="UVJ64" i="7"/>
  <c r="UVK64" i="7"/>
  <c r="UVL64" i="7"/>
  <c r="UVM64" i="7"/>
  <c r="UVN64" i="7"/>
  <c r="UVO64" i="7"/>
  <c r="UVP64" i="7"/>
  <c r="UVQ64" i="7"/>
  <c r="UVR64" i="7"/>
  <c r="UVS64" i="7"/>
  <c r="UVT64" i="7"/>
  <c r="UVU64" i="7"/>
  <c r="UVV64" i="7"/>
  <c r="UVW64" i="7"/>
  <c r="UVX64" i="7"/>
  <c r="UVY64" i="7"/>
  <c r="UVZ64" i="7"/>
  <c r="UWA64" i="7"/>
  <c r="UWB64" i="7"/>
  <c r="UWC64" i="7"/>
  <c r="UWD64" i="7"/>
  <c r="UWE64" i="7"/>
  <c r="UWF64" i="7"/>
  <c r="UWG64" i="7"/>
  <c r="UWH64" i="7"/>
  <c r="UWI64" i="7"/>
  <c r="UWJ64" i="7"/>
  <c r="UWK64" i="7"/>
  <c r="UWL64" i="7"/>
  <c r="UWM64" i="7"/>
  <c r="UWN64" i="7"/>
  <c r="UWO64" i="7"/>
  <c r="UWP64" i="7"/>
  <c r="UWQ64" i="7"/>
  <c r="UWR64" i="7"/>
  <c r="UWS64" i="7"/>
  <c r="UWT64" i="7"/>
  <c r="UWU64" i="7"/>
  <c r="UWV64" i="7"/>
  <c r="UWW64" i="7"/>
  <c r="UWX64" i="7"/>
  <c r="UWY64" i="7"/>
  <c r="UWZ64" i="7"/>
  <c r="UXA64" i="7"/>
  <c r="UXB64" i="7"/>
  <c r="UXC64" i="7"/>
  <c r="UXD64" i="7"/>
  <c r="UXE64" i="7"/>
  <c r="UXF64" i="7"/>
  <c r="UXG64" i="7"/>
  <c r="UXH64" i="7"/>
  <c r="UXI64" i="7"/>
  <c r="UXJ64" i="7"/>
  <c r="UXK64" i="7"/>
  <c r="UXL64" i="7"/>
  <c r="UXM64" i="7"/>
  <c r="UXN64" i="7"/>
  <c r="UXO64" i="7"/>
  <c r="UXP64" i="7"/>
  <c r="UXQ64" i="7"/>
  <c r="UXR64" i="7"/>
  <c r="UXS64" i="7"/>
  <c r="UXT64" i="7"/>
  <c r="UXU64" i="7"/>
  <c r="UXV64" i="7"/>
  <c r="UXW64" i="7"/>
  <c r="UXX64" i="7"/>
  <c r="UXY64" i="7"/>
  <c r="UXZ64" i="7"/>
  <c r="UYA64" i="7"/>
  <c r="UYB64" i="7"/>
  <c r="UYC64" i="7"/>
  <c r="UYD64" i="7"/>
  <c r="UYE64" i="7"/>
  <c r="UYF64" i="7"/>
  <c r="UYG64" i="7"/>
  <c r="UYH64" i="7"/>
  <c r="UYI64" i="7"/>
  <c r="UYJ64" i="7"/>
  <c r="UYK64" i="7"/>
  <c r="UYL64" i="7"/>
  <c r="UYM64" i="7"/>
  <c r="UYN64" i="7"/>
  <c r="UYO64" i="7"/>
  <c r="UYP64" i="7"/>
  <c r="UYQ64" i="7"/>
  <c r="UYR64" i="7"/>
  <c r="UYS64" i="7"/>
  <c r="UYT64" i="7"/>
  <c r="UYU64" i="7"/>
  <c r="UYV64" i="7"/>
  <c r="UYW64" i="7"/>
  <c r="UYX64" i="7"/>
  <c r="UYY64" i="7"/>
  <c r="UYZ64" i="7"/>
  <c r="UZA64" i="7"/>
  <c r="UZB64" i="7"/>
  <c r="UZC64" i="7"/>
  <c r="UZD64" i="7"/>
  <c r="UZE64" i="7"/>
  <c r="UZF64" i="7"/>
  <c r="UZG64" i="7"/>
  <c r="UZH64" i="7"/>
  <c r="UZI64" i="7"/>
  <c r="UZJ64" i="7"/>
  <c r="UZK64" i="7"/>
  <c r="UZL64" i="7"/>
  <c r="UZM64" i="7"/>
  <c r="UZN64" i="7"/>
  <c r="UZO64" i="7"/>
  <c r="UZP64" i="7"/>
  <c r="UZQ64" i="7"/>
  <c r="UZR64" i="7"/>
  <c r="UZS64" i="7"/>
  <c r="UZT64" i="7"/>
  <c r="UZU64" i="7"/>
  <c r="UZV64" i="7"/>
  <c r="UZW64" i="7"/>
  <c r="UZX64" i="7"/>
  <c r="UZY64" i="7"/>
  <c r="UZZ64" i="7"/>
  <c r="VAA64" i="7"/>
  <c r="VAB64" i="7"/>
  <c r="VAC64" i="7"/>
  <c r="VAD64" i="7"/>
  <c r="VAE64" i="7"/>
  <c r="VAF64" i="7"/>
  <c r="VAG64" i="7"/>
  <c r="VAH64" i="7"/>
  <c r="VAI64" i="7"/>
  <c r="VAJ64" i="7"/>
  <c r="VAK64" i="7"/>
  <c r="VAL64" i="7"/>
  <c r="VAM64" i="7"/>
  <c r="VAN64" i="7"/>
  <c r="VAO64" i="7"/>
  <c r="VAP64" i="7"/>
  <c r="VAQ64" i="7"/>
  <c r="VAR64" i="7"/>
  <c r="VAS64" i="7"/>
  <c r="VAT64" i="7"/>
  <c r="VAU64" i="7"/>
  <c r="VAV64" i="7"/>
  <c r="VAW64" i="7"/>
  <c r="VAX64" i="7"/>
  <c r="VAY64" i="7"/>
  <c r="VAZ64" i="7"/>
  <c r="VBA64" i="7"/>
  <c r="VBB64" i="7"/>
  <c r="VBC64" i="7"/>
  <c r="VBD64" i="7"/>
  <c r="VBE64" i="7"/>
  <c r="VBF64" i="7"/>
  <c r="VBG64" i="7"/>
  <c r="VBH64" i="7"/>
  <c r="VBI64" i="7"/>
  <c r="VBJ64" i="7"/>
  <c r="VBK64" i="7"/>
  <c r="VBL64" i="7"/>
  <c r="VBM64" i="7"/>
  <c r="VBN64" i="7"/>
  <c r="VBO64" i="7"/>
  <c r="VBP64" i="7"/>
  <c r="VBQ64" i="7"/>
  <c r="VBR64" i="7"/>
  <c r="VBS64" i="7"/>
  <c r="VBT64" i="7"/>
  <c r="VBU64" i="7"/>
  <c r="VBV64" i="7"/>
  <c r="VBW64" i="7"/>
  <c r="VBX64" i="7"/>
  <c r="VBY64" i="7"/>
  <c r="VBZ64" i="7"/>
  <c r="VCA64" i="7"/>
  <c r="VCB64" i="7"/>
  <c r="VCC64" i="7"/>
  <c r="VCD64" i="7"/>
  <c r="VCE64" i="7"/>
  <c r="VCF64" i="7"/>
  <c r="VCG64" i="7"/>
  <c r="VCH64" i="7"/>
  <c r="VCI64" i="7"/>
  <c r="VCJ64" i="7"/>
  <c r="VCK64" i="7"/>
  <c r="VCL64" i="7"/>
  <c r="VCM64" i="7"/>
  <c r="VCN64" i="7"/>
  <c r="VCO64" i="7"/>
  <c r="VCP64" i="7"/>
  <c r="VCQ64" i="7"/>
  <c r="VCR64" i="7"/>
  <c r="VCS64" i="7"/>
  <c r="VCT64" i="7"/>
  <c r="VCU64" i="7"/>
  <c r="VCV64" i="7"/>
  <c r="VCW64" i="7"/>
  <c r="VCX64" i="7"/>
  <c r="VCY64" i="7"/>
  <c r="VCZ64" i="7"/>
  <c r="VDA64" i="7"/>
  <c r="VDB64" i="7"/>
  <c r="VDC64" i="7"/>
  <c r="VDD64" i="7"/>
  <c r="VDE64" i="7"/>
  <c r="VDF64" i="7"/>
  <c r="VDG64" i="7"/>
  <c r="VDH64" i="7"/>
  <c r="VDI64" i="7"/>
  <c r="VDJ64" i="7"/>
  <c r="VDK64" i="7"/>
  <c r="VDL64" i="7"/>
  <c r="VDM64" i="7"/>
  <c r="VDN64" i="7"/>
  <c r="VDO64" i="7"/>
  <c r="VDP64" i="7"/>
  <c r="VDQ64" i="7"/>
  <c r="VDR64" i="7"/>
  <c r="VDS64" i="7"/>
  <c r="VDT64" i="7"/>
  <c r="VDU64" i="7"/>
  <c r="VDV64" i="7"/>
  <c r="VDW64" i="7"/>
  <c r="VDX64" i="7"/>
  <c r="VDY64" i="7"/>
  <c r="VDZ64" i="7"/>
  <c r="VEA64" i="7"/>
  <c r="VEB64" i="7"/>
  <c r="VEC64" i="7"/>
  <c r="VED64" i="7"/>
  <c r="VEE64" i="7"/>
  <c r="VEF64" i="7"/>
  <c r="VEG64" i="7"/>
  <c r="VEH64" i="7"/>
  <c r="VEI64" i="7"/>
  <c r="VEJ64" i="7"/>
  <c r="VEK64" i="7"/>
  <c r="VEL64" i="7"/>
  <c r="VEM64" i="7"/>
  <c r="VEN64" i="7"/>
  <c r="VEO64" i="7"/>
  <c r="VEP64" i="7"/>
  <c r="VEQ64" i="7"/>
  <c r="VER64" i="7"/>
  <c r="VES64" i="7"/>
  <c r="VET64" i="7"/>
  <c r="VEU64" i="7"/>
  <c r="VEV64" i="7"/>
  <c r="VEW64" i="7"/>
  <c r="VEX64" i="7"/>
  <c r="VEY64" i="7"/>
  <c r="VEZ64" i="7"/>
  <c r="VFA64" i="7"/>
  <c r="VFB64" i="7"/>
  <c r="VFC64" i="7"/>
  <c r="VFD64" i="7"/>
  <c r="VFE64" i="7"/>
  <c r="VFF64" i="7"/>
  <c r="VFG64" i="7"/>
  <c r="VFH64" i="7"/>
  <c r="VFI64" i="7"/>
  <c r="VFJ64" i="7"/>
  <c r="VFK64" i="7"/>
  <c r="VFL64" i="7"/>
  <c r="VFM64" i="7"/>
  <c r="VFN64" i="7"/>
  <c r="VFO64" i="7"/>
  <c r="VFP64" i="7"/>
  <c r="VFQ64" i="7"/>
  <c r="VFR64" i="7"/>
  <c r="VFS64" i="7"/>
  <c r="VFT64" i="7"/>
  <c r="VFU64" i="7"/>
  <c r="VFV64" i="7"/>
  <c r="VFW64" i="7"/>
  <c r="VFX64" i="7"/>
  <c r="VFY64" i="7"/>
  <c r="VFZ64" i="7"/>
  <c r="VGA64" i="7"/>
  <c r="VGB64" i="7"/>
  <c r="VGC64" i="7"/>
  <c r="VGD64" i="7"/>
  <c r="VGE64" i="7"/>
  <c r="VGF64" i="7"/>
  <c r="VGG64" i="7"/>
  <c r="VGH64" i="7"/>
  <c r="VGI64" i="7"/>
  <c r="VGJ64" i="7"/>
  <c r="VGK64" i="7"/>
  <c r="VGL64" i="7"/>
  <c r="VGM64" i="7"/>
  <c r="VGN64" i="7"/>
  <c r="VGO64" i="7"/>
  <c r="VGP64" i="7"/>
  <c r="VGQ64" i="7"/>
  <c r="VGR64" i="7"/>
  <c r="VGS64" i="7"/>
  <c r="VGT64" i="7"/>
  <c r="VGU64" i="7"/>
  <c r="VGV64" i="7"/>
  <c r="VGW64" i="7"/>
  <c r="VGX64" i="7"/>
  <c r="VGY64" i="7"/>
  <c r="VGZ64" i="7"/>
  <c r="VHA64" i="7"/>
  <c r="VHB64" i="7"/>
  <c r="VHC64" i="7"/>
  <c r="VHD64" i="7"/>
  <c r="VHE64" i="7"/>
  <c r="VHF64" i="7"/>
  <c r="VHG64" i="7"/>
  <c r="VHH64" i="7"/>
  <c r="VHI64" i="7"/>
  <c r="VHJ64" i="7"/>
  <c r="VHK64" i="7"/>
  <c r="VHL64" i="7"/>
  <c r="VHM64" i="7"/>
  <c r="VHN64" i="7"/>
  <c r="VHO64" i="7"/>
  <c r="VHP64" i="7"/>
  <c r="VHQ64" i="7"/>
  <c r="VHR64" i="7"/>
  <c r="VHS64" i="7"/>
  <c r="VHT64" i="7"/>
  <c r="VHU64" i="7"/>
  <c r="VHV64" i="7"/>
  <c r="VHW64" i="7"/>
  <c r="VHX64" i="7"/>
  <c r="VHY64" i="7"/>
  <c r="VHZ64" i="7"/>
  <c r="VIA64" i="7"/>
  <c r="VIB64" i="7"/>
  <c r="VIC64" i="7"/>
  <c r="VID64" i="7"/>
  <c r="VIE64" i="7"/>
  <c r="VIF64" i="7"/>
  <c r="VIG64" i="7"/>
  <c r="VIH64" i="7"/>
  <c r="VII64" i="7"/>
  <c r="VIJ64" i="7"/>
  <c r="VIK64" i="7"/>
  <c r="VIL64" i="7"/>
  <c r="VIM64" i="7"/>
  <c r="VIN64" i="7"/>
  <c r="VIO64" i="7"/>
  <c r="VIP64" i="7"/>
  <c r="VIQ64" i="7"/>
  <c r="VIR64" i="7"/>
  <c r="VIS64" i="7"/>
  <c r="VIT64" i="7"/>
  <c r="VIU64" i="7"/>
  <c r="VIV64" i="7"/>
  <c r="VIW64" i="7"/>
  <c r="VIX64" i="7"/>
  <c r="VIY64" i="7"/>
  <c r="VIZ64" i="7"/>
  <c r="VJA64" i="7"/>
  <c r="VJB64" i="7"/>
  <c r="VJC64" i="7"/>
  <c r="VJD64" i="7"/>
  <c r="VJE64" i="7"/>
  <c r="VJF64" i="7"/>
  <c r="VJG64" i="7"/>
  <c r="VJH64" i="7"/>
  <c r="VJI64" i="7"/>
  <c r="VJJ64" i="7"/>
  <c r="VJK64" i="7"/>
  <c r="VJL64" i="7"/>
  <c r="VJM64" i="7"/>
  <c r="VJN64" i="7"/>
  <c r="VJO64" i="7"/>
  <c r="VJP64" i="7"/>
  <c r="VJQ64" i="7"/>
  <c r="VJR64" i="7"/>
  <c r="VJS64" i="7"/>
  <c r="VJT64" i="7"/>
  <c r="VJU64" i="7"/>
  <c r="VJV64" i="7"/>
  <c r="VJW64" i="7"/>
  <c r="VJX64" i="7"/>
  <c r="VJY64" i="7"/>
  <c r="VJZ64" i="7"/>
  <c r="VKA64" i="7"/>
  <c r="VKB64" i="7"/>
  <c r="VKC64" i="7"/>
  <c r="VKD64" i="7"/>
  <c r="VKE64" i="7"/>
  <c r="VKF64" i="7"/>
  <c r="VKG64" i="7"/>
  <c r="VKH64" i="7"/>
  <c r="VKI64" i="7"/>
  <c r="VKJ64" i="7"/>
  <c r="VKK64" i="7"/>
  <c r="VKL64" i="7"/>
  <c r="VKM64" i="7"/>
  <c r="VKN64" i="7"/>
  <c r="VKO64" i="7"/>
  <c r="VKP64" i="7"/>
  <c r="VKQ64" i="7"/>
  <c r="VKR64" i="7"/>
  <c r="VKS64" i="7"/>
  <c r="VKT64" i="7"/>
  <c r="VKU64" i="7"/>
  <c r="VKV64" i="7"/>
  <c r="VKW64" i="7"/>
  <c r="VKX64" i="7"/>
  <c r="VKY64" i="7"/>
  <c r="VKZ64" i="7"/>
  <c r="VLA64" i="7"/>
  <c r="VLB64" i="7"/>
  <c r="VLC64" i="7"/>
  <c r="VLD64" i="7"/>
  <c r="VLE64" i="7"/>
  <c r="VLF64" i="7"/>
  <c r="VLG64" i="7"/>
  <c r="VLH64" i="7"/>
  <c r="VLI64" i="7"/>
  <c r="VLJ64" i="7"/>
  <c r="VLK64" i="7"/>
  <c r="VLL64" i="7"/>
  <c r="VLM64" i="7"/>
  <c r="VLN64" i="7"/>
  <c r="VLO64" i="7"/>
  <c r="VLP64" i="7"/>
  <c r="VLQ64" i="7"/>
  <c r="VLR64" i="7"/>
  <c r="VLS64" i="7"/>
  <c r="VLT64" i="7"/>
  <c r="VLU64" i="7"/>
  <c r="VLV64" i="7"/>
  <c r="VLW64" i="7"/>
  <c r="VLX64" i="7"/>
  <c r="VLY64" i="7"/>
  <c r="VLZ64" i="7"/>
  <c r="VMA64" i="7"/>
  <c r="VMB64" i="7"/>
  <c r="VMC64" i="7"/>
  <c r="VMD64" i="7"/>
  <c r="VME64" i="7"/>
  <c r="VMF64" i="7"/>
  <c r="VMG64" i="7"/>
  <c r="VMH64" i="7"/>
  <c r="VMI64" i="7"/>
  <c r="VMJ64" i="7"/>
  <c r="VMK64" i="7"/>
  <c r="VML64" i="7"/>
  <c r="VMM64" i="7"/>
  <c r="VMN64" i="7"/>
  <c r="VMO64" i="7"/>
  <c r="VMP64" i="7"/>
  <c r="VMQ64" i="7"/>
  <c r="VMR64" i="7"/>
  <c r="VMS64" i="7"/>
  <c r="VMT64" i="7"/>
  <c r="VMU64" i="7"/>
  <c r="VMV64" i="7"/>
  <c r="VMW64" i="7"/>
  <c r="VMX64" i="7"/>
  <c r="VMY64" i="7"/>
  <c r="VMZ64" i="7"/>
  <c r="VNA64" i="7"/>
  <c r="VNB64" i="7"/>
  <c r="VNC64" i="7"/>
  <c r="VND64" i="7"/>
  <c r="VNE64" i="7"/>
  <c r="VNF64" i="7"/>
  <c r="VNG64" i="7"/>
  <c r="VNH64" i="7"/>
  <c r="VNI64" i="7"/>
  <c r="VNJ64" i="7"/>
  <c r="VNK64" i="7"/>
  <c r="VNL64" i="7"/>
  <c r="VNM64" i="7"/>
  <c r="VNN64" i="7"/>
  <c r="VNO64" i="7"/>
  <c r="VNP64" i="7"/>
  <c r="VNQ64" i="7"/>
  <c r="VNR64" i="7"/>
  <c r="VNS64" i="7"/>
  <c r="VNT64" i="7"/>
  <c r="VNU64" i="7"/>
  <c r="VNV64" i="7"/>
  <c r="VNW64" i="7"/>
  <c r="VNX64" i="7"/>
  <c r="VNY64" i="7"/>
  <c r="VNZ64" i="7"/>
  <c r="VOA64" i="7"/>
  <c r="VOB64" i="7"/>
  <c r="VOC64" i="7"/>
  <c r="VOD64" i="7"/>
  <c r="VOE64" i="7"/>
  <c r="VOF64" i="7"/>
  <c r="VOG64" i="7"/>
  <c r="VOH64" i="7"/>
  <c r="VOI64" i="7"/>
  <c r="VOJ64" i="7"/>
  <c r="VOK64" i="7"/>
  <c r="VOL64" i="7"/>
  <c r="VOM64" i="7"/>
  <c r="VON64" i="7"/>
  <c r="VOO64" i="7"/>
  <c r="VOP64" i="7"/>
  <c r="VOQ64" i="7"/>
  <c r="VOR64" i="7"/>
  <c r="VOS64" i="7"/>
  <c r="VOT64" i="7"/>
  <c r="VOU64" i="7"/>
  <c r="VOV64" i="7"/>
  <c r="VOW64" i="7"/>
  <c r="VOX64" i="7"/>
  <c r="VOY64" i="7"/>
  <c r="VOZ64" i="7"/>
  <c r="VPA64" i="7"/>
  <c r="VPB64" i="7"/>
  <c r="VPC64" i="7"/>
  <c r="VPD64" i="7"/>
  <c r="VPE64" i="7"/>
  <c r="VPF64" i="7"/>
  <c r="VPG64" i="7"/>
  <c r="VPH64" i="7"/>
  <c r="VPI64" i="7"/>
  <c r="VPJ64" i="7"/>
  <c r="VPK64" i="7"/>
  <c r="VPL64" i="7"/>
  <c r="VPM64" i="7"/>
  <c r="VPN64" i="7"/>
  <c r="VPO64" i="7"/>
  <c r="VPP64" i="7"/>
  <c r="VPQ64" i="7"/>
  <c r="VPR64" i="7"/>
  <c r="VPS64" i="7"/>
  <c r="VPT64" i="7"/>
  <c r="VPU64" i="7"/>
  <c r="VPV64" i="7"/>
  <c r="VPW64" i="7"/>
  <c r="VPX64" i="7"/>
  <c r="VPY64" i="7"/>
  <c r="VPZ64" i="7"/>
  <c r="VQA64" i="7"/>
  <c r="VQB64" i="7"/>
  <c r="VQC64" i="7"/>
  <c r="VQD64" i="7"/>
  <c r="VQE64" i="7"/>
  <c r="VQF64" i="7"/>
  <c r="VQG64" i="7"/>
  <c r="VQH64" i="7"/>
  <c r="VQI64" i="7"/>
  <c r="VQJ64" i="7"/>
  <c r="VQK64" i="7"/>
  <c r="VQL64" i="7"/>
  <c r="VQM64" i="7"/>
  <c r="VQN64" i="7"/>
  <c r="VQO64" i="7"/>
  <c r="VQP64" i="7"/>
  <c r="VQQ64" i="7"/>
  <c r="VQR64" i="7"/>
  <c r="VQS64" i="7"/>
  <c r="VQT64" i="7"/>
  <c r="VQU64" i="7"/>
  <c r="VQV64" i="7"/>
  <c r="VQW64" i="7"/>
  <c r="VQX64" i="7"/>
  <c r="VQY64" i="7"/>
  <c r="VQZ64" i="7"/>
  <c r="VRA64" i="7"/>
  <c r="VRB64" i="7"/>
  <c r="VRC64" i="7"/>
  <c r="VRD64" i="7"/>
  <c r="VRE64" i="7"/>
  <c r="VRF64" i="7"/>
  <c r="VRG64" i="7"/>
  <c r="VRH64" i="7"/>
  <c r="VRI64" i="7"/>
  <c r="VRJ64" i="7"/>
  <c r="VRK64" i="7"/>
  <c r="VRL64" i="7"/>
  <c r="VRM64" i="7"/>
  <c r="VRN64" i="7"/>
  <c r="VRO64" i="7"/>
  <c r="VRP64" i="7"/>
  <c r="VRQ64" i="7"/>
  <c r="VRR64" i="7"/>
  <c r="VRS64" i="7"/>
  <c r="VRT64" i="7"/>
  <c r="VRU64" i="7"/>
  <c r="VRV64" i="7"/>
  <c r="VRW64" i="7"/>
  <c r="VRX64" i="7"/>
  <c r="VRY64" i="7"/>
  <c r="VRZ64" i="7"/>
  <c r="VSA64" i="7"/>
  <c r="VSB64" i="7"/>
  <c r="VSC64" i="7"/>
  <c r="VSD64" i="7"/>
  <c r="VSE64" i="7"/>
  <c r="VSF64" i="7"/>
  <c r="VSG64" i="7"/>
  <c r="VSH64" i="7"/>
  <c r="VSI64" i="7"/>
  <c r="VSJ64" i="7"/>
  <c r="VSK64" i="7"/>
  <c r="VSL64" i="7"/>
  <c r="VSM64" i="7"/>
  <c r="VSN64" i="7"/>
  <c r="VSO64" i="7"/>
  <c r="VSP64" i="7"/>
  <c r="VSQ64" i="7"/>
  <c r="VSR64" i="7"/>
  <c r="VSS64" i="7"/>
  <c r="VST64" i="7"/>
  <c r="VSU64" i="7"/>
  <c r="VSV64" i="7"/>
  <c r="VSW64" i="7"/>
  <c r="VSX64" i="7"/>
  <c r="VSY64" i="7"/>
  <c r="VSZ64" i="7"/>
  <c r="VTA64" i="7"/>
  <c r="VTB64" i="7"/>
  <c r="VTC64" i="7"/>
  <c r="VTD64" i="7"/>
  <c r="VTE64" i="7"/>
  <c r="VTF64" i="7"/>
  <c r="VTG64" i="7"/>
  <c r="VTH64" i="7"/>
  <c r="VTI64" i="7"/>
  <c r="VTJ64" i="7"/>
  <c r="VTK64" i="7"/>
  <c r="VTL64" i="7"/>
  <c r="VTM64" i="7"/>
  <c r="VTN64" i="7"/>
  <c r="VTO64" i="7"/>
  <c r="VTP64" i="7"/>
  <c r="VTQ64" i="7"/>
  <c r="VTR64" i="7"/>
  <c r="VTS64" i="7"/>
  <c r="VTT64" i="7"/>
  <c r="VTU64" i="7"/>
  <c r="VTV64" i="7"/>
  <c r="VTW64" i="7"/>
  <c r="VTX64" i="7"/>
  <c r="VTY64" i="7"/>
  <c r="VTZ64" i="7"/>
  <c r="VUA64" i="7"/>
  <c r="VUB64" i="7"/>
  <c r="VUC64" i="7"/>
  <c r="VUD64" i="7"/>
  <c r="VUE64" i="7"/>
  <c r="VUF64" i="7"/>
  <c r="VUG64" i="7"/>
  <c r="VUH64" i="7"/>
  <c r="VUI64" i="7"/>
  <c r="VUJ64" i="7"/>
  <c r="VUK64" i="7"/>
  <c r="VUL64" i="7"/>
  <c r="VUM64" i="7"/>
  <c r="VUN64" i="7"/>
  <c r="VUO64" i="7"/>
  <c r="VUP64" i="7"/>
  <c r="VUQ64" i="7"/>
  <c r="VUR64" i="7"/>
  <c r="VUS64" i="7"/>
  <c r="VUT64" i="7"/>
  <c r="VUU64" i="7"/>
  <c r="VUV64" i="7"/>
  <c r="VUW64" i="7"/>
  <c r="VUX64" i="7"/>
  <c r="VUY64" i="7"/>
  <c r="VUZ64" i="7"/>
  <c r="VVA64" i="7"/>
  <c r="VVB64" i="7"/>
  <c r="VVC64" i="7"/>
  <c r="VVD64" i="7"/>
  <c r="VVE64" i="7"/>
  <c r="VVF64" i="7"/>
  <c r="VVG64" i="7"/>
  <c r="VVH64" i="7"/>
  <c r="VVI64" i="7"/>
  <c r="VVJ64" i="7"/>
  <c r="VVK64" i="7"/>
  <c r="VVL64" i="7"/>
  <c r="VVM64" i="7"/>
  <c r="VVN64" i="7"/>
  <c r="VVO64" i="7"/>
  <c r="VVP64" i="7"/>
  <c r="VVQ64" i="7"/>
  <c r="VVR64" i="7"/>
  <c r="VVS64" i="7"/>
  <c r="VVT64" i="7"/>
  <c r="VVU64" i="7"/>
  <c r="VVV64" i="7"/>
  <c r="VVW64" i="7"/>
  <c r="VVX64" i="7"/>
  <c r="VVY64" i="7"/>
  <c r="VVZ64" i="7"/>
  <c r="VWA64" i="7"/>
  <c r="VWB64" i="7"/>
  <c r="VWC64" i="7"/>
  <c r="VWD64" i="7"/>
  <c r="VWE64" i="7"/>
  <c r="VWF64" i="7"/>
  <c r="VWG64" i="7"/>
  <c r="VWH64" i="7"/>
  <c r="VWI64" i="7"/>
  <c r="VWJ64" i="7"/>
  <c r="VWK64" i="7"/>
  <c r="VWL64" i="7"/>
  <c r="VWM64" i="7"/>
  <c r="VWN64" i="7"/>
  <c r="VWO64" i="7"/>
  <c r="VWP64" i="7"/>
  <c r="VWQ64" i="7"/>
  <c r="VWR64" i="7"/>
  <c r="VWS64" i="7"/>
  <c r="VWT64" i="7"/>
  <c r="VWU64" i="7"/>
  <c r="VWV64" i="7"/>
  <c r="VWW64" i="7"/>
  <c r="VWX64" i="7"/>
  <c r="VWY64" i="7"/>
  <c r="VWZ64" i="7"/>
  <c r="VXA64" i="7"/>
  <c r="VXB64" i="7"/>
  <c r="VXC64" i="7"/>
  <c r="VXD64" i="7"/>
  <c r="VXE64" i="7"/>
  <c r="VXF64" i="7"/>
  <c r="VXG64" i="7"/>
  <c r="VXH64" i="7"/>
  <c r="VXI64" i="7"/>
  <c r="VXJ64" i="7"/>
  <c r="VXK64" i="7"/>
  <c r="VXL64" i="7"/>
  <c r="VXM64" i="7"/>
  <c r="VXN64" i="7"/>
  <c r="VXO64" i="7"/>
  <c r="VXP64" i="7"/>
  <c r="VXQ64" i="7"/>
  <c r="VXR64" i="7"/>
  <c r="VXS64" i="7"/>
  <c r="VXT64" i="7"/>
  <c r="VXU64" i="7"/>
  <c r="VXV64" i="7"/>
  <c r="VXW64" i="7"/>
  <c r="VXX64" i="7"/>
  <c r="VXY64" i="7"/>
  <c r="VXZ64" i="7"/>
  <c r="VYA64" i="7"/>
  <c r="VYB64" i="7"/>
  <c r="VYC64" i="7"/>
  <c r="VYD64" i="7"/>
  <c r="VYE64" i="7"/>
  <c r="VYF64" i="7"/>
  <c r="VYG64" i="7"/>
  <c r="VYH64" i="7"/>
  <c r="VYI64" i="7"/>
  <c r="VYJ64" i="7"/>
  <c r="VYK64" i="7"/>
  <c r="VYL64" i="7"/>
  <c r="VYM64" i="7"/>
  <c r="VYN64" i="7"/>
  <c r="VYO64" i="7"/>
  <c r="VYP64" i="7"/>
  <c r="VYQ64" i="7"/>
  <c r="VYR64" i="7"/>
  <c r="VYS64" i="7"/>
  <c r="VYT64" i="7"/>
  <c r="VYU64" i="7"/>
  <c r="VYV64" i="7"/>
  <c r="VYW64" i="7"/>
  <c r="VYX64" i="7"/>
  <c r="VYY64" i="7"/>
  <c r="VYZ64" i="7"/>
  <c r="VZA64" i="7"/>
  <c r="VZB64" i="7"/>
  <c r="VZC64" i="7"/>
  <c r="VZD64" i="7"/>
  <c r="VZE64" i="7"/>
  <c r="VZF64" i="7"/>
  <c r="VZG64" i="7"/>
  <c r="VZH64" i="7"/>
  <c r="VZI64" i="7"/>
  <c r="VZJ64" i="7"/>
  <c r="VZK64" i="7"/>
  <c r="VZL64" i="7"/>
  <c r="VZM64" i="7"/>
  <c r="VZN64" i="7"/>
  <c r="VZO64" i="7"/>
  <c r="VZP64" i="7"/>
  <c r="VZQ64" i="7"/>
  <c r="VZR64" i="7"/>
  <c r="VZS64" i="7"/>
  <c r="VZT64" i="7"/>
  <c r="VZU64" i="7"/>
  <c r="VZV64" i="7"/>
  <c r="VZW64" i="7"/>
  <c r="VZX64" i="7"/>
  <c r="VZY64" i="7"/>
  <c r="VZZ64" i="7"/>
  <c r="WAA64" i="7"/>
  <c r="WAB64" i="7"/>
  <c r="WAC64" i="7"/>
  <c r="WAD64" i="7"/>
  <c r="WAE64" i="7"/>
  <c r="WAF64" i="7"/>
  <c r="WAG64" i="7"/>
  <c r="WAH64" i="7"/>
  <c r="WAI64" i="7"/>
  <c r="WAJ64" i="7"/>
  <c r="WAK64" i="7"/>
  <c r="WAL64" i="7"/>
  <c r="WAM64" i="7"/>
  <c r="WAN64" i="7"/>
  <c r="WAO64" i="7"/>
  <c r="WAP64" i="7"/>
  <c r="WAQ64" i="7"/>
  <c r="WAR64" i="7"/>
  <c r="WAS64" i="7"/>
  <c r="WAT64" i="7"/>
  <c r="WAU64" i="7"/>
  <c r="WAV64" i="7"/>
  <c r="WAW64" i="7"/>
  <c r="WAX64" i="7"/>
  <c r="WAY64" i="7"/>
  <c r="WAZ64" i="7"/>
  <c r="WBA64" i="7"/>
  <c r="WBB64" i="7"/>
  <c r="WBC64" i="7"/>
  <c r="WBD64" i="7"/>
  <c r="WBE64" i="7"/>
  <c r="WBF64" i="7"/>
  <c r="WBG64" i="7"/>
  <c r="WBH64" i="7"/>
  <c r="WBI64" i="7"/>
  <c r="WBJ64" i="7"/>
  <c r="WBK64" i="7"/>
  <c r="WBL64" i="7"/>
  <c r="WBM64" i="7"/>
  <c r="WBN64" i="7"/>
  <c r="WBO64" i="7"/>
  <c r="WBP64" i="7"/>
  <c r="WBQ64" i="7"/>
  <c r="WBR64" i="7"/>
  <c r="WBS64" i="7"/>
  <c r="WBT64" i="7"/>
  <c r="WBU64" i="7"/>
  <c r="WBV64" i="7"/>
  <c r="WBW64" i="7"/>
  <c r="WBX64" i="7"/>
  <c r="WBY64" i="7"/>
  <c r="WBZ64" i="7"/>
  <c r="WCA64" i="7"/>
  <c r="WCB64" i="7"/>
  <c r="WCC64" i="7"/>
  <c r="WCD64" i="7"/>
  <c r="WCE64" i="7"/>
  <c r="WCF64" i="7"/>
  <c r="WCG64" i="7"/>
  <c r="WCH64" i="7"/>
  <c r="WCI64" i="7"/>
  <c r="WCJ64" i="7"/>
  <c r="WCK64" i="7"/>
  <c r="WCL64" i="7"/>
  <c r="WCM64" i="7"/>
  <c r="WCN64" i="7"/>
  <c r="WCO64" i="7"/>
  <c r="WCP64" i="7"/>
  <c r="WCQ64" i="7"/>
  <c r="WCR64" i="7"/>
  <c r="WCS64" i="7"/>
  <c r="WCT64" i="7"/>
  <c r="WCU64" i="7"/>
  <c r="WCV64" i="7"/>
  <c r="WCW64" i="7"/>
  <c r="WCX64" i="7"/>
  <c r="WCY64" i="7"/>
  <c r="WCZ64" i="7"/>
  <c r="WDA64" i="7"/>
  <c r="WDB64" i="7"/>
  <c r="WDC64" i="7"/>
  <c r="WDD64" i="7"/>
  <c r="WDE64" i="7"/>
  <c r="WDF64" i="7"/>
  <c r="WDG64" i="7"/>
  <c r="WDH64" i="7"/>
  <c r="WDI64" i="7"/>
  <c r="WDJ64" i="7"/>
  <c r="WDK64" i="7"/>
  <c r="WDL64" i="7"/>
  <c r="WDM64" i="7"/>
  <c r="WDN64" i="7"/>
  <c r="WDO64" i="7"/>
  <c r="WDP64" i="7"/>
  <c r="WDQ64" i="7"/>
  <c r="WDR64" i="7"/>
  <c r="WDS64" i="7"/>
  <c r="WDT64" i="7"/>
  <c r="WDU64" i="7"/>
  <c r="WDV64" i="7"/>
  <c r="WDW64" i="7"/>
  <c r="WDX64" i="7"/>
  <c r="WDY64" i="7"/>
  <c r="WDZ64" i="7"/>
  <c r="WEA64" i="7"/>
  <c r="WEB64" i="7"/>
  <c r="WEC64" i="7"/>
  <c r="WED64" i="7"/>
  <c r="WEE64" i="7"/>
  <c r="WEF64" i="7"/>
  <c r="WEG64" i="7"/>
  <c r="WEH64" i="7"/>
  <c r="WEI64" i="7"/>
  <c r="WEJ64" i="7"/>
  <c r="WEK64" i="7"/>
  <c r="WEL64" i="7"/>
  <c r="WEM64" i="7"/>
  <c r="WEN64" i="7"/>
  <c r="WEO64" i="7"/>
  <c r="WEP64" i="7"/>
  <c r="WEQ64" i="7"/>
  <c r="WER64" i="7"/>
  <c r="WES64" i="7"/>
  <c r="WET64" i="7"/>
  <c r="WEU64" i="7"/>
  <c r="WEV64" i="7"/>
  <c r="WEW64" i="7"/>
  <c r="WEX64" i="7"/>
  <c r="WEY64" i="7"/>
  <c r="WEZ64" i="7"/>
  <c r="WFA64" i="7"/>
  <c r="WFB64" i="7"/>
  <c r="WFC64" i="7"/>
  <c r="WFD64" i="7"/>
  <c r="WFE64" i="7"/>
  <c r="WFF64" i="7"/>
  <c r="WFG64" i="7"/>
  <c r="WFH64" i="7"/>
  <c r="WFI64" i="7"/>
  <c r="WFJ64" i="7"/>
  <c r="WFK64" i="7"/>
  <c r="WFL64" i="7"/>
  <c r="WFM64" i="7"/>
  <c r="WFN64" i="7"/>
  <c r="WFO64" i="7"/>
  <c r="WFP64" i="7"/>
  <c r="WFQ64" i="7"/>
  <c r="WFR64" i="7"/>
  <c r="WFS64" i="7"/>
  <c r="WFT64" i="7"/>
  <c r="WFU64" i="7"/>
  <c r="WFV64" i="7"/>
  <c r="WFW64" i="7"/>
  <c r="WFX64" i="7"/>
  <c r="WFY64" i="7"/>
  <c r="WFZ64" i="7"/>
  <c r="WGA64" i="7"/>
  <c r="WGB64" i="7"/>
  <c r="WGC64" i="7"/>
  <c r="WGD64" i="7"/>
  <c r="WGE64" i="7"/>
  <c r="WGF64" i="7"/>
  <c r="WGG64" i="7"/>
  <c r="WGH64" i="7"/>
  <c r="WGI64" i="7"/>
  <c r="WGJ64" i="7"/>
  <c r="WGK64" i="7"/>
  <c r="WGL64" i="7"/>
  <c r="WGM64" i="7"/>
  <c r="WGN64" i="7"/>
  <c r="WGO64" i="7"/>
  <c r="WGP64" i="7"/>
  <c r="WGQ64" i="7"/>
  <c r="WGR64" i="7"/>
  <c r="WGS64" i="7"/>
  <c r="WGT64" i="7"/>
  <c r="WGU64" i="7"/>
  <c r="WGV64" i="7"/>
  <c r="WGW64" i="7"/>
  <c r="WGX64" i="7"/>
  <c r="WGY64" i="7"/>
  <c r="WGZ64" i="7"/>
  <c r="WHA64" i="7"/>
  <c r="WHB64" i="7"/>
  <c r="WHC64" i="7"/>
  <c r="WHD64" i="7"/>
  <c r="WHE64" i="7"/>
  <c r="WHF64" i="7"/>
  <c r="WHG64" i="7"/>
  <c r="WHH64" i="7"/>
  <c r="WHI64" i="7"/>
  <c r="WHJ64" i="7"/>
  <c r="WHK64" i="7"/>
  <c r="WHL64" i="7"/>
  <c r="WHM64" i="7"/>
  <c r="WHN64" i="7"/>
  <c r="WHO64" i="7"/>
  <c r="WHP64" i="7"/>
  <c r="WHQ64" i="7"/>
  <c r="WHR64" i="7"/>
  <c r="WHS64" i="7"/>
  <c r="WHT64" i="7"/>
  <c r="WHU64" i="7"/>
  <c r="WHV64" i="7"/>
  <c r="WHW64" i="7"/>
  <c r="WHX64" i="7"/>
  <c r="WHY64" i="7"/>
  <c r="WHZ64" i="7"/>
  <c r="WIA64" i="7"/>
  <c r="WIB64" i="7"/>
  <c r="WIC64" i="7"/>
  <c r="WID64" i="7"/>
  <c r="WIE64" i="7"/>
  <c r="WIF64" i="7"/>
  <c r="WIG64" i="7"/>
  <c r="WIH64" i="7"/>
  <c r="WII64" i="7"/>
  <c r="WIJ64" i="7"/>
  <c r="WIK64" i="7"/>
  <c r="WIL64" i="7"/>
  <c r="WIM64" i="7"/>
  <c r="WIN64" i="7"/>
  <c r="WIO64" i="7"/>
  <c r="WIP64" i="7"/>
  <c r="WIQ64" i="7"/>
  <c r="WIR64" i="7"/>
  <c r="WIS64" i="7"/>
  <c r="WIT64" i="7"/>
  <c r="WIU64" i="7"/>
  <c r="WIV64" i="7"/>
  <c r="WIW64" i="7"/>
  <c r="WIX64" i="7"/>
  <c r="WIY64" i="7"/>
  <c r="WIZ64" i="7"/>
  <c r="WJA64" i="7"/>
  <c r="WJB64" i="7"/>
  <c r="WJC64" i="7"/>
  <c r="WJD64" i="7"/>
  <c r="WJE64" i="7"/>
  <c r="WJF64" i="7"/>
  <c r="WJG64" i="7"/>
  <c r="WJH64" i="7"/>
  <c r="WJI64" i="7"/>
  <c r="WJJ64" i="7"/>
  <c r="WJK64" i="7"/>
  <c r="WJL64" i="7"/>
  <c r="WJM64" i="7"/>
  <c r="WJN64" i="7"/>
  <c r="WJO64" i="7"/>
  <c r="WJP64" i="7"/>
  <c r="WJQ64" i="7"/>
  <c r="WJR64" i="7"/>
  <c r="WJS64" i="7"/>
  <c r="WJT64" i="7"/>
  <c r="WJU64" i="7"/>
  <c r="WJV64" i="7"/>
  <c r="WJW64" i="7"/>
  <c r="WJX64" i="7"/>
  <c r="WJY64" i="7"/>
  <c r="WJZ64" i="7"/>
  <c r="WKA64" i="7"/>
  <c r="WKB64" i="7"/>
  <c r="WKC64" i="7"/>
  <c r="WKD64" i="7"/>
  <c r="WKE64" i="7"/>
  <c r="WKF64" i="7"/>
  <c r="WKG64" i="7"/>
  <c r="WKH64" i="7"/>
  <c r="WKI64" i="7"/>
  <c r="WKJ64" i="7"/>
  <c r="WKK64" i="7"/>
  <c r="WKL64" i="7"/>
  <c r="WKM64" i="7"/>
  <c r="WKN64" i="7"/>
  <c r="WKO64" i="7"/>
  <c r="WKP64" i="7"/>
  <c r="WKQ64" i="7"/>
  <c r="WKR64" i="7"/>
  <c r="WKS64" i="7"/>
  <c r="WKT64" i="7"/>
  <c r="WKU64" i="7"/>
  <c r="WKV64" i="7"/>
  <c r="WKW64" i="7"/>
  <c r="WKX64" i="7"/>
  <c r="WKY64" i="7"/>
  <c r="WKZ64" i="7"/>
  <c r="WLA64" i="7"/>
  <c r="WLB64" i="7"/>
  <c r="WLC64" i="7"/>
  <c r="WLD64" i="7"/>
  <c r="WLE64" i="7"/>
  <c r="WLF64" i="7"/>
  <c r="WLG64" i="7"/>
  <c r="WLH64" i="7"/>
  <c r="WLI64" i="7"/>
  <c r="WLJ64" i="7"/>
  <c r="WLK64" i="7"/>
  <c r="WLL64" i="7"/>
  <c r="WLM64" i="7"/>
  <c r="WLN64" i="7"/>
  <c r="WLO64" i="7"/>
  <c r="WLP64" i="7"/>
  <c r="WLQ64" i="7"/>
  <c r="WLR64" i="7"/>
  <c r="WLS64" i="7"/>
  <c r="WLT64" i="7"/>
  <c r="WLU64" i="7"/>
  <c r="WLV64" i="7"/>
  <c r="WLW64" i="7"/>
  <c r="WLX64" i="7"/>
  <c r="WLY64" i="7"/>
  <c r="WLZ64" i="7"/>
  <c r="WMA64" i="7"/>
  <c r="WMB64" i="7"/>
  <c r="WMC64" i="7"/>
  <c r="WMD64" i="7"/>
  <c r="WME64" i="7"/>
  <c r="WMF64" i="7"/>
  <c r="WMG64" i="7"/>
  <c r="WMH64" i="7"/>
  <c r="WMI64" i="7"/>
  <c r="WMJ64" i="7"/>
  <c r="WMK64" i="7"/>
  <c r="WML64" i="7"/>
  <c r="WMM64" i="7"/>
  <c r="WMN64" i="7"/>
  <c r="WMO64" i="7"/>
  <c r="WMP64" i="7"/>
  <c r="WMQ64" i="7"/>
  <c r="WMR64" i="7"/>
  <c r="WMS64" i="7"/>
  <c r="WMT64" i="7"/>
  <c r="WMU64" i="7"/>
  <c r="WMV64" i="7"/>
  <c r="WMW64" i="7"/>
  <c r="WMX64" i="7"/>
  <c r="WMY64" i="7"/>
  <c r="WMZ64" i="7"/>
  <c r="WNA64" i="7"/>
  <c r="WNB64" i="7"/>
  <c r="WNC64" i="7"/>
  <c r="WND64" i="7"/>
  <c r="WNE64" i="7"/>
  <c r="WNF64" i="7"/>
  <c r="WNG64" i="7"/>
  <c r="WNH64" i="7"/>
  <c r="WNI64" i="7"/>
  <c r="WNJ64" i="7"/>
  <c r="WNK64" i="7"/>
  <c r="WNL64" i="7"/>
  <c r="WNM64" i="7"/>
  <c r="WNN64" i="7"/>
  <c r="WNO64" i="7"/>
  <c r="WNP64" i="7"/>
  <c r="WNQ64" i="7"/>
  <c r="WNR64" i="7"/>
  <c r="WNS64" i="7"/>
  <c r="WNT64" i="7"/>
  <c r="WNU64" i="7"/>
  <c r="WNV64" i="7"/>
  <c r="WNW64" i="7"/>
  <c r="WNX64" i="7"/>
  <c r="WNY64" i="7"/>
  <c r="WNZ64" i="7"/>
  <c r="WOA64" i="7"/>
  <c r="WOB64" i="7"/>
  <c r="WOC64" i="7"/>
  <c r="WOD64" i="7"/>
  <c r="WOE64" i="7"/>
  <c r="WOF64" i="7"/>
  <c r="WOG64" i="7"/>
  <c r="WOH64" i="7"/>
  <c r="WOI64" i="7"/>
  <c r="WOJ64" i="7"/>
  <c r="WOK64" i="7"/>
  <c r="WOL64" i="7"/>
  <c r="WOM64" i="7"/>
  <c r="WON64" i="7"/>
  <c r="WOO64" i="7"/>
  <c r="WOP64" i="7"/>
  <c r="WOQ64" i="7"/>
  <c r="WOR64" i="7"/>
  <c r="WOS64" i="7"/>
  <c r="WOT64" i="7"/>
  <c r="WOU64" i="7"/>
  <c r="WOV64" i="7"/>
  <c r="WOW64" i="7"/>
  <c r="WOX64" i="7"/>
  <c r="WOY64" i="7"/>
  <c r="WOZ64" i="7"/>
  <c r="WPA64" i="7"/>
  <c r="WPB64" i="7"/>
  <c r="WPC64" i="7"/>
  <c r="WPD64" i="7"/>
  <c r="WPE64" i="7"/>
  <c r="WPF64" i="7"/>
  <c r="WPG64" i="7"/>
  <c r="WPH64" i="7"/>
  <c r="WPI64" i="7"/>
  <c r="WPJ64" i="7"/>
  <c r="WPK64" i="7"/>
  <c r="WPL64" i="7"/>
  <c r="WPM64" i="7"/>
  <c r="WPN64" i="7"/>
  <c r="WPO64" i="7"/>
  <c r="WPP64" i="7"/>
  <c r="WPQ64" i="7"/>
  <c r="WPR64" i="7"/>
  <c r="WPS64" i="7"/>
  <c r="WPT64" i="7"/>
  <c r="WPU64" i="7"/>
  <c r="WPV64" i="7"/>
  <c r="WPW64" i="7"/>
  <c r="WPX64" i="7"/>
  <c r="WPY64" i="7"/>
  <c r="WPZ64" i="7"/>
  <c r="WQA64" i="7"/>
  <c r="WQB64" i="7"/>
  <c r="WQC64" i="7"/>
  <c r="WQD64" i="7"/>
  <c r="WQE64" i="7"/>
  <c r="WQF64" i="7"/>
  <c r="WQG64" i="7"/>
  <c r="WQH64" i="7"/>
  <c r="WQI64" i="7"/>
  <c r="WQJ64" i="7"/>
  <c r="WQK64" i="7"/>
  <c r="WQL64" i="7"/>
  <c r="WQM64" i="7"/>
  <c r="WQN64" i="7"/>
  <c r="WQO64" i="7"/>
  <c r="WQP64" i="7"/>
  <c r="WQQ64" i="7"/>
  <c r="WQR64" i="7"/>
  <c r="WQS64" i="7"/>
  <c r="WQT64" i="7"/>
  <c r="WQU64" i="7"/>
  <c r="WQV64" i="7"/>
  <c r="WQW64" i="7"/>
  <c r="WQX64" i="7"/>
  <c r="WQY64" i="7"/>
  <c r="WQZ64" i="7"/>
  <c r="WRA64" i="7"/>
  <c r="WRB64" i="7"/>
  <c r="WRC64" i="7"/>
  <c r="WRD64" i="7"/>
  <c r="WRE64" i="7"/>
  <c r="WRF64" i="7"/>
  <c r="WRG64" i="7"/>
  <c r="WRH64" i="7"/>
  <c r="WRI64" i="7"/>
  <c r="WRJ64" i="7"/>
  <c r="WRK64" i="7"/>
  <c r="WRL64" i="7"/>
  <c r="WRM64" i="7"/>
  <c r="WRN64" i="7"/>
  <c r="WRO64" i="7"/>
  <c r="WRP64" i="7"/>
  <c r="WRQ64" i="7"/>
  <c r="WRR64" i="7"/>
  <c r="WRS64" i="7"/>
  <c r="WRT64" i="7"/>
  <c r="WRU64" i="7"/>
  <c r="WRV64" i="7"/>
  <c r="WRW64" i="7"/>
  <c r="WRX64" i="7"/>
  <c r="WRY64" i="7"/>
  <c r="WRZ64" i="7"/>
  <c r="WSA64" i="7"/>
  <c r="WSB64" i="7"/>
  <c r="WSC64" i="7"/>
  <c r="WSD64" i="7"/>
  <c r="WSE64" i="7"/>
  <c r="WSF64" i="7"/>
  <c r="WSG64" i="7"/>
  <c r="WSH64" i="7"/>
  <c r="WSI64" i="7"/>
  <c r="WSJ64" i="7"/>
  <c r="WSK64" i="7"/>
  <c r="WSL64" i="7"/>
  <c r="WSM64" i="7"/>
  <c r="WSN64" i="7"/>
  <c r="WSO64" i="7"/>
  <c r="WSP64" i="7"/>
  <c r="WSQ64" i="7"/>
  <c r="WSR64" i="7"/>
  <c r="WSS64" i="7"/>
  <c r="WST64" i="7"/>
  <c r="WSU64" i="7"/>
  <c r="WSV64" i="7"/>
  <c r="WSW64" i="7"/>
  <c r="WSX64" i="7"/>
  <c r="WSY64" i="7"/>
  <c r="WSZ64" i="7"/>
  <c r="WTA64" i="7"/>
  <c r="WTB64" i="7"/>
  <c r="WTC64" i="7"/>
  <c r="WTD64" i="7"/>
  <c r="WTE64" i="7"/>
  <c r="WTF64" i="7"/>
  <c r="WTG64" i="7"/>
  <c r="WTH64" i="7"/>
  <c r="WTI64" i="7"/>
  <c r="WTJ64" i="7"/>
  <c r="WTK64" i="7"/>
  <c r="WTL64" i="7"/>
  <c r="WTM64" i="7"/>
  <c r="WTN64" i="7"/>
  <c r="WTO64" i="7"/>
  <c r="WTP64" i="7"/>
  <c r="WTQ64" i="7"/>
  <c r="WTR64" i="7"/>
  <c r="WTS64" i="7"/>
  <c r="WTT64" i="7"/>
  <c r="WTU64" i="7"/>
  <c r="WTV64" i="7"/>
  <c r="WTW64" i="7"/>
  <c r="WTX64" i="7"/>
  <c r="WTY64" i="7"/>
  <c r="WTZ64" i="7"/>
  <c r="WUA64" i="7"/>
  <c r="WUB64" i="7"/>
  <c r="WUC64" i="7"/>
  <c r="WUD64" i="7"/>
  <c r="WUE64" i="7"/>
  <c r="WUF64" i="7"/>
  <c r="WUG64" i="7"/>
  <c r="WUH64" i="7"/>
  <c r="WUI64" i="7"/>
  <c r="WUJ64" i="7"/>
  <c r="WUK64" i="7"/>
  <c r="WUL64" i="7"/>
  <c r="WUM64" i="7"/>
  <c r="WUN64" i="7"/>
  <c r="WUO64" i="7"/>
  <c r="WUP64" i="7"/>
  <c r="WUQ64" i="7"/>
  <c r="WUR64" i="7"/>
  <c r="WUS64" i="7"/>
  <c r="WUT64" i="7"/>
  <c r="WUU64" i="7"/>
  <c r="WUV64" i="7"/>
  <c r="WUW64" i="7"/>
  <c r="WUX64" i="7"/>
  <c r="WUY64" i="7"/>
  <c r="WUZ64" i="7"/>
  <c r="WVA64" i="7"/>
  <c r="WVB64" i="7"/>
  <c r="WVC64" i="7"/>
  <c r="WVD64" i="7"/>
  <c r="WVE64" i="7"/>
  <c r="WVF64" i="7"/>
  <c r="WVG64" i="7"/>
  <c r="WVH64" i="7"/>
  <c r="WVI64" i="7"/>
  <c r="WVJ64" i="7"/>
  <c r="WVK64" i="7"/>
  <c r="WVL64" i="7"/>
  <c r="WVM64" i="7"/>
  <c r="WVN64" i="7"/>
  <c r="WVO64" i="7"/>
  <c r="WVP64" i="7"/>
  <c r="WVQ64" i="7"/>
  <c r="WVR64" i="7"/>
  <c r="WVS64" i="7"/>
  <c r="WVT64" i="7"/>
  <c r="WVU64" i="7"/>
  <c r="WVV64" i="7"/>
  <c r="WVW64" i="7"/>
  <c r="WVX64" i="7"/>
  <c r="WVY64" i="7"/>
  <c r="WVZ64" i="7"/>
  <c r="WWA64" i="7"/>
  <c r="WWB64" i="7"/>
  <c r="WWC64" i="7"/>
  <c r="WWD64" i="7"/>
  <c r="WWE64" i="7"/>
  <c r="WWF64" i="7"/>
  <c r="WWG64" i="7"/>
  <c r="WWH64" i="7"/>
  <c r="WWI64" i="7"/>
  <c r="WWJ64" i="7"/>
  <c r="WWK64" i="7"/>
  <c r="WWL64" i="7"/>
  <c r="WWM64" i="7"/>
  <c r="WWN64" i="7"/>
  <c r="WWO64" i="7"/>
  <c r="WWP64" i="7"/>
  <c r="WWQ64" i="7"/>
  <c r="WWR64" i="7"/>
  <c r="WWS64" i="7"/>
  <c r="WWT64" i="7"/>
  <c r="WWU64" i="7"/>
  <c r="WWV64" i="7"/>
  <c r="WWW64" i="7"/>
  <c r="WWX64" i="7"/>
  <c r="WWY64" i="7"/>
  <c r="WWZ64" i="7"/>
  <c r="WXA64" i="7"/>
  <c r="WXB64" i="7"/>
  <c r="WXC64" i="7"/>
  <c r="WXD64" i="7"/>
  <c r="WXE64" i="7"/>
  <c r="WXF64" i="7"/>
  <c r="WXG64" i="7"/>
  <c r="WXH64" i="7"/>
  <c r="WXI64" i="7"/>
  <c r="WXJ64" i="7"/>
  <c r="WXK64" i="7"/>
  <c r="WXL64" i="7"/>
  <c r="WXM64" i="7"/>
  <c r="WXN64" i="7"/>
  <c r="WXO64" i="7"/>
  <c r="WXP64" i="7"/>
  <c r="WXQ64" i="7"/>
  <c r="WXR64" i="7"/>
  <c r="WXS64" i="7"/>
  <c r="WXT64" i="7"/>
  <c r="WXU64" i="7"/>
  <c r="WXV64" i="7"/>
  <c r="WXW64" i="7"/>
  <c r="WXX64" i="7"/>
  <c r="WXY64" i="7"/>
  <c r="WXZ64" i="7"/>
  <c r="WYA64" i="7"/>
  <c r="WYB64" i="7"/>
  <c r="WYC64" i="7"/>
  <c r="WYD64" i="7"/>
  <c r="WYE64" i="7"/>
  <c r="WYF64" i="7"/>
  <c r="WYG64" i="7"/>
  <c r="WYH64" i="7"/>
  <c r="WYI64" i="7"/>
  <c r="WYJ64" i="7"/>
  <c r="WYK64" i="7"/>
  <c r="WYL64" i="7"/>
  <c r="WYM64" i="7"/>
  <c r="WYN64" i="7"/>
  <c r="WYO64" i="7"/>
  <c r="WYP64" i="7"/>
  <c r="WYQ64" i="7"/>
  <c r="WYR64" i="7"/>
  <c r="WYS64" i="7"/>
  <c r="WYT64" i="7"/>
  <c r="WYU64" i="7"/>
  <c r="WYV64" i="7"/>
  <c r="WYW64" i="7"/>
  <c r="WYX64" i="7"/>
  <c r="WYY64" i="7"/>
  <c r="WYZ64" i="7"/>
  <c r="WZA64" i="7"/>
  <c r="WZB64" i="7"/>
  <c r="WZC64" i="7"/>
  <c r="WZD64" i="7"/>
  <c r="WZE64" i="7"/>
  <c r="WZF64" i="7"/>
  <c r="WZG64" i="7"/>
  <c r="WZH64" i="7"/>
  <c r="WZI64" i="7"/>
  <c r="WZJ64" i="7"/>
  <c r="WZK64" i="7"/>
  <c r="WZL64" i="7"/>
  <c r="WZM64" i="7"/>
  <c r="WZN64" i="7"/>
  <c r="WZO64" i="7"/>
  <c r="WZP64" i="7"/>
  <c r="WZQ64" i="7"/>
  <c r="WZR64" i="7"/>
  <c r="WZS64" i="7"/>
  <c r="WZT64" i="7"/>
  <c r="WZU64" i="7"/>
  <c r="WZV64" i="7"/>
  <c r="WZW64" i="7"/>
  <c r="WZX64" i="7"/>
  <c r="WZY64" i="7"/>
  <c r="WZZ64" i="7"/>
  <c r="XAA64" i="7"/>
  <c r="XAB64" i="7"/>
  <c r="XAC64" i="7"/>
  <c r="XAD64" i="7"/>
  <c r="XAE64" i="7"/>
  <c r="XAF64" i="7"/>
  <c r="XAG64" i="7"/>
  <c r="XAH64" i="7"/>
  <c r="XAI64" i="7"/>
  <c r="XAJ64" i="7"/>
  <c r="XAK64" i="7"/>
  <c r="XAL64" i="7"/>
  <c r="XAM64" i="7"/>
  <c r="XAN64" i="7"/>
  <c r="XAO64" i="7"/>
  <c r="XAP64" i="7"/>
  <c r="XAQ64" i="7"/>
  <c r="XAR64" i="7"/>
  <c r="XAS64" i="7"/>
  <c r="XAT64" i="7"/>
  <c r="XAU64" i="7"/>
  <c r="XAV64" i="7"/>
  <c r="XAW64" i="7"/>
  <c r="XAX64" i="7"/>
  <c r="XAY64" i="7"/>
  <c r="XAZ64" i="7"/>
  <c r="XBA64" i="7"/>
  <c r="XBB64" i="7"/>
  <c r="XBC64" i="7"/>
  <c r="XBD64" i="7"/>
  <c r="XBE64" i="7"/>
  <c r="XBF64" i="7"/>
  <c r="XBG64" i="7"/>
  <c r="XBH64" i="7"/>
  <c r="XBI64" i="7"/>
  <c r="XBJ64" i="7"/>
  <c r="XBK64" i="7"/>
  <c r="XBL64" i="7"/>
  <c r="XBM64" i="7"/>
  <c r="XBN64" i="7"/>
  <c r="XBO64" i="7"/>
  <c r="XBP64" i="7"/>
  <c r="XBQ64" i="7"/>
  <c r="XBR64" i="7"/>
  <c r="XBS64" i="7"/>
  <c r="XBT64" i="7"/>
  <c r="XBU64" i="7"/>
  <c r="XBV64" i="7"/>
  <c r="XBW64" i="7"/>
  <c r="XBX64" i="7"/>
  <c r="XBY64" i="7"/>
  <c r="XBZ64" i="7"/>
  <c r="XCA64" i="7"/>
  <c r="XCB64" i="7"/>
  <c r="XCC64" i="7"/>
  <c r="XCD64" i="7"/>
  <c r="XCE64" i="7"/>
  <c r="XCF64" i="7"/>
  <c r="XCG64" i="7"/>
  <c r="XCH64" i="7"/>
  <c r="XCI64" i="7"/>
  <c r="XCJ64" i="7"/>
  <c r="XCK64" i="7"/>
  <c r="XCL64" i="7"/>
  <c r="XCM64" i="7"/>
  <c r="XCN64" i="7"/>
  <c r="XCO64" i="7"/>
  <c r="XCP64" i="7"/>
  <c r="XCQ64" i="7"/>
  <c r="XCR64" i="7"/>
  <c r="XCS64" i="7"/>
  <c r="XCT64" i="7"/>
  <c r="XCU64" i="7"/>
  <c r="XCV64" i="7"/>
  <c r="XCW64" i="7"/>
  <c r="XCX64" i="7"/>
  <c r="XCY64" i="7"/>
  <c r="XCZ64" i="7"/>
  <c r="XDA64" i="7"/>
  <c r="XDB64" i="7"/>
  <c r="XDC64" i="7"/>
  <c r="XDD64" i="7"/>
  <c r="XDE64" i="7"/>
  <c r="XDF64" i="7"/>
  <c r="XDG64" i="7"/>
  <c r="XDH64" i="7"/>
  <c r="XDI64" i="7"/>
  <c r="XDJ64" i="7"/>
  <c r="XDK64" i="7"/>
  <c r="XDL64" i="7"/>
  <c r="XDM64" i="7"/>
  <c r="XDN64" i="7"/>
  <c r="XDO64" i="7"/>
  <c r="XDP64" i="7"/>
  <c r="XDQ64" i="7"/>
  <c r="XDR64" i="7"/>
  <c r="XDS64" i="7"/>
  <c r="XDT64" i="7"/>
  <c r="XDU64" i="7"/>
  <c r="XDV64" i="7"/>
  <c r="XDW64" i="7"/>
  <c r="XDX64" i="7"/>
  <c r="XDY64" i="7"/>
  <c r="XDZ64" i="7"/>
  <c r="XEA64" i="7"/>
  <c r="XEB64" i="7"/>
  <c r="XEC64" i="7"/>
  <c r="XED64" i="7"/>
  <c r="XEE64" i="7"/>
  <c r="XEF64" i="7"/>
  <c r="XEG64" i="7"/>
  <c r="XEH64" i="7"/>
  <c r="XEI64" i="7"/>
  <c r="XEJ64" i="7"/>
  <c r="XEK64" i="7"/>
  <c r="XEL64" i="7"/>
  <c r="XEM64" i="7"/>
  <c r="XEN64" i="7"/>
  <c r="XEO64" i="7"/>
  <c r="XEP64" i="7"/>
  <c r="XEQ64" i="7"/>
  <c r="XER64" i="7"/>
  <c r="XES64" i="7"/>
  <c r="XET64" i="7"/>
  <c r="XEU64" i="7"/>
  <c r="XEV64" i="7"/>
  <c r="XEW64" i="7"/>
  <c r="XEX64" i="7"/>
  <c r="XEY64" i="7"/>
  <c r="XEZ64" i="7"/>
  <c r="XFA64" i="7"/>
  <c r="XFB64" i="7"/>
  <c r="XFC64" i="7"/>
  <c r="XFD64" i="7"/>
  <c r="F53" i="7"/>
  <c r="G53" i="7" s="1"/>
  <c r="H53" i="7" s="1"/>
  <c r="I53" i="7" s="1"/>
  <c r="J53" i="7" s="1"/>
  <c r="K53" i="7" s="1"/>
  <c r="L53" i="7" s="1"/>
  <c r="M53" i="7" s="1"/>
  <c r="N53" i="7" s="1"/>
  <c r="O53" i="7" s="1"/>
  <c r="P53" i="7" s="1"/>
  <c r="Q53" i="7" s="1"/>
  <c r="R53" i="7" s="1"/>
  <c r="S53" i="7" s="1"/>
  <c r="F52" i="7"/>
  <c r="G52" i="7" s="1"/>
  <c r="H52" i="7" s="1"/>
  <c r="I52" i="7" s="1"/>
  <c r="J52" i="7" s="1"/>
  <c r="K52" i="7" s="1"/>
  <c r="L52" i="7" s="1"/>
  <c r="M52" i="7" s="1"/>
  <c r="N52" i="7" s="1"/>
  <c r="O52" i="7" s="1"/>
  <c r="P52" i="7" s="1"/>
  <c r="Q52" i="7" s="1"/>
  <c r="R52" i="7" s="1"/>
  <c r="S52" i="7" s="1"/>
  <c r="E55" i="7"/>
  <c r="N229" i="20"/>
  <c r="N228" i="20"/>
  <c r="N227" i="20"/>
  <c r="AD199" i="20"/>
  <c r="C45" i="4" l="1"/>
  <c r="E45" i="4"/>
  <c r="S45" i="4"/>
  <c r="T13" i="4"/>
  <c r="S49" i="4"/>
  <c r="E92" i="4"/>
  <c r="E90" i="4"/>
  <c r="E89" i="4"/>
  <c r="E88" i="4"/>
  <c r="E84" i="4"/>
  <c r="E83" i="4"/>
  <c r="E80" i="4"/>
  <c r="E79" i="4"/>
  <c r="E69" i="4"/>
  <c r="E57" i="4"/>
  <c r="E56" i="4"/>
  <c r="E52" i="4"/>
  <c r="E51" i="4"/>
  <c r="E50" i="4"/>
  <c r="E49" i="4"/>
  <c r="E48" i="4"/>
  <c r="E47" i="4"/>
  <c r="E46" i="4"/>
  <c r="E43" i="4"/>
  <c r="E40" i="4"/>
  <c r="E27" i="4"/>
  <c r="E25" i="4"/>
  <c r="E24" i="4"/>
  <c r="E23" i="4"/>
  <c r="E19" i="4"/>
  <c r="E17" i="4"/>
  <c r="L76" i="4"/>
  <c r="G4" i="4"/>
  <c r="C65" i="4"/>
  <c r="E65" i="4" s="1"/>
  <c r="C43" i="4"/>
  <c r="C20" i="4"/>
  <c r="C21" i="4" s="1"/>
  <c r="E21" i="4" s="1"/>
  <c r="C13" i="4"/>
  <c r="E13" i="4" s="1"/>
  <c r="AA938" i="3"/>
  <c r="AA950" i="3"/>
  <c r="AA919" i="3"/>
  <c r="AA920" i="3"/>
  <c r="C7" i="7"/>
  <c r="C9" i="7" s="1"/>
  <c r="O729" i="3"/>
  <c r="O730" i="3" s="1"/>
  <c r="W629" i="3"/>
  <c r="W630" i="3" s="1"/>
  <c r="Q628" i="3"/>
  <c r="Q629" i="3" s="1"/>
  <c r="Q630" i="3" s="1"/>
  <c r="AO632" i="3"/>
  <c r="AO630" i="3"/>
  <c r="AO629" i="3"/>
  <c r="AO628" i="3"/>
  <c r="T627" i="3"/>
  <c r="Q627" i="3"/>
  <c r="W558" i="3"/>
  <c r="W559" i="3" s="1"/>
  <c r="T559" i="3"/>
  <c r="T555" i="3"/>
  <c r="T556" i="3"/>
  <c r="T557" i="3"/>
  <c r="T558" i="3"/>
  <c r="T554" i="3"/>
  <c r="T628" i="3" l="1"/>
  <c r="E20" i="4"/>
  <c r="AD67" i="15"/>
  <c r="Y67" i="15"/>
  <c r="BE103" i="3" l="1"/>
  <c r="AC216" i="23"/>
  <c r="Y216" i="23"/>
  <c r="U216" i="23"/>
  <c r="BQ102" i="23"/>
  <c r="BQ101" i="23"/>
  <c r="N11" i="23"/>
  <c r="W879" i="3"/>
  <c r="W855" i="3"/>
  <c r="W847" i="3"/>
  <c r="W862" i="3"/>
  <c r="W872" i="3"/>
  <c r="L44" i="21"/>
  <c r="M44" i="21"/>
  <c r="N44" i="21"/>
  <c r="L45" i="21"/>
  <c r="M45" i="21"/>
  <c r="N45" i="21"/>
  <c r="L46" i="21"/>
  <c r="M46" i="2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7" i="21" l="1"/>
  <c r="T45" i="21"/>
  <c r="U45" i="21"/>
  <c r="R53" i="21" a="1"/>
  <c r="R53" i="21" s="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T44" i="21"/>
  <c r="P47" i="21" a="1"/>
  <c r="P47" i="21" s="1"/>
  <c r="O53" i="21"/>
  <c r="U44" i="21"/>
  <c r="U54" i="21"/>
  <c r="O52" i="21"/>
  <c r="R50" i="21" a="1"/>
  <c r="R50" i="21" s="1"/>
  <c r="T54" i="21"/>
  <c r="S54" i="21"/>
  <c r="R54" i="21" a="1"/>
  <c r="R54" i="21" s="1"/>
  <c r="S53" i="21"/>
  <c r="U52" i="21"/>
  <c r="P54" i="21" a="1"/>
  <c r="P54" i="21" s="1"/>
  <c r="T52" i="2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R44" i="21" l="1" a="1"/>
  <c r="R44" i="21" s="1"/>
  <c r="R45" i="21" a="1"/>
  <c r="R45" i="21" s="1"/>
  <c r="R46" i="21" a="1"/>
  <c r="R46" i="21" s="1"/>
  <c r="BE12" i="3"/>
  <c r="BE13" i="3" s="1"/>
  <c r="BE14" i="3" s="1"/>
  <c r="BE15" i="3" s="1"/>
  <c r="C39" i="21"/>
  <c r="G136" i="21"/>
  <c r="AO22" i="20"/>
  <c r="AO17" i="20"/>
  <c r="AO13" i="20"/>
  <c r="AO25" i="20"/>
  <c r="AG444" i="3" l="1"/>
  <c r="AG441" i="3"/>
  <c r="BN150" i="3" l="1"/>
  <c r="C178" i="20" l="1"/>
  <c r="U374" i="20"/>
  <c r="L100" i="21"/>
  <c r="X752" i="3" l="1"/>
  <c r="AH752" i="3"/>
  <c r="BF751" i="3"/>
  <c r="BS751" i="3"/>
  <c r="BS752" i="3"/>
  <c r="AJ1020" i="3"/>
  <c r="BF740" i="3" l="1"/>
  <c r="AH751"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1" i="8"/>
  <c r="J31" i="8"/>
  <c r="I32" i="8"/>
  <c r="J32" i="8"/>
  <c r="I33" i="8"/>
  <c r="J33" i="8"/>
  <c r="I34" i="8"/>
  <c r="J34" i="8"/>
  <c r="I35" i="8"/>
  <c r="J35" i="8"/>
  <c r="I36" i="8"/>
  <c r="J36" i="8"/>
  <c r="I37" i="8"/>
  <c r="J37" i="8"/>
  <c r="D28" i="8"/>
  <c r="D29" i="8"/>
  <c r="D30" i="8"/>
  <c r="I30" i="8" s="1"/>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6" i="8"/>
  <c r="I26" i="8"/>
  <c r="J24" i="8"/>
  <c r="I24" i="8"/>
  <c r="J22" i="8"/>
  <c r="I22" i="8"/>
  <c r="J20" i="8"/>
  <c r="I20" i="8"/>
  <c r="J17" i="8"/>
  <c r="I17" i="8"/>
  <c r="J15" i="8"/>
  <c r="I15" i="8"/>
  <c r="J14" i="8"/>
  <c r="I14" i="8"/>
  <c r="J12" i="8"/>
  <c r="I12" i="8"/>
  <c r="J10" i="8"/>
  <c r="I10" i="8"/>
  <c r="J8" i="8"/>
  <c r="I8" i="8"/>
  <c r="J6" i="8"/>
  <c r="I6" i="8"/>
  <c r="J5" i="8"/>
  <c r="I5" i="8"/>
  <c r="AH750" i="3"/>
  <c r="AH749" i="3"/>
  <c r="AH748" i="3"/>
  <c r="AH747" i="3"/>
  <c r="AH746" i="3"/>
  <c r="AH745"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J30" i="8" l="1"/>
  <c r="X742" i="3"/>
  <c r="AH742" i="3" s="1"/>
  <c r="X743" i="3"/>
  <c r="AH743" i="3" s="1"/>
  <c r="X744" i="3"/>
  <c r="AH744" i="3" s="1"/>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S24" i="4" s="1"/>
  <c r="E24" i="13" s="1"/>
  <c r="AJ994" i="3"/>
  <c r="AF1026" i="3"/>
  <c r="AF1021" i="3"/>
  <c r="E40" i="7"/>
  <c r="A40" i="7"/>
  <c r="E33" i="7"/>
  <c r="E32" i="7"/>
  <c r="E31" i="7"/>
  <c r="E30" i="7"/>
  <c r="E29" i="7"/>
  <c r="E28" i="7"/>
  <c r="E27" i="7"/>
  <c r="E26" i="7"/>
  <c r="E15" i="7"/>
  <c r="F15" i="7" s="1"/>
  <c r="E16" i="7"/>
  <c r="F16" i="7" s="1"/>
  <c r="G16" i="7" s="1"/>
  <c r="H16" i="7" s="1"/>
  <c r="I16" i="7" s="1"/>
  <c r="J16" i="7" s="1"/>
  <c r="K16" i="7" s="1"/>
  <c r="L16" i="7" s="1"/>
  <c r="M16" i="7" s="1"/>
  <c r="N16" i="7" s="1"/>
  <c r="O16" i="7" s="1"/>
  <c r="P16" i="7" s="1"/>
  <c r="Q16" i="7" s="1"/>
  <c r="R16" i="7" s="1"/>
  <c r="S16" i="7" s="1"/>
  <c r="E17" i="7"/>
  <c r="F17" i="7" s="1"/>
  <c r="G17" i="7" s="1"/>
  <c r="H17" i="7" s="1"/>
  <c r="I17" i="7" s="1"/>
  <c r="J17" i="7" s="1"/>
  <c r="K17" i="7" s="1"/>
  <c r="L17" i="7" s="1"/>
  <c r="M17" i="7" s="1"/>
  <c r="N17" i="7" s="1"/>
  <c r="O17" i="7" s="1"/>
  <c r="P17" i="7" s="1"/>
  <c r="Q17" i="7" s="1"/>
  <c r="R17" i="7" s="1"/>
  <c r="S17" i="7" s="1"/>
  <c r="E18" i="7"/>
  <c r="F18" i="7" s="1"/>
  <c r="G18" i="7" s="1"/>
  <c r="H18" i="7" s="1"/>
  <c r="I18" i="7" s="1"/>
  <c r="J18" i="7" s="1"/>
  <c r="K18" i="7" s="1"/>
  <c r="L18" i="7" s="1"/>
  <c r="M18" i="7" s="1"/>
  <c r="N18" i="7" s="1"/>
  <c r="O18" i="7" s="1"/>
  <c r="P18" i="7" s="1"/>
  <c r="Q18" i="7" s="1"/>
  <c r="R18" i="7" s="1"/>
  <c r="S18" i="7" s="1"/>
  <c r="E19" i="7"/>
  <c r="E21" i="7"/>
  <c r="F21" i="7" s="1"/>
  <c r="G21" i="7" s="1"/>
  <c r="H21" i="7" s="1"/>
  <c r="I21" i="7" s="1"/>
  <c r="J21" i="7" s="1"/>
  <c r="K21" i="7" s="1"/>
  <c r="L21" i="7" s="1"/>
  <c r="M21" i="7" s="1"/>
  <c r="N21" i="7" s="1"/>
  <c r="O21" i="7" s="1"/>
  <c r="P21" i="7" s="1"/>
  <c r="Q21" i="7" s="1"/>
  <c r="R21" i="7" s="1"/>
  <c r="S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C26" i="4"/>
  <c r="G72" i="21"/>
  <c r="G78" i="21" s="1"/>
  <c r="G109" i="21"/>
  <c r="M20" i="21"/>
  <c r="M21" i="21"/>
  <c r="M22" i="21"/>
  <c r="M23" i="21"/>
  <c r="M24" i="21"/>
  <c r="M25" i="21"/>
  <c r="M26" i="21"/>
  <c r="M27" i="21"/>
  <c r="M28" i="21"/>
  <c r="M29" i="21"/>
  <c r="M30" i="21"/>
  <c r="M31" i="21"/>
  <c r="M32" i="21"/>
  <c r="M33" i="21"/>
  <c r="M34" i="21"/>
  <c r="M35" i="21"/>
  <c r="M36" i="21"/>
  <c r="M37" i="21"/>
  <c r="M38" i="21"/>
  <c r="M39" i="21"/>
  <c r="M40" i="21"/>
  <c r="M41" i="21"/>
  <c r="M42" i="21"/>
  <c r="M43" i="2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D35" i="11" s="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B24" i="13"/>
  <c r="C104" i="4"/>
  <c r="B104" i="13" s="1"/>
  <c r="B99" i="4"/>
  <c r="F65" i="7"/>
  <c r="G65" i="7" s="1"/>
  <c r="H65" i="7" s="1"/>
  <c r="I65" i="7" s="1"/>
  <c r="J65" i="7" s="1"/>
  <c r="K65" i="7" s="1"/>
  <c r="L65" i="7" s="1"/>
  <c r="M65" i="7" s="1"/>
  <c r="N65" i="7" s="1"/>
  <c r="O65" i="7" s="1"/>
  <c r="P65" i="7" s="1"/>
  <c r="Q65" i="7" s="1"/>
  <c r="R65" i="7" s="1"/>
  <c r="S65" i="7" s="1"/>
  <c r="F54" i="7"/>
  <c r="G54" i="7" s="1"/>
  <c r="H54" i="7" s="1"/>
  <c r="I54" i="7" s="1"/>
  <c r="J54" i="7" s="1"/>
  <c r="K54" i="7" s="1"/>
  <c r="L54" i="7" s="1"/>
  <c r="M54" i="7" s="1"/>
  <c r="N54" i="7" s="1"/>
  <c r="O54" i="7" s="1"/>
  <c r="P54" i="7" s="1"/>
  <c r="Q54" i="7" s="1"/>
  <c r="R54" i="7" s="1"/>
  <c r="S54" i="7" s="1"/>
  <c r="A61" i="15"/>
  <c r="BA479" i="3"/>
  <c r="BA470" i="3"/>
  <c r="F24" i="7"/>
  <c r="G24" i="7" s="1"/>
  <c r="H24" i="7" s="1"/>
  <c r="I24" i="7" s="1"/>
  <c r="J24" i="7" s="1"/>
  <c r="K24" i="7" s="1"/>
  <c r="L24" i="7" s="1"/>
  <c r="M24" i="7" s="1"/>
  <c r="N24" i="7" s="1"/>
  <c r="O24" i="7" s="1"/>
  <c r="P24" i="7" s="1"/>
  <c r="Q24" i="7" s="1"/>
  <c r="R24" i="7" s="1"/>
  <c r="S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R91" i="4"/>
  <c r="R84" i="4"/>
  <c r="S84" i="4" s="1"/>
  <c r="E84" i="13" s="1"/>
  <c r="B59" i="4"/>
  <c r="C80" i="11"/>
  <c r="C81" i="11"/>
  <c r="B80" i="11"/>
  <c r="B81" i="11"/>
  <c r="I96" i="13"/>
  <c r="J96" i="13"/>
  <c r="J81" i="13"/>
  <c r="I81" i="13"/>
  <c r="G81" i="13"/>
  <c r="F81" i="13"/>
  <c r="D81" i="13"/>
  <c r="C81" i="13"/>
  <c r="H80" i="13"/>
  <c r="B80" i="13"/>
  <c r="R80" i="4"/>
  <c r="S80" i="4" s="1"/>
  <c r="E80" i="13" s="1"/>
  <c r="R79" i="4"/>
  <c r="S79" i="4" s="1"/>
  <c r="S81" i="4" s="1"/>
  <c r="E81"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5" i="13"/>
  <c r="E94" i="13"/>
  <c r="E93" i="13"/>
  <c r="E91" i="13"/>
  <c r="E90" i="13"/>
  <c r="E87" i="13"/>
  <c r="E86" i="13"/>
  <c r="E85" i="13"/>
  <c r="E65" i="13"/>
  <c r="E53" i="13"/>
  <c r="E51" i="13"/>
  <c r="E49" i="13"/>
  <c r="E47" i="13"/>
  <c r="E46" i="13"/>
  <c r="E45" i="13"/>
  <c r="E43" i="13"/>
  <c r="E41" i="13"/>
  <c r="E37" i="13"/>
  <c r="E35" i="13"/>
  <c r="E34" i="13"/>
  <c r="E33" i="13"/>
  <c r="E32" i="13"/>
  <c r="E31" i="13"/>
  <c r="E30" i="13"/>
  <c r="E29" i="13"/>
  <c r="E25" i="13"/>
  <c r="E22" i="13"/>
  <c r="E21" i="13"/>
  <c r="E19" i="13"/>
  <c r="E17" i="13"/>
  <c r="E15" i="13"/>
  <c r="E14" i="13"/>
  <c r="E13" i="13"/>
  <c r="E10" i="13"/>
  <c r="B99" i="13"/>
  <c r="B95" i="13"/>
  <c r="B94" i="13"/>
  <c r="B93" i="13"/>
  <c r="B92" i="13"/>
  <c r="B91" i="13"/>
  <c r="B90" i="13"/>
  <c r="B89" i="13"/>
  <c r="B88" i="13"/>
  <c r="B87" i="13"/>
  <c r="B86" i="13"/>
  <c r="B85" i="13"/>
  <c r="B84" i="13"/>
  <c r="B83" i="13"/>
  <c r="B79" i="13"/>
  <c r="B76"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S92" i="4" s="1"/>
  <c r="E92" i="13" s="1"/>
  <c r="R90" i="4"/>
  <c r="R89" i="4"/>
  <c r="S89" i="4" s="1"/>
  <c r="E89" i="13" s="1"/>
  <c r="R88" i="4"/>
  <c r="R87" i="4"/>
  <c r="R86" i="4"/>
  <c r="R85" i="4"/>
  <c r="R83" i="4"/>
  <c r="R76" i="4"/>
  <c r="R72" i="4"/>
  <c r="R73" i="4"/>
  <c r="R74" i="4"/>
  <c r="R69" i="4"/>
  <c r="R65" i="4"/>
  <c r="R61" i="4"/>
  <c r="R60" i="4"/>
  <c r="R59" i="4"/>
  <c r="R58" i="4"/>
  <c r="R57" i="4"/>
  <c r="R56" i="4"/>
  <c r="R53" i="4"/>
  <c r="R52" i="4"/>
  <c r="S52" i="4" s="1"/>
  <c r="E52" i="13" s="1"/>
  <c r="R51" i="4"/>
  <c r="S51" i="4" s="1"/>
  <c r="R50" i="4"/>
  <c r="S50" i="4" s="1"/>
  <c r="E50" i="13" s="1"/>
  <c r="R49" i="4"/>
  <c r="R48" i="4"/>
  <c r="S48" i="4" s="1"/>
  <c r="E48" i="13" s="1"/>
  <c r="R47" i="4"/>
  <c r="R46" i="4"/>
  <c r="R45" i="4"/>
  <c r="R43" i="4"/>
  <c r="S43" i="4" s="1"/>
  <c r="R41" i="4"/>
  <c r="R40" i="4"/>
  <c r="S40" i="4" s="1"/>
  <c r="S42" i="4" s="1"/>
  <c r="E42" i="13" s="1"/>
  <c r="R37" i="4"/>
  <c r="R35" i="4"/>
  <c r="R34" i="4"/>
  <c r="R33" i="4"/>
  <c r="R32" i="4"/>
  <c r="R31" i="4"/>
  <c r="R30" i="4"/>
  <c r="R29" i="4"/>
  <c r="R27" i="4"/>
  <c r="S27" i="4" s="1"/>
  <c r="E27" i="13" s="1"/>
  <c r="R25" i="4"/>
  <c r="S25" i="4" s="1"/>
  <c r="R23" i="4"/>
  <c r="S23" i="4" s="1"/>
  <c r="E23" i="13" s="1"/>
  <c r="R22" i="4"/>
  <c r="R21" i="4"/>
  <c r="S21" i="4" s="1"/>
  <c r="R20" i="4"/>
  <c r="S20" i="4" s="1"/>
  <c r="E20" i="13" s="1"/>
  <c r="R19" i="4"/>
  <c r="S19" i="4" s="1"/>
  <c r="R17" i="4"/>
  <c r="S17" i="4" s="1"/>
  <c r="R15" i="4"/>
  <c r="R14" i="4"/>
  <c r="R13"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7" i="11"/>
  <c r="C77" i="11"/>
  <c r="B84" i="11"/>
  <c r="C84" i="11"/>
  <c r="B100" i="11"/>
  <c r="C100" i="11"/>
  <c r="A4" i="8"/>
  <c r="D4" i="8"/>
  <c r="I4" i="8" s="1"/>
  <c r="J4" i="8" s="1"/>
  <c r="A5" i="8"/>
  <c r="D5" i="8"/>
  <c r="A6" i="8"/>
  <c r="D6" i="8"/>
  <c r="A7" i="8"/>
  <c r="D7" i="8"/>
  <c r="I7" i="8" s="1"/>
  <c r="A8" i="8"/>
  <c r="D8" i="8"/>
  <c r="A9" i="8"/>
  <c r="D9" i="8"/>
  <c r="I9" i="8" s="1"/>
  <c r="A10" i="8"/>
  <c r="D10" i="8"/>
  <c r="A11" i="8"/>
  <c r="D11" i="8"/>
  <c r="I11" i="8" s="1"/>
  <c r="J11" i="8" s="1"/>
  <c r="A12" i="8"/>
  <c r="D12" i="8"/>
  <c r="A13" i="8"/>
  <c r="D13" i="8"/>
  <c r="I13" i="8" s="1"/>
  <c r="A14" i="8"/>
  <c r="D14" i="8"/>
  <c r="A15" i="8"/>
  <c r="D15" i="8"/>
  <c r="A16" i="8"/>
  <c r="D16" i="8"/>
  <c r="I16" i="8" s="1"/>
  <c r="A17" i="8"/>
  <c r="D17" i="8"/>
  <c r="A18" i="8"/>
  <c r="D18" i="8"/>
  <c r="I18" i="8" s="1"/>
  <c r="J18" i="8" s="1"/>
  <c r="A19" i="8"/>
  <c r="D19" i="8"/>
  <c r="I19" i="8" s="1"/>
  <c r="J19" i="8" s="1"/>
  <c r="A20" i="8"/>
  <c r="D20" i="8"/>
  <c r="A21" i="8"/>
  <c r="D21" i="8"/>
  <c r="I21" i="8" s="1"/>
  <c r="J21" i="8" s="1"/>
  <c r="A22" i="8"/>
  <c r="D22" i="8"/>
  <c r="A23" i="8"/>
  <c r="D23" i="8"/>
  <c r="I23" i="8" s="1"/>
  <c r="J23" i="8" s="1"/>
  <c r="A24" i="8"/>
  <c r="D24" i="8"/>
  <c r="A25" i="8"/>
  <c r="D25" i="8"/>
  <c r="I25" i="8" s="1"/>
  <c r="A26" i="8"/>
  <c r="D26" i="8"/>
  <c r="A27" i="8"/>
  <c r="D27" i="8"/>
  <c r="I27" i="8" s="1"/>
  <c r="A38" i="8"/>
  <c r="D38" i="8"/>
  <c r="F41" i="7"/>
  <c r="G41" i="7"/>
  <c r="H41" i="7"/>
  <c r="I41" i="7"/>
  <c r="J41" i="7"/>
  <c r="K41" i="7"/>
  <c r="L41" i="7"/>
  <c r="M41" i="7"/>
  <c r="N41" i="7"/>
  <c r="O41" i="7"/>
  <c r="P41" i="7"/>
  <c r="Q41" i="7"/>
  <c r="R41" i="7"/>
  <c r="S41" i="7"/>
  <c r="F42" i="7"/>
  <c r="G42" i="7"/>
  <c r="H42" i="7"/>
  <c r="I42" i="7"/>
  <c r="J42" i="7"/>
  <c r="K42" i="7"/>
  <c r="L42" i="7"/>
  <c r="M42" i="7"/>
  <c r="N42" i="7"/>
  <c r="O42" i="7"/>
  <c r="P42" i="7"/>
  <c r="Q42" i="7"/>
  <c r="R42" i="7"/>
  <c r="S42" i="7"/>
  <c r="T26" i="4"/>
  <c r="H26" i="13" s="1"/>
  <c r="T38" i="4"/>
  <c r="H38" i="13" s="1"/>
  <c r="T42" i="4"/>
  <c r="H42" i="13" s="1"/>
  <c r="T54" i="4"/>
  <c r="H54" i="13" s="1"/>
  <c r="T70" i="4"/>
  <c r="H70" i="13" s="1"/>
  <c r="T96" i="4"/>
  <c r="H96" i="13" s="1"/>
  <c r="C11" i="4"/>
  <c r="B11" i="13" s="1"/>
  <c r="B26" i="13"/>
  <c r="C38" i="4"/>
  <c r="B38" i="13" s="1"/>
  <c r="C54" i="4"/>
  <c r="C62" i="4"/>
  <c r="B62" i="13" s="1"/>
  <c r="C96" i="4"/>
  <c r="B96" i="13" s="1"/>
  <c r="D8" i="4"/>
  <c r="D11" i="4"/>
  <c r="D26" i="4"/>
  <c r="B26" i="4" s="1"/>
  <c r="D38" i="4"/>
  <c r="D42" i="4"/>
  <c r="D54" i="4"/>
  <c r="D62" i="4"/>
  <c r="D77" i="4"/>
  <c r="D96" i="4"/>
  <c r="D104" i="4"/>
  <c r="S38" i="4"/>
  <c r="E38" i="13" s="1"/>
  <c r="S104" i="4"/>
  <c r="F2" i="4"/>
  <c r="G2" i="4"/>
  <c r="H2" i="4"/>
  <c r="I2" i="4"/>
  <c r="J2" i="4"/>
  <c r="K2" i="4"/>
  <c r="L2" i="4"/>
  <c r="M2" i="4"/>
  <c r="N2" i="4"/>
  <c r="O2" i="4"/>
  <c r="P2" i="4"/>
  <c r="Q2" i="4"/>
  <c r="B4" i="4"/>
  <c r="BE23" i="3" s="1"/>
  <c r="B5" i="4"/>
  <c r="B6" i="4"/>
  <c r="B7" i="4"/>
  <c r="E8" i="4"/>
  <c r="F8" i="4"/>
  <c r="G8" i="4"/>
  <c r="G11" i="4"/>
  <c r="H8" i="4"/>
  <c r="H11" i="4"/>
  <c r="I8" i="4"/>
  <c r="J8" i="4"/>
  <c r="J11" i="4"/>
  <c r="J38" i="4"/>
  <c r="J42" i="4"/>
  <c r="J54" i="4"/>
  <c r="J62" i="4"/>
  <c r="J70" i="4"/>
  <c r="J77" i="4"/>
  <c r="J96" i="4"/>
  <c r="J104" i="4"/>
  <c r="K8" i="4"/>
  <c r="K11" i="4"/>
  <c r="L8" i="4"/>
  <c r="L11" i="4"/>
  <c r="M8" i="4"/>
  <c r="M11" i="4"/>
  <c r="N8" i="4"/>
  <c r="O8" i="4"/>
  <c r="Q8" i="4"/>
  <c r="Q11" i="4"/>
  <c r="B9" i="4"/>
  <c r="B10" i="4"/>
  <c r="F11" i="4"/>
  <c r="F38" i="4"/>
  <c r="F42" i="4"/>
  <c r="F54" i="4"/>
  <c r="F62" i="4"/>
  <c r="N11" i="4"/>
  <c r="O11" i="4"/>
  <c r="B13" i="4"/>
  <c r="B14" i="4"/>
  <c r="B15" i="4"/>
  <c r="AD210" i="20" s="1"/>
  <c r="B17" i="4"/>
  <c r="B18" i="4"/>
  <c r="B19" i="4"/>
  <c r="B20" i="4"/>
  <c r="B21" i="4"/>
  <c r="B22" i="4"/>
  <c r="B23" i="4"/>
  <c r="B25" i="4"/>
  <c r="G26" i="4"/>
  <c r="H26" i="4"/>
  <c r="I26" i="4"/>
  <c r="I38" i="4"/>
  <c r="I42" i="4"/>
  <c r="I54" i="4"/>
  <c r="I62" i="4"/>
  <c r="K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6" i="4"/>
  <c r="E77" i="4"/>
  <c r="F77" i="4"/>
  <c r="G77" i="4"/>
  <c r="H77" i="4"/>
  <c r="I77" i="4"/>
  <c r="K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L104" i="4"/>
  <c r="Q104" i="4"/>
  <c r="E108" i="4"/>
  <c r="F108" i="4"/>
  <c r="F18" i="4" s="1"/>
  <c r="F26" i="4" s="1"/>
  <c r="G108" i="4"/>
  <c r="G9" i="4" s="1"/>
  <c r="H108" i="4"/>
  <c r="H9" i="4" s="1"/>
  <c r="I108" i="4"/>
  <c r="I9" i="4" s="1"/>
  <c r="I11" i="4" s="1"/>
  <c r="J108" i="4"/>
  <c r="J18" i="4" s="1"/>
  <c r="J26" i="4" s="1"/>
  <c r="K108" i="4"/>
  <c r="K99" i="4" s="1"/>
  <c r="E99" i="4" s="1"/>
  <c r="E104" i="4" s="1"/>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AH733" i="3" s="1"/>
  <c r="X734" i="3"/>
  <c r="AH734" i="3" s="1"/>
  <c r="X735" i="3"/>
  <c r="AH735" i="3" s="1"/>
  <c r="X736" i="3"/>
  <c r="AH736" i="3" s="1"/>
  <c r="X737" i="3"/>
  <c r="AH737" i="3" s="1"/>
  <c r="X738" i="3"/>
  <c r="AH738" i="3" s="1"/>
  <c r="X739" i="3"/>
  <c r="AH739" i="3" s="1"/>
  <c r="X740" i="3"/>
  <c r="AH740" i="3" s="1"/>
  <c r="X741" i="3"/>
  <c r="AH741" i="3" s="1"/>
  <c r="M832" i="3"/>
  <c r="Q832" i="3"/>
  <c r="U832" i="3"/>
  <c r="Y832" i="3"/>
  <c r="AC832" i="3"/>
  <c r="AG832" i="3"/>
  <c r="Z902" i="3"/>
  <c r="E40" i="13" l="1"/>
  <c r="R99" i="4"/>
  <c r="K104" i="4"/>
  <c r="J9" i="8"/>
  <c r="E79" i="13"/>
  <c r="J16" i="8"/>
  <c r="S54" i="4"/>
  <c r="E54" i="13" s="1"/>
  <c r="J13" i="8"/>
  <c r="S96" i="4"/>
  <c r="E96" i="13" s="1"/>
  <c r="J25" i="8"/>
  <c r="J27" i="8"/>
  <c r="E9"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I17" i="21" s="1"/>
  <c r="D95" i="11"/>
  <c r="C105" i="11"/>
  <c r="C12" i="4"/>
  <c r="B12" i="13" s="1"/>
  <c r="D75" i="11"/>
  <c r="D62" i="11"/>
  <c r="D58" i="11"/>
  <c r="D47" i="11"/>
  <c r="L12" i="4"/>
  <c r="D38" i="11"/>
  <c r="B42" i="4"/>
  <c r="B104" i="4"/>
  <c r="H12" i="4"/>
  <c r="D51" i="11"/>
  <c r="D49" i="11"/>
  <c r="D48" i="11"/>
  <c r="D20" i="11"/>
  <c r="D15" i="11"/>
  <c r="D8" i="11"/>
  <c r="D100" i="11"/>
  <c r="D41" i="11"/>
  <c r="D12" i="13"/>
  <c r="D74" i="11"/>
  <c r="C12" i="13"/>
  <c r="D77" i="11"/>
  <c r="D73" i="11"/>
  <c r="D53" i="11"/>
  <c r="D50" i="11"/>
  <c r="D21" i="11"/>
  <c r="D16" i="11"/>
  <c r="B12" i="11"/>
  <c r="D5" i="11"/>
  <c r="D66" i="11"/>
  <c r="D59" i="11"/>
  <c r="D42" i="11"/>
  <c r="D28" i="11"/>
  <c r="N63" i="4"/>
  <c r="N97" i="4" s="1"/>
  <c r="N105" i="4" s="1"/>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D80" i="11"/>
  <c r="D31" i="11"/>
  <c r="B62" i="4"/>
  <c r="O63" i="4"/>
  <c r="O97" i="4" s="1"/>
  <c r="O105" i="4" s="1"/>
  <c r="M63" i="4"/>
  <c r="M97" i="4" s="1"/>
  <c r="M105" i="4" s="1"/>
  <c r="N12" i="4"/>
  <c r="I12" i="4"/>
  <c r="B70" i="4"/>
  <c r="D102" i="11"/>
  <c r="P63" i="4"/>
  <c r="P97" i="4" s="1"/>
  <c r="P105" i="4" s="1"/>
  <c r="F63" i="4"/>
  <c r="F97" i="4" s="1"/>
  <c r="F105" i="4" s="1"/>
  <c r="I63" i="13"/>
  <c r="I97" i="13" s="1"/>
  <c r="I105" i="13" s="1"/>
  <c r="I107" i="13" s="1"/>
  <c r="C63" i="13"/>
  <c r="C97" i="13" s="1"/>
  <c r="C105" i="13" s="1"/>
  <c r="C71" i="11"/>
  <c r="R38" i="4"/>
  <c r="R70" i="4"/>
  <c r="B81" i="4"/>
  <c r="F55" i="7"/>
  <c r="I63" i="4"/>
  <c r="I97" i="4" s="1"/>
  <c r="I105" i="4" s="1"/>
  <c r="D52" i="11"/>
  <c r="D44" i="11"/>
  <c r="D18" i="11"/>
  <c r="C12" i="11"/>
  <c r="J63" i="4"/>
  <c r="J97" i="4" s="1"/>
  <c r="J105" i="4" s="1"/>
  <c r="Q63" i="4"/>
  <c r="Q97" i="4" s="1"/>
  <c r="Q105" i="4" s="1"/>
  <c r="B11" i="4"/>
  <c r="C39" i="11"/>
  <c r="C97" i="11"/>
  <c r="J63" i="13"/>
  <c r="J97" i="13" s="1"/>
  <c r="J105" i="13" s="1"/>
  <c r="J107" i="13" s="1"/>
  <c r="D81" i="11"/>
  <c r="R104" i="4"/>
  <c r="D60" i="11"/>
  <c r="M12" i="4"/>
  <c r="D63" i="4"/>
  <c r="D97" i="4" s="1"/>
  <c r="D105" i="4" s="1"/>
  <c r="BE68" i="3" s="1"/>
  <c r="R42" i="4"/>
  <c r="R54" i="4"/>
  <c r="R62" i="4"/>
  <c r="D63" i="13"/>
  <c r="D97" i="13" s="1"/>
  <c r="D105" i="13" s="1"/>
  <c r="B97" i="11"/>
  <c r="C55" i="11"/>
  <c r="D23" i="11"/>
  <c r="D19" i="11"/>
  <c r="D14" i="11"/>
  <c r="D7" i="11"/>
  <c r="R8" i="4"/>
  <c r="R96" i="4"/>
  <c r="G63" i="13"/>
  <c r="G97" i="13" s="1"/>
  <c r="G105" i="13" s="1"/>
  <c r="G107" i="13" s="1"/>
  <c r="R81" i="4"/>
  <c r="H55" i="7"/>
  <c r="N188" i="23"/>
  <c r="C27" i="11"/>
  <c r="AB48" i="15"/>
  <c r="D46" i="11"/>
  <c r="B82" i="11"/>
  <c r="H63" i="4"/>
  <c r="H97" i="4" s="1"/>
  <c r="H105" i="4" s="1"/>
  <c r="G63" i="4"/>
  <c r="G97" i="4" s="1"/>
  <c r="G105" i="4" s="1"/>
  <c r="G55" i="7"/>
  <c r="C9" i="11"/>
  <c r="B63" i="11"/>
  <c r="B96" i="4"/>
  <c r="B38" i="4"/>
  <c r="D84" i="11"/>
  <c r="B54" i="13"/>
  <c r="K63" i="4"/>
  <c r="K97" i="4" s="1"/>
  <c r="K105" i="4" s="1"/>
  <c r="E104" i="13"/>
  <c r="CI753" i="3"/>
  <c r="X1048" i="3" s="1"/>
  <c r="BG243" i="3"/>
  <c r="BO245" i="3" s="1"/>
  <c r="T267" i="3" s="1"/>
  <c r="AH721" i="3"/>
  <c r="J7" i="8"/>
  <c r="J40" i="8" s="1"/>
  <c r="Z809" i="3" s="1"/>
  <c r="M971" i="3" s="1"/>
  <c r="M975" i="3" s="1"/>
  <c r="U20" i="21"/>
  <c r="U33" i="21"/>
  <c r="U32" i="21"/>
  <c r="U24" i="21"/>
  <c r="U28"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E9" i="7"/>
  <c r="G12" i="4"/>
  <c r="AF1014" i="3"/>
  <c r="G99" i="21"/>
  <c r="C63" i="4"/>
  <c r="B63" i="13" s="1"/>
  <c r="P29" i="7"/>
  <c r="J29" i="7"/>
  <c r="AY1003" i="3"/>
  <c r="I1048" i="3" s="1"/>
  <c r="C798" i="3"/>
  <c r="F40" i="7"/>
  <c r="F43" i="7" s="1"/>
  <c r="R28" i="7"/>
  <c r="O29" i="7"/>
  <c r="F30" i="7"/>
  <c r="G30" i="7" s="1"/>
  <c r="H30" i="7" s="1"/>
  <c r="I30" i="7" s="1"/>
  <c r="J30" i="7" s="1"/>
  <c r="K30" i="7" s="1"/>
  <c r="L30" i="7" s="1"/>
  <c r="M30" i="7" s="1"/>
  <c r="N30" i="7" s="1"/>
  <c r="O30" i="7" s="1"/>
  <c r="P30" i="7" s="1"/>
  <c r="Q30" i="7" s="1"/>
  <c r="R30" i="7" s="1"/>
  <c r="S30" i="7" s="1"/>
  <c r="F31" i="7"/>
  <c r="G31" i="7" s="1"/>
  <c r="H31" i="7" s="1"/>
  <c r="I31" i="7" s="1"/>
  <c r="J31" i="7" s="1"/>
  <c r="K31" i="7" s="1"/>
  <c r="L31" i="7" s="1"/>
  <c r="M31" i="7" s="1"/>
  <c r="N31" i="7" s="1"/>
  <c r="O31" i="7" s="1"/>
  <c r="P31" i="7" s="1"/>
  <c r="Q31" i="7" s="1"/>
  <c r="R31" i="7" s="1"/>
  <c r="S31" i="7" s="1"/>
  <c r="E20" i="7"/>
  <c r="F20" i="7" s="1"/>
  <c r="G20" i="7" s="1"/>
  <c r="H20" i="7" s="1"/>
  <c r="I20" i="7" s="1"/>
  <c r="J20" i="7" s="1"/>
  <c r="K20" i="7" s="1"/>
  <c r="L20" i="7" s="1"/>
  <c r="M20" i="7" s="1"/>
  <c r="N20" i="7" s="1"/>
  <c r="O20" i="7" s="1"/>
  <c r="P20" i="7" s="1"/>
  <c r="Q20" i="7" s="1"/>
  <c r="R20" i="7" s="1"/>
  <c r="S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S29" i="7"/>
  <c r="Q28" i="7"/>
  <c r="AO641" i="3"/>
  <c r="H29" i="7"/>
  <c r="L29" i="7"/>
  <c r="S28" i="7"/>
  <c r="O28" i="7"/>
  <c r="M28" i="7"/>
  <c r="L28" i="7"/>
  <c r="K28" i="7"/>
  <c r="N28" i="7"/>
  <c r="G28" i="7"/>
  <c r="J28" i="7"/>
  <c r="P28" i="7"/>
  <c r="F28" i="7"/>
  <c r="I28" i="7"/>
  <c r="H28" i="7"/>
  <c r="S40" i="7"/>
  <c r="S43" i="7" s="1"/>
  <c r="L40" i="7"/>
  <c r="L43" i="7" s="1"/>
  <c r="AK183" i="20"/>
  <c r="AP366" i="20"/>
  <c r="AQ366" i="20" s="1"/>
  <c r="T816" i="20"/>
  <c r="T808" i="20"/>
  <c r="AF808" i="20" s="1"/>
  <c r="BE75" i="3" s="1"/>
  <c r="R21" i="21" a="1"/>
  <c r="R21" i="21" s="1"/>
  <c r="Q40" i="7"/>
  <c r="Q43" i="7" s="1"/>
  <c r="G40" i="7"/>
  <c r="G43" i="7" s="1"/>
  <c r="F33" i="7"/>
  <c r="G33" i="7" s="1"/>
  <c r="H33" i="7" s="1"/>
  <c r="I33" i="7" s="1"/>
  <c r="J33" i="7" s="1"/>
  <c r="K33" i="7" s="1"/>
  <c r="L33" i="7" s="1"/>
  <c r="M33" i="7" s="1"/>
  <c r="N33" i="7" s="1"/>
  <c r="O33" i="7" s="1"/>
  <c r="P33" i="7" s="1"/>
  <c r="Q33" i="7" s="1"/>
  <c r="R33" i="7" s="1"/>
  <c r="S33" i="7" s="1"/>
  <c r="H40" i="7"/>
  <c r="H43" i="7" s="1"/>
  <c r="F26" i="7"/>
  <c r="G26" i="7" s="1"/>
  <c r="H26" i="7" s="1"/>
  <c r="I26" i="7" s="1"/>
  <c r="J26" i="7" s="1"/>
  <c r="K26" i="7" s="1"/>
  <c r="L26" i="7" s="1"/>
  <c r="M26" i="7" s="1"/>
  <c r="N26" i="7" s="1"/>
  <c r="O26" i="7" s="1"/>
  <c r="P26" i="7" s="1"/>
  <c r="Q26" i="7" s="1"/>
  <c r="R26" i="7" s="1"/>
  <c r="S26" i="7" s="1"/>
  <c r="F27" i="7"/>
  <c r="G27" i="7" s="1"/>
  <c r="H27" i="7" s="1"/>
  <c r="I27" i="7" s="1"/>
  <c r="J27" i="7" s="1"/>
  <c r="K27" i="7" s="1"/>
  <c r="L27" i="7" s="1"/>
  <c r="M27" i="7" s="1"/>
  <c r="N27" i="7" s="1"/>
  <c r="O27" i="7" s="1"/>
  <c r="P27" i="7" s="1"/>
  <c r="Q27" i="7" s="1"/>
  <c r="R27" i="7" s="1"/>
  <c r="S27" i="7" s="1"/>
  <c r="G29" i="7"/>
  <c r="R28" i="21" a="1"/>
  <c r="R28" i="21" s="1"/>
  <c r="AG445" i="3"/>
  <c r="AD27" i="15" s="1"/>
  <c r="ET753" i="3"/>
  <c r="T24" i="21"/>
  <c r="B27" i="11"/>
  <c r="D26" i="11"/>
  <c r="T30" i="21"/>
  <c r="T7" i="15"/>
  <c r="E43" i="7"/>
  <c r="Q29" i="7"/>
  <c r="I29" i="7"/>
  <c r="K40" i="7"/>
  <c r="K43" i="7" s="1"/>
  <c r="M40" i="7"/>
  <c r="M43" i="7" s="1"/>
  <c r="F29" i="7"/>
  <c r="K29" i="7"/>
  <c r="P40" i="7"/>
  <c r="P43" i="7" s="1"/>
  <c r="O40" i="7"/>
  <c r="O43" i="7" s="1"/>
  <c r="I40" i="7"/>
  <c r="I43" i="7" s="1"/>
  <c r="R29" i="7"/>
  <c r="T28" i="21"/>
  <c r="R40" i="7"/>
  <c r="R43" i="7" s="1"/>
  <c r="N40" i="7"/>
  <c r="N43" i="7" s="1"/>
  <c r="N29" i="7"/>
  <c r="J40" i="7"/>
  <c r="J43" i="7" s="1"/>
  <c r="M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F8" i="7"/>
  <c r="DZ797" i="3"/>
  <c r="R35" i="21" a="1"/>
  <c r="R35" i="21" s="1"/>
  <c r="R43" i="21" a="1"/>
  <c r="R43" i="21" s="1"/>
  <c r="R31" i="21" a="1"/>
  <c r="R31" i="21" s="1"/>
  <c r="R988" i="3"/>
  <c r="R987" i="3"/>
  <c r="R986" i="3"/>
  <c r="AC777" i="3"/>
  <c r="T41" i="21"/>
  <c r="E105" i="20"/>
  <c r="R23" i="21" a="1"/>
  <c r="R23" i="21" s="1"/>
  <c r="E104" i="20"/>
  <c r="R40" i="21" a="1"/>
  <c r="R40" i="21" s="1"/>
  <c r="AC883" i="3"/>
  <c r="AC886" i="3" s="1"/>
  <c r="C75" i="4"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T37" i="21"/>
  <c r="DO753" i="3"/>
  <c r="AX693" i="20" s="1"/>
  <c r="DE753" i="3"/>
  <c r="AX691" i="20" s="1"/>
  <c r="ET797" i="3"/>
  <c r="DJ797" i="3"/>
  <c r="DN798" i="3" s="1"/>
  <c r="EO787" i="3"/>
  <c r="EO797" i="3" s="1"/>
  <c r="EJ797" i="3"/>
  <c r="AC884" i="3"/>
  <c r="DE797" i="3"/>
  <c r="DI798" i="3" s="1"/>
  <c r="CZ753" i="3"/>
  <c r="FJ753" i="3"/>
  <c r="DU790" i="3"/>
  <c r="DU797" i="3" s="1"/>
  <c r="CP797" i="3"/>
  <c r="AV122" i="20"/>
  <c r="AW121" i="20" s="1"/>
  <c r="R36" i="21" a="1"/>
  <c r="R36" i="21" s="1"/>
  <c r="R22" i="21" a="1"/>
  <c r="R22" i="21" s="1"/>
  <c r="T38" i="21"/>
  <c r="T29" i="21"/>
  <c r="T20" i="21"/>
  <c r="R38" i="21" a="1"/>
  <c r="R38" i="21" s="1"/>
  <c r="R20" i="21" a="1"/>
  <c r="R20" i="21" s="1"/>
  <c r="F19" i="7"/>
  <c r="G19" i="7" s="1"/>
  <c r="H19" i="7" s="1"/>
  <c r="I19" i="7" s="1"/>
  <c r="J19" i="7" s="1"/>
  <c r="K19" i="7" s="1"/>
  <c r="L19" i="7" s="1"/>
  <c r="M19" i="7" s="1"/>
  <c r="N19" i="7" s="1"/>
  <c r="O19" i="7" s="1"/>
  <c r="P19" i="7" s="1"/>
  <c r="Q19" i="7" s="1"/>
  <c r="R19" i="7" s="1"/>
  <c r="S19" i="7" s="1"/>
  <c r="R33" i="21" a="1"/>
  <c r="R33" i="21" s="1"/>
  <c r="R24" i="21" a="1"/>
  <c r="R24" i="21" s="1"/>
  <c r="E27" i="21"/>
  <c r="G60" i="21"/>
  <c r="E26" i="21"/>
  <c r="E24" i="21"/>
  <c r="F24" i="21" s="1"/>
  <c r="G40" i="8"/>
  <c r="G15" i="7"/>
  <c r="E28" i="21"/>
  <c r="E25" i="21"/>
  <c r="F25" i="21" s="1"/>
  <c r="G25" i="21" s="1"/>
  <c r="E11" i="4" l="1"/>
  <c r="R9" i="4"/>
  <c r="L75" i="4"/>
  <c r="B76" i="11"/>
  <c r="B78" i="11" s="1"/>
  <c r="C76" i="11"/>
  <c r="C77" i="4"/>
  <c r="B75" i="4"/>
  <c r="B75" i="13"/>
  <c r="D105" i="11"/>
  <c r="D43" i="11"/>
  <c r="D71" i="11"/>
  <c r="B12" i="4"/>
  <c r="N195" i="23"/>
  <c r="D55" i="11"/>
  <c r="D82" i="11"/>
  <c r="D39" i="11"/>
  <c r="D12" i="11"/>
  <c r="D63" i="11"/>
  <c r="B13" i="11"/>
  <c r="C64" i="11"/>
  <c r="B64" i="11"/>
  <c r="B98" i="11" s="1"/>
  <c r="B106" i="11" s="1"/>
  <c r="B63" i="4"/>
  <c r="D27" i="11"/>
  <c r="D97" i="11"/>
  <c r="AO39" i="20"/>
  <c r="AK62" i="20" s="1"/>
  <c r="T804" i="20" s="1"/>
  <c r="AF804" i="20" s="1"/>
  <c r="BE71" i="3" s="1"/>
  <c r="D9" i="11"/>
  <c r="C13" i="11"/>
  <c r="I55" i="7"/>
  <c r="BA1039" i="3"/>
  <c r="BA1048" i="3" s="1" a="1"/>
  <c r="BA1048" i="3" s="1"/>
  <c r="AO42" i="20"/>
  <c r="AS360" i="20"/>
  <c r="F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F22" i="7"/>
  <c r="F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G8" i="7"/>
  <c r="G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H15" i="7"/>
  <c r="G22" i="7"/>
  <c r="G35" i="7" s="1"/>
  <c r="E29" i="21"/>
  <c r="G24" i="21"/>
  <c r="B77" i="13" l="1"/>
  <c r="B77" i="4"/>
  <c r="D76" i="11"/>
  <c r="C78" i="11"/>
  <c r="D78" i="11" s="1"/>
  <c r="L18" i="4"/>
  <c r="R75" i="4"/>
  <c r="R77" i="4" s="1"/>
  <c r="L77" i="4"/>
  <c r="T9" i="4"/>
  <c r="R11" i="4"/>
  <c r="E12" i="4"/>
  <c r="O45" i="21"/>
  <c r="P45" i="21" s="1" a="1"/>
  <c r="P45" i="21" s="1"/>
  <c r="S45" i="21" s="1"/>
  <c r="O46" i="21"/>
  <c r="P46" i="21" s="1" a="1"/>
  <c r="P46" i="21" s="1"/>
  <c r="S46" i="21" s="1"/>
  <c r="O42" i="21"/>
  <c r="P42" i="21" s="1" a="1"/>
  <c r="P42" i="21" s="1"/>
  <c r="S42" i="21" s="1"/>
  <c r="O44" i="21"/>
  <c r="P44" i="21" s="1" a="1"/>
  <c r="P44" i="21" s="1"/>
  <c r="S44" i="21" s="1"/>
  <c r="O21" i="21"/>
  <c r="P21" i="21" s="1" a="1"/>
  <c r="P21" i="21" s="1"/>
  <c r="S21" i="21" s="1"/>
  <c r="O39" i="21"/>
  <c r="P39" i="21" s="1" a="1"/>
  <c r="P39" i="21" s="1"/>
  <c r="S39" i="21" s="1"/>
  <c r="O20" i="21"/>
  <c r="P20" i="21" s="1" a="1"/>
  <c r="P20" i="21" s="1"/>
  <c r="S20" i="21" s="1"/>
  <c r="O41" i="21"/>
  <c r="P41" i="21" s="1" a="1"/>
  <c r="P41" i="21" s="1"/>
  <c r="S41" i="21" s="1"/>
  <c r="O36" i="21"/>
  <c r="P36" i="21" s="1" a="1"/>
  <c r="P36" i="21" s="1"/>
  <c r="S36" i="21" s="1"/>
  <c r="O24" i="21"/>
  <c r="P24" i="21" s="1" a="1"/>
  <c r="P24" i="21" s="1"/>
  <c r="S24" i="21" s="1"/>
  <c r="O26" i="21"/>
  <c r="P26" i="21" s="1" a="1"/>
  <c r="P26" i="21" s="1"/>
  <c r="S26" i="21" s="1"/>
  <c r="O31" i="21"/>
  <c r="P31" i="21" s="1" a="1"/>
  <c r="P31" i="21" s="1"/>
  <c r="S31" i="21" s="1"/>
  <c r="O32" i="21"/>
  <c r="P32" i="21" s="1" a="1"/>
  <c r="P32" i="21" s="1"/>
  <c r="S32" i="21" s="1"/>
  <c r="O34" i="21"/>
  <c r="P34" i="21" s="1" a="1"/>
  <c r="P34" i="21" s="1"/>
  <c r="S34" i="21" s="1"/>
  <c r="O35" i="21"/>
  <c r="P35" i="21" s="1" a="1"/>
  <c r="P35" i="21" s="1"/>
  <c r="S35" i="21" s="1"/>
  <c r="O22" i="21"/>
  <c r="P22" i="21" s="1" a="1"/>
  <c r="P22" i="21" s="1"/>
  <c r="S22" i="21" s="1"/>
  <c r="O38" i="21"/>
  <c r="P38" i="21" s="1" a="1"/>
  <c r="P38" i="21" s="1"/>
  <c r="S38" i="21" s="1"/>
  <c r="O25" i="21"/>
  <c r="P25" i="21" s="1" a="1"/>
  <c r="P25" i="21" s="1"/>
  <c r="S25" i="21" s="1"/>
  <c r="O33" i="21"/>
  <c r="P33" i="21" s="1" a="1"/>
  <c r="P33" i="21" s="1"/>
  <c r="S33" i="21" s="1"/>
  <c r="O28" i="21"/>
  <c r="P28" i="21" s="1" a="1"/>
  <c r="P28" i="21" s="1"/>
  <c r="S28" i="21" s="1"/>
  <c r="O30" i="21"/>
  <c r="P30" i="21" s="1" a="1"/>
  <c r="P30" i="21" s="1"/>
  <c r="S30" i="21" s="1"/>
  <c r="O27" i="21"/>
  <c r="P27" i="21" s="1" a="1"/>
  <c r="P27" i="21" s="1"/>
  <c r="S27" i="21" s="1"/>
  <c r="O37" i="21"/>
  <c r="P37" i="21" s="1" a="1"/>
  <c r="P37" i="21" s="1"/>
  <c r="S37" i="21" s="1"/>
  <c r="O29" i="21"/>
  <c r="P29" i="21" s="1" a="1"/>
  <c r="P29" i="21" s="1"/>
  <c r="S29" i="21" s="1"/>
  <c r="O40" i="21"/>
  <c r="P40" i="21" s="1" a="1"/>
  <c r="P40" i="21" s="1"/>
  <c r="S40" i="21" s="1"/>
  <c r="O43" i="21"/>
  <c r="P43" i="21" s="1" a="1"/>
  <c r="P43" i="21" s="1"/>
  <c r="S43" i="21" s="1"/>
  <c r="O23" i="21"/>
  <c r="P23" i="21" s="1" a="1"/>
  <c r="P23" i="21" s="1"/>
  <c r="S23" i="21" s="1"/>
  <c r="D64" i="11"/>
  <c r="B105" i="4"/>
  <c r="BE101" i="3"/>
  <c r="AK84" i="20"/>
  <c r="AK191" i="20" s="1"/>
  <c r="T811" i="20" s="1"/>
  <c r="AF811" i="20" s="1"/>
  <c r="BE76" i="3" s="1"/>
  <c r="D13" i="11"/>
  <c r="B97" i="13"/>
  <c r="B97" i="4"/>
  <c r="B105" i="13"/>
  <c r="AG269" i="20"/>
  <c r="J55" i="7"/>
  <c r="DU755" i="3"/>
  <c r="O756" i="3" s="1"/>
  <c r="BG753" i="3"/>
  <c r="BU753" i="3"/>
  <c r="AH753" i="3" s="1"/>
  <c r="BE43" i="3" s="1"/>
  <c r="E35" i="7"/>
  <c r="BT753" i="3"/>
  <c r="AX695" i="20"/>
  <c r="AO695" i="20" s="1"/>
  <c r="BH718" i="3"/>
  <c r="DX670" i="3"/>
  <c r="E130" i="20" s="1"/>
  <c r="E133" i="20" s="1"/>
  <c r="E136" i="20" s="1"/>
  <c r="AW122" i="20"/>
  <c r="H8" i="7"/>
  <c r="I8" i="7" s="1"/>
  <c r="F4" i="7"/>
  <c r="F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F6" i="7"/>
  <c r="E7" i="7"/>
  <c r="I15" i="7"/>
  <c r="H22" i="7"/>
  <c r="H35" i="7" s="1"/>
  <c r="F27" i="21"/>
  <c r="G61" i="21"/>
  <c r="G63" i="21" s="1"/>
  <c r="G65" i="21" s="1"/>
  <c r="E13" i="21" s="1"/>
  <c r="F28" i="21"/>
  <c r="G28" i="21" s="1"/>
  <c r="G52" i="21"/>
  <c r="G54" i="21" s="1"/>
  <c r="G56" i="21" s="1"/>
  <c r="E12" i="21" s="1"/>
  <c r="R12" i="4" l="1"/>
  <c r="L26" i="4"/>
  <c r="L63" i="4" s="1"/>
  <c r="L97" i="4" s="1"/>
  <c r="L105" i="4" s="1"/>
  <c r="E18" i="4"/>
  <c r="C98" i="11"/>
  <c r="T11" i="4"/>
  <c r="H9" i="13"/>
  <c r="AB266" i="20"/>
  <c r="AG268" i="20" s="1"/>
  <c r="AG270" i="20" s="1"/>
  <c r="AK273" i="20" s="1"/>
  <c r="T812" i="20" s="1"/>
  <c r="AF812" i="20" s="1"/>
  <c r="BE77" i="3" s="1"/>
  <c r="AC454" i="3"/>
  <c r="AB47" i="15"/>
  <c r="AB49" i="15" s="1"/>
  <c r="T805" i="20"/>
  <c r="AF805" i="20" s="1"/>
  <c r="BE72" i="3" s="1"/>
  <c r="N185" i="23"/>
  <c r="BE22" i="3"/>
  <c r="K55" i="7"/>
  <c r="G45" i="21"/>
  <c r="G47" i="21" s="1"/>
  <c r="E10" i="21" s="1"/>
  <c r="E11" i="21"/>
  <c r="AP705" i="20"/>
  <c r="AP706" i="20"/>
  <c r="AJ711" i="20" s="1"/>
  <c r="AK794" i="20" s="1"/>
  <c r="T819" i="20" s="1"/>
  <c r="AF819" i="20" s="1"/>
  <c r="BE82" i="3" s="1"/>
  <c r="G4" i="7"/>
  <c r="G5" i="7" s="1"/>
  <c r="H9" i="7"/>
  <c r="E11" i="7"/>
  <c r="E37" i="7" s="1"/>
  <c r="E49" i="7" s="1"/>
  <c r="AJ992" i="3"/>
  <c r="E138" i="20"/>
  <c r="E139" i="20" s="1"/>
  <c r="AK143" i="20" s="1"/>
  <c r="T807" i="20" s="1"/>
  <c r="AF807" i="20" s="1"/>
  <c r="BE74" i="3" s="1"/>
  <c r="AB991" i="3"/>
  <c r="DU802" i="3"/>
  <c r="U373" i="20" s="1"/>
  <c r="P421" i="3"/>
  <c r="G6" i="7"/>
  <c r="F7" i="7"/>
  <c r="F11" i="7" s="1"/>
  <c r="F37" i="7" s="1"/>
  <c r="I22" i="7"/>
  <c r="I35" i="7" s="1"/>
  <c r="J15" i="7"/>
  <c r="I9" i="7"/>
  <c r="J8" i="7"/>
  <c r="G27" i="21"/>
  <c r="F26" i="21"/>
  <c r="D98" i="11" l="1"/>
  <c r="C106" i="11"/>
  <c r="D106" i="11" s="1"/>
  <c r="H11" i="13"/>
  <c r="T63" i="4"/>
  <c r="E26" i="4"/>
  <c r="E63" i="4" s="1"/>
  <c r="E97" i="4" s="1"/>
  <c r="E105" i="4" s="1"/>
  <c r="R18" i="4"/>
  <c r="BE44" i="3"/>
  <c r="F457" i="3"/>
  <c r="N196" i="23"/>
  <c r="N186" i="23"/>
  <c r="L55" i="7"/>
  <c r="AJ1045" i="3"/>
  <c r="AJ1049" i="3"/>
  <c r="AP553" i="20" s="1"/>
  <c r="AP550" i="20"/>
  <c r="H4" i="7"/>
  <c r="I4" i="7" s="1"/>
  <c r="E45" i="7"/>
  <c r="E48" i="7" s="1"/>
  <c r="F45" i="7"/>
  <c r="F49" i="7"/>
  <c r="H6" i="7"/>
  <c r="G7" i="7"/>
  <c r="G11" i="7" s="1"/>
  <c r="G37" i="7" s="1"/>
  <c r="G26" i="21"/>
  <c r="F29" i="21"/>
  <c r="G29" i="21"/>
  <c r="J22" i="7"/>
  <c r="J35" i="7" s="1"/>
  <c r="K15" i="7"/>
  <c r="J9" i="7"/>
  <c r="K8" i="7"/>
  <c r="S18" i="4" l="1"/>
  <c r="R26" i="4"/>
  <c r="R63" i="4" s="1"/>
  <c r="R97" i="4" s="1"/>
  <c r="R105" i="4" s="1"/>
  <c r="T97" i="4"/>
  <c r="H63" i="13"/>
  <c r="M55" i="7"/>
  <c r="AJ1053" i="3"/>
  <c r="AP552" i="20"/>
  <c r="AP554" i="20" s="1"/>
  <c r="H5" i="7"/>
  <c r="E47" i="7"/>
  <c r="E57" i="7"/>
  <c r="J4" i="7"/>
  <c r="I5" i="7"/>
  <c r="G45" i="7"/>
  <c r="G49" i="7"/>
  <c r="I6" i="7"/>
  <c r="H7" i="7"/>
  <c r="F57" i="7"/>
  <c r="F47" i="7"/>
  <c r="F48" i="7"/>
  <c r="K22" i="7"/>
  <c r="K35" i="7" s="1"/>
  <c r="L15" i="7"/>
  <c r="G79" i="21"/>
  <c r="G31" i="21"/>
  <c r="G33" i="21" s="1"/>
  <c r="E9" i="21" s="1"/>
  <c r="G88" i="21"/>
  <c r="G90" i="21" s="1"/>
  <c r="E16" i="21" s="1"/>
  <c r="G111" i="21"/>
  <c r="G96" i="21"/>
  <c r="K9" i="7"/>
  <c r="L8" i="7"/>
  <c r="E18" i="13" l="1"/>
  <c r="S26" i="4"/>
  <c r="E59" i="7"/>
  <c r="E64" i="7" s="1"/>
  <c r="AZ1048" i="3"/>
  <c r="T105" i="4"/>
  <c r="H97" i="13"/>
  <c r="G80" i="21"/>
  <c r="E15" i="21" s="1"/>
  <c r="N55" i="7"/>
  <c r="T24" i="15"/>
  <c r="AP557" i="20"/>
  <c r="AP556" i="20" s="1"/>
  <c r="AP559" i="20" s="1"/>
  <c r="AF552" i="20" s="1"/>
  <c r="H11" i="7"/>
  <c r="H37" i="7" s="1"/>
  <c r="H45" i="7" s="1"/>
  <c r="J5" i="7"/>
  <c r="K4" i="7"/>
  <c r="I7" i="7"/>
  <c r="I11" i="7" s="1"/>
  <c r="I37" i="7" s="1"/>
  <c r="J6" i="7"/>
  <c r="F59" i="7"/>
  <c r="F64" i="7" s="1"/>
  <c r="G48" i="7"/>
  <c r="G57" i="7"/>
  <c r="G47" i="7"/>
  <c r="G101" i="21"/>
  <c r="G113" i="21"/>
  <c r="G97" i="21"/>
  <c r="L22" i="7"/>
  <c r="L35" i="7" s="1"/>
  <c r="M15" i="7"/>
  <c r="M8" i="7"/>
  <c r="L9" i="7"/>
  <c r="H105" i="13" l="1"/>
  <c r="T107" i="4"/>
  <c r="H107" i="13" s="1"/>
  <c r="E62" i="7"/>
  <c r="E63" i="7"/>
  <c r="E66" i="7" s="1"/>
  <c r="E68" i="7" s="1"/>
  <c r="E26" i="13"/>
  <c r="S63" i="4"/>
  <c r="F63" i="7"/>
  <c r="F62" i="7"/>
  <c r="F66" i="7" s="1"/>
  <c r="F68" i="7" s="1"/>
  <c r="O55" i="7"/>
  <c r="G115" i="21"/>
  <c r="E17" i="21" s="1"/>
  <c r="E14" i="21" s="1"/>
  <c r="E18" i="21" s="1"/>
  <c r="H49" i="7"/>
  <c r="L4" i="7"/>
  <c r="K5" i="7"/>
  <c r="J7" i="7"/>
  <c r="J11" i="7" s="1"/>
  <c r="J37" i="7" s="1"/>
  <c r="K6" i="7"/>
  <c r="I45" i="7"/>
  <c r="I49" i="7"/>
  <c r="G59" i="7"/>
  <c r="G64" i="7" s="1"/>
  <c r="H47" i="7"/>
  <c r="H57" i="7"/>
  <c r="H48" i="7"/>
  <c r="M22" i="7"/>
  <c r="M35" i="7" s="1"/>
  <c r="N15" i="7"/>
  <c r="M9" i="7"/>
  <c r="N8" i="7"/>
  <c r="E63" i="13" l="1"/>
  <c r="S97" i="4"/>
  <c r="AD11" i="15"/>
  <c r="AD23" i="15" s="1"/>
  <c r="AD26" i="15" s="1"/>
  <c r="AD28" i="15" s="1"/>
  <c r="AI11" i="15"/>
  <c r="AI23" i="15" s="1"/>
  <c r="AI26" i="15" s="1"/>
  <c r="AI28" i="15" s="1"/>
  <c r="G62" i="7"/>
  <c r="G63" i="7"/>
  <c r="H64" i="7"/>
  <c r="H63" i="7"/>
  <c r="P55" i="7"/>
  <c r="M4" i="7"/>
  <c r="L5" i="7"/>
  <c r="I48" i="7"/>
  <c r="I47" i="7"/>
  <c r="I57" i="7"/>
  <c r="J45" i="7"/>
  <c r="J49" i="7"/>
  <c r="H59" i="7"/>
  <c r="H62" i="7" s="1"/>
  <c r="K7" i="7"/>
  <c r="K11" i="7" s="1"/>
  <c r="K37" i="7" s="1"/>
  <c r="L6" i="7"/>
  <c r="G66" i="7"/>
  <c r="G68" i="7" s="1"/>
  <c r="N22" i="7"/>
  <c r="N35" i="7" s="1"/>
  <c r="O15" i="7"/>
  <c r="N9" i="7"/>
  <c r="O8" i="7"/>
  <c r="S105" i="4" l="1"/>
  <c r="AZ1046" i="3"/>
  <c r="E97" i="13"/>
  <c r="Q55" i="7"/>
  <c r="M5" i="7"/>
  <c r="N4" i="7"/>
  <c r="K49" i="7"/>
  <c r="K45" i="7"/>
  <c r="I59" i="7"/>
  <c r="I64" i="7" s="1"/>
  <c r="J47" i="7"/>
  <c r="J48" i="7"/>
  <c r="J57" i="7"/>
  <c r="H66" i="7"/>
  <c r="H68" i="7" s="1"/>
  <c r="L7" i="7"/>
  <c r="L11" i="7" s="1"/>
  <c r="L37" i="7" s="1"/>
  <c r="M6" i="7"/>
  <c r="O22" i="7"/>
  <c r="O35" i="7" s="1"/>
  <c r="P15" i="7"/>
  <c r="O9" i="7"/>
  <c r="P8" i="7"/>
  <c r="I62" i="7" l="1"/>
  <c r="S107" i="4"/>
  <c r="E105" i="13"/>
  <c r="BA1056" i="3"/>
  <c r="AZ1051" i="3"/>
  <c r="I63" i="7"/>
  <c r="S55" i="7"/>
  <c r="R55" i="7"/>
  <c r="N5" i="7"/>
  <c r="O4" i="7"/>
  <c r="M7" i="7"/>
  <c r="M11" i="7" s="1"/>
  <c r="M37" i="7" s="1"/>
  <c r="N6" i="7"/>
  <c r="J59" i="7"/>
  <c r="J62" i="7" s="1"/>
  <c r="K57" i="7"/>
  <c r="K48" i="7"/>
  <c r="K47" i="7"/>
  <c r="L49" i="7"/>
  <c r="L45" i="7"/>
  <c r="Q15" i="7"/>
  <c r="P22" i="7"/>
  <c r="P35" i="7" s="1"/>
  <c r="Q8" i="7"/>
  <c r="P9" i="7"/>
  <c r="I66" i="7" l="1"/>
  <c r="I68" i="7" s="1"/>
  <c r="BA1055" i="3"/>
  <c r="BA1059" i="3" s="1"/>
  <c r="AA1056" i="3"/>
  <c r="AC456" i="3"/>
  <c r="AF551" i="20"/>
  <c r="AF553" i="20" s="1"/>
  <c r="AK559" i="20" s="1"/>
  <c r="T818" i="20" s="1"/>
  <c r="AF818" i="20" s="1"/>
  <c r="BE81" i="3" s="1"/>
  <c r="E107" i="13"/>
  <c r="J64" i="7"/>
  <c r="J63" i="7"/>
  <c r="J66" i="7" s="1"/>
  <c r="J68" i="7" s="1"/>
  <c r="P4" i="7"/>
  <c r="O5" i="7"/>
  <c r="O6" i="7"/>
  <c r="N7" i="7"/>
  <c r="N11" i="7" s="1"/>
  <c r="N37" i="7" s="1"/>
  <c r="M45" i="7"/>
  <c r="M49" i="7"/>
  <c r="K59" i="7"/>
  <c r="K62" i="7" s="1"/>
  <c r="L48" i="7"/>
  <c r="L47" i="7"/>
  <c r="L57" i="7"/>
  <c r="R15" i="7"/>
  <c r="Q22" i="7"/>
  <c r="Q35" i="7" s="1"/>
  <c r="Q9" i="7"/>
  <c r="R8" i="7"/>
  <c r="T11" i="15" l="1"/>
  <c r="T23" i="15" s="1"/>
  <c r="Y11" i="15"/>
  <c r="Y23" i="15" s="1"/>
  <c r="Y26" i="15" s="1"/>
  <c r="Y28" i="15" s="1"/>
  <c r="Y64" i="15" s="1"/>
  <c r="Y68" i="15" s="1"/>
  <c r="Y69" i="15" s="1"/>
  <c r="AA1057" i="3"/>
  <c r="G1058" i="3" s="1"/>
  <c r="K64" i="7"/>
  <c r="K63" i="7"/>
  <c r="P5" i="7"/>
  <c r="Q4" i="7"/>
  <c r="L59" i="7"/>
  <c r="L62" i="7" s="1"/>
  <c r="M48" i="7"/>
  <c r="M57" i="7"/>
  <c r="M47" i="7"/>
  <c r="N49" i="7"/>
  <c r="N45" i="7"/>
  <c r="O7" i="7"/>
  <c r="O11" i="7" s="1"/>
  <c r="O37" i="7" s="1"/>
  <c r="P6" i="7"/>
  <c r="R22" i="7"/>
  <c r="R35" i="7" s="1"/>
  <c r="S15" i="7"/>
  <c r="S22" i="7" s="1"/>
  <c r="S35" i="7" s="1"/>
  <c r="R9" i="7"/>
  <c r="S8" i="7"/>
  <c r="S9" i="7" s="1"/>
  <c r="T26" i="15" l="1"/>
  <c r="T28" i="15" s="1"/>
  <c r="T29" i="15" s="1"/>
  <c r="AD38" i="15"/>
  <c r="AD40" i="15" s="1"/>
  <c r="K66" i="7"/>
  <c r="K68" i="7" s="1"/>
  <c r="L63" i="7"/>
  <c r="L64" i="7"/>
  <c r="L66" i="7"/>
  <c r="L68" i="7" s="1"/>
  <c r="Q5" i="7"/>
  <c r="R4" i="7"/>
  <c r="Q6" i="7"/>
  <c r="P7" i="7"/>
  <c r="P11" i="7" s="1"/>
  <c r="P37" i="7" s="1"/>
  <c r="M59" i="7"/>
  <c r="M63" i="7" s="1"/>
  <c r="O49" i="7"/>
  <c r="O45" i="7"/>
  <c r="N57" i="7"/>
  <c r="N47" i="7"/>
  <c r="N48" i="7"/>
  <c r="Y38" i="15" l="1"/>
  <c r="Y40" i="15" s="1"/>
  <c r="Y41" i="15" s="1"/>
  <c r="AB50" i="15" s="1"/>
  <c r="M64" i="7"/>
  <c r="M62" i="7"/>
  <c r="M66" i="7" s="1"/>
  <c r="M68" i="7" s="1"/>
  <c r="R5" i="7"/>
  <c r="S4" i="7"/>
  <c r="P45" i="7"/>
  <c r="P49" i="7"/>
  <c r="N59" i="7"/>
  <c r="N63" i="7" s="1"/>
  <c r="O47" i="7"/>
  <c r="O48" i="7"/>
  <c r="O57" i="7"/>
  <c r="R6" i="7"/>
  <c r="Q7" i="7"/>
  <c r="Q11" i="7" s="1"/>
  <c r="Q37" i="7" s="1"/>
  <c r="BE62" i="3" l="1"/>
  <c r="AB54" i="15"/>
  <c r="AB55" i="15" s="1"/>
  <c r="AB56" i="15" s="1"/>
  <c r="N64" i="7"/>
  <c r="N62" i="7"/>
  <c r="N66" i="7" s="1"/>
  <c r="N68" i="7" s="1"/>
  <c r="S5" i="7"/>
  <c r="P57" i="7"/>
  <c r="P47" i="7"/>
  <c r="P48" i="7"/>
  <c r="Q45" i="7"/>
  <c r="Q49" i="7"/>
  <c r="R7" i="7"/>
  <c r="R11" i="7" s="1"/>
  <c r="R37" i="7" s="1"/>
  <c r="S6" i="7"/>
  <c r="O59" i="7"/>
  <c r="O64" i="7" s="1"/>
  <c r="M26" i="3" l="1"/>
  <c r="AB57" i="15"/>
  <c r="AB59" i="15" s="1"/>
  <c r="AB77" i="15" s="1"/>
  <c r="AB78" i="15" s="1"/>
  <c r="O62" i="7"/>
  <c r="O63" i="7"/>
  <c r="S7" i="7"/>
  <c r="S11" i="7" s="1"/>
  <c r="S37" i="7" s="1"/>
  <c r="R49" i="7"/>
  <c r="R45" i="7"/>
  <c r="Q57" i="7"/>
  <c r="Q48" i="7"/>
  <c r="Q47" i="7"/>
  <c r="P59" i="7"/>
  <c r="P64" i="7" s="1"/>
  <c r="O66" i="7" l="1"/>
  <c r="O68" i="7" s="1"/>
  <c r="P62" i="7"/>
  <c r="P63" i="7"/>
  <c r="P66" i="7" s="1"/>
  <c r="P68" i="7" s="1"/>
  <c r="AB79" i="15"/>
  <c r="AB81" i="15" s="1"/>
  <c r="J82" i="15" s="1"/>
  <c r="M27" i="3"/>
  <c r="I10" i="21"/>
  <c r="I11" i="21" s="1"/>
  <c r="I18" i="21" s="1"/>
  <c r="H4" i="21" s="1"/>
  <c r="BE19" i="3"/>
  <c r="P204" i="3"/>
  <c r="Q59" i="7"/>
  <c r="Q64" i="7" s="1"/>
  <c r="R47" i="7"/>
  <c r="R57" i="7"/>
  <c r="R48" i="7"/>
  <c r="S49" i="7"/>
  <c r="S45" i="7"/>
  <c r="BE20" i="3" l="1"/>
  <c r="P205" i="3"/>
  <c r="Q62" i="7"/>
  <c r="Q63" i="7"/>
  <c r="S48" i="7"/>
  <c r="S57" i="7"/>
  <c r="S47" i="7"/>
  <c r="R59" i="7"/>
  <c r="R64" i="7" s="1"/>
  <c r="Q66" i="7" l="1"/>
  <c r="Q68" i="7" s="1"/>
  <c r="R63" i="7"/>
  <c r="R62" i="7"/>
  <c r="R66" i="7"/>
  <c r="R68" i="7" s="1"/>
  <c r="S59" i="7"/>
  <c r="S64" i="7" s="1"/>
  <c r="S62" i="7" l="1"/>
  <c r="S63" i="7"/>
  <c r="S66" i="7" s="1"/>
  <c r="S68" i="7" s="1"/>
  <c r="BH753" i="3"/>
  <c r="AC753" i="3" s="1"/>
  <c r="BE42" i="3" s="1"/>
  <c r="E93" i="20" l="1"/>
  <c r="E94" i="20" s="1"/>
  <c r="E95" i="20" s="1"/>
  <c r="AP95" i="20" s="1"/>
  <c r="E103" i="20"/>
  <c r="E106" i="20" s="1"/>
  <c r="AP106" i="20" s="1"/>
  <c r="AK109" i="20" l="1"/>
  <c r="T806" i="20" s="1"/>
  <c r="AF806" i="20" s="1"/>
  <c r="BE73" i="3" s="1"/>
  <c r="H3" i="21"/>
  <c r="AF821" i="20" l="1"/>
  <c r="BE70" i="3" s="1"/>
  <c r="H5" i="2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D59E7CCF-4F5E-4EDE-ACA1-93DE474EBBC5}">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tc={8AA7DDE1-C5F9-F04A-96D8-FE6352181A00}</author>
    <author>Ferguson, Gina</author>
  </authors>
  <commentList>
    <comment ref="C5" authorId="0" shapeId="0" xr:uid="{8AA7DDE1-C5F9-F04A-96D8-FE6352181A00}">
      <text>
        <t>[Threaded comment]
Your version of Excel allows you to read this threaded comment; however, any edits to it will get removed if the file is opened in a newer version of Excel. Learn more: https://go.microsoft.com/fwlink/?linkid=870924
Comment:
    Weighted Average due to non-subsidized SN units</t>
      </text>
    </comment>
    <comment ref="C59" authorId="1" shapeId="0" xr:uid="{00000000-0006-0000-0C00-000001000000}">
      <text>
        <r>
          <rPr>
            <sz val="9"/>
            <color rgb="FF000000"/>
            <rFont val="Tahoma"/>
            <family val="2"/>
          </rPr>
          <t>INSERT PERCENTAGE SHARE OF RESIDUAL RECEIPTS CASH FLOW</t>
        </r>
      </text>
    </comment>
    <comment ref="C61" authorId="1"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<sst xmlns="http://schemas.openxmlformats.org/spreadsheetml/2006/main" count="5092" uniqueCount="2775">
  <si>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</si>
  <si>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</si>
  <si>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</si>
  <si>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</si>
  <si>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</si>
  <si>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</si>
  <si>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</si>
  <si>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</si>
  <si>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</si>
  <si>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</si>
  <si>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</si>
  <si>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</si>
  <si>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</si>
  <si>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</si>
  <si>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</si>
  <si>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</si>
  <si>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</si>
  <si>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</si>
  <si>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</si>
  <si>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</si>
  <si>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</si>
  <si>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</si>
  <si>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</si>
  <si>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</si>
  <si>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</si>
  <si>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</si>
  <si>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</si>
  <si>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</si>
  <si>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</si>
  <si>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</si>
  <si>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</si>
  <si>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</si>
  <si>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</si>
  <si>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</si>
  <si>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</si>
  <si>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</si>
  <si>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</si>
  <si>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</si>
  <si>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</si>
  <si>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</si>
  <si>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</si>
  <si>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</si>
  <si>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</si>
  <si>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</si>
  <si>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</si>
  <si>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</si>
  <si>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</si>
  <si>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</si>
  <si>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</si>
  <si>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</si>
  <si>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</si>
  <si>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</si>
  <si>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</si>
  <si>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</si>
  <si>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</si>
  <si>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</si>
  <si>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</si>
  <si>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</si>
  <si>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</si>
  <si>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</si>
  <si>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</si>
  <si>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</si>
  <si>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</si>
  <si>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</si>
  <si>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</si>
  <si>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</si>
  <si>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</si>
  <si>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</si>
  <si>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</si>
  <si>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</si>
  <si>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</si>
  <si>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</si>
  <si>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</si>
  <si>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</si>
  <si>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</si>
  <si>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</si>
  <si>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</si>
  <si>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</si>
  <si>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</si>
  <si>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</si>
  <si>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</si>
  <si>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</si>
  <si>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</si>
  <si>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</si>
  <si>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</si>
  <si>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</si>
  <si>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</si>
  <si>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</si>
  <si>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</si>
  <si>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</si>
  <si>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</si>
  <si>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</si>
  <si>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</si>
  <si>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</si>
  <si>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</si>
  <si>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</si>
  <si>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</si>
  <si>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</si>
  <si>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</si>
  <si>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</si>
  <si>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</si>
  <si>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</si>
  <si>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</si>
  <si>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</si>
  <si>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</si>
  <si>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</si>
  <si>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</si>
  <si>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</si>
  <si>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</si>
  <si>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</si>
  <si>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</si>
  <si>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</si>
  <si>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</si>
  <si>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</si>
  <si>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</si>
  <si>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</si>
  <si>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</si>
  <si>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</si>
  <si>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</si>
  <si>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</si>
  <si>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</si>
  <si>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</si>
  <si>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</si>
  <si>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</si>
  <si>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</si>
  <si>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</si>
  <si>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</si>
  <si>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</si>
  <si>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</si>
  <si>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</si>
  <si>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</si>
  <si>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</si>
  <si>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</si>
  <si>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</si>
  <si>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</si>
  <si>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</si>
  <si>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</si>
  <si>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</si>
  <si>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</si>
  <si>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</si>
  <si>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</si>
  <si>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</si>
  <si>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</si>
  <si>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</si>
  <si>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</si>
  <si>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</si>
  <si>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</si>
  <si>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</si>
  <si>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</si>
  <si>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</si>
  <si>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</si>
  <si>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</si>
  <si>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</si>
  <si>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</si>
  <si>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</si>
  <si>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</si>
  <si>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</si>
  <si>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</si>
  <si>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</si>
  <si>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</si>
  <si>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</si>
  <si>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</si>
  <si>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</si>
  <si>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</si>
  <si>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</si>
  <si>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</si>
  <si>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</si>
  <si>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</si>
  <si>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</si>
  <si>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</si>
  <si>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</si>
  <si>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</si>
  <si>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</si>
  <si>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</si>
  <si>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</si>
  <si>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</si>
  <si>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</si>
  <si>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</si>
  <si>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</si>
  <si>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</si>
  <si>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</si>
  <si>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</si>
  <si>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</si>
  <si>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</si>
  <si>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</si>
  <si>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</si>
  <si>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</si>
  <si>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</si>
  <si>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</si>
  <si>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</si>
  <si>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</si>
  <si>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</si>
  <si>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</si>
  <si>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</si>
  <si>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</si>
  <si>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</si>
  <si>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</si>
  <si>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</si>
  <si>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</si>
  <si>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</si>
  <si>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</si>
  <si>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</si>
  <si>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</si>
  <si>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</si>
  <si>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</si>
  <si>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</si>
  <si>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</si>
  <si>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</si>
  <si>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</si>
  <si>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</si>
  <si>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</si>
  <si>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</si>
  <si>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</si>
  <si>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</si>
  <si>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</si>
  <si>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</si>
  <si>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</si>
  <si>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</si>
  <si>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</si>
  <si>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</si>
  <si>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</si>
  <si>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</si>
  <si>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</si>
  <si>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</si>
  <si>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</si>
  <si>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</si>
  <si>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</si>
  <si>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</si>
  <si>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</si>
  <si>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</si>
  <si>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</si>
  <si>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</si>
  <si>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</si>
  <si>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</si>
  <si>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</si>
  <si>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</si>
  <si>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</si>
  <si>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</si>
  <si>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</si>
  <si>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</si>
  <si>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</si>
  <si>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</si>
  <si>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</si>
  <si>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</si>
  <si>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</si>
  <si>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</si>
  <si>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</si>
  <si>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</si>
  <si>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</si>
  <si>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</si>
  <si>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</si>
  <si>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</si>
  <si>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</si>
  <si>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</si>
  <si>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</si>
  <si>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</si>
  <si>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</si>
  <si>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</si>
  <si>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</si>
  <si>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</si>
  <si>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</si>
  <si>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</si>
  <si>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</si>
  <si>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</si>
  <si>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</si>
  <si>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</si>
  <si>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</si>
  <si>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</si>
  <si>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</si>
  <si>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</si>
  <si>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</si>
  <si>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</si>
  <si>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</si>
  <si>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</si>
  <si>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</si>
  <si>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</si>
  <si>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</si>
  <si>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</si>
  <si>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</si>
  <si>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</si>
  <si>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</si>
  <si>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</si>
  <si>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</si>
  <si>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</si>
  <si>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</si>
  <si>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</si>
  <si>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</si>
  <si>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</si>
  <si>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</si>
  <si>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</si>
  <si>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</si>
  <si>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</si>
  <si>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</si>
  <si>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</si>
  <si>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</si>
  <si>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</si>
  <si>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</si>
  <si>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</si>
  <si>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</si>
  <si>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</si>
  <si>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</si>
  <si>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</si>
  <si>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</si>
  <si>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</si>
  <si>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</si>
  <si>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</si>
  <si>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</si>
  <si>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</si>
  <si>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</si>
  <si>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(select one)</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</si>
  <si>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</si>
  <si>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</si>
  <si>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</si>
  <si>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</si>
  <si>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</si>
  <si>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</si>
  <si>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</si>
  <si>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</si>
  <si>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</si>
  <si>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</si>
  <si>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</si>
  <si>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</si>
  <si>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</si>
  <si>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</si>
  <si>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</si>
  <si>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</si>
  <si>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</si>
  <si>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</si>
  <si>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</si>
  <si>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</si>
  <si>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</si>
  <si>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</si>
  <si>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</si>
  <si>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</si>
  <si>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</si>
  <si>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</si>
  <si>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</si>
  <si>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</si>
  <si>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</si>
  <si>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</si>
  <si>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</si>
  <si>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</si>
  <si>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</si>
  <si>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</si>
  <si>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</si>
  <si>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</si>
  <si>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</si>
  <si>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</si>
  <si>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</si>
  <si>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</si>
  <si>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</si>
  <si>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</si>
  <si>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</si>
  <si>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</si>
  <si>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</si>
  <si>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</si>
  <si>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</si>
  <si>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</si>
  <si>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</si>
  <si>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</si>
  <si>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</si>
  <si>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</si>
  <si>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</si>
  <si>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</si>
  <si>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</si>
  <si>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</si>
  <si>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</si>
  <si>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</si>
  <si>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</si>
  <si>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</si>
  <si>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</si>
  <si>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</si>
  <si>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</si>
  <si>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</si>
  <si>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</si>
  <si>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</si>
  <si>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</si>
  <si>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</si>
  <si>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</si>
  <si>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</si>
  <si>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</si>
  <si>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</si>
  <si>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</si>
  <si>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</si>
  <si>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</si>
  <si>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</si>
  <si>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</si>
  <si>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</si>
  <si>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</si>
  <si>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</si>
  <si>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</si>
  <si>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</si>
  <si>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</si>
  <si>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</si>
  <si>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</si>
  <si>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</si>
  <si>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</si>
  <si>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</si>
  <si>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</si>
  <si>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</si>
  <si>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</si>
  <si>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</si>
  <si>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</si>
  <si>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</si>
  <si>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</si>
  <si>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</si>
  <si>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</si>
  <si>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</si>
  <si>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</si>
  <si>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</si>
  <si>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</si>
  <si>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</si>
  <si>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</si>
  <si>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</si>
  <si>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</si>
  <si>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</si>
  <si>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</si>
  <si>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</si>
  <si>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</si>
  <si>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</si>
  <si>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</si>
  <si>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</si>
  <si>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</si>
  <si>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</si>
  <si>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</si>
  <si>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</si>
  <si>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</si>
  <si>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</si>
  <si>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</si>
  <si>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</si>
  <si>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</si>
  <si>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</si>
  <si>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</si>
  <si>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</si>
  <si>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</si>
  <si>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</si>
  <si>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</si>
  <si>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</si>
  <si>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</si>
  <si>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</si>
  <si>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</si>
  <si>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</si>
  <si>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</si>
  <si>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</si>
  <si>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</si>
  <si>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</si>
  <si>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</si>
  <si>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</si>
  <si>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</si>
  <si>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</si>
  <si>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</si>
  <si>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</si>
  <si>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</si>
  <si>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</si>
  <si>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</si>
  <si>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</si>
  <si>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</si>
  <si>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</si>
  <si>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</si>
  <si>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</si>
  <si>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</si>
  <si>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</si>
  <si>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</si>
  <si>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</si>
  <si>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</si>
  <si>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</si>
  <si>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</si>
  <si>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</si>
  <si>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</si>
  <si>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</si>
  <si>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</si>
  <si>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</si>
  <si>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</si>
  <si>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</si>
  <si>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</si>
  <si>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</si>
  <si>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</si>
  <si>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</si>
  <si>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</si>
  <si>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</si>
  <si>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</si>
  <si>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</si>
  <si>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</si>
  <si>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</si>
  <si>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</si>
  <si>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</si>
  <si>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</si>
  <si>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</si>
  <si>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</si>
  <si>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</si>
  <si>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</si>
  <si>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</si>
  <si>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</si>
  <si>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</si>
  <si>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</si>
  <si>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</si>
  <si>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</si>
  <si>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</si>
  <si>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</si>
  <si>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</si>
  <si>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</si>
  <si>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</si>
  <si>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</si>
  <si>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</si>
  <si>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</si>
  <si>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</si>
  <si>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</si>
  <si>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</si>
  <si>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</si>
  <si>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</si>
  <si>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</si>
  <si>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</si>
  <si>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</si>
  <si>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</si>
  <si>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</si>
  <si>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</si>
  <si>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</si>
  <si>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</si>
  <si>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</si>
  <si>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</si>
  <si>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</si>
  <si>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</si>
  <si>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</si>
  <si>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</si>
  <si>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</si>
  <si>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</si>
  <si>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</si>
  <si>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</si>
  <si>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</si>
  <si>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</si>
  <si>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</si>
  <si>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</si>
  <si>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</si>
  <si>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</si>
  <si>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</si>
  <si>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</si>
  <si>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</si>
  <si>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</si>
  <si>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</si>
  <si>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</si>
  <si>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</si>
  <si>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</si>
  <si>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</si>
  <si>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</si>
  <si>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</si>
  <si>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</si>
  <si>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</si>
  <si>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</si>
  <si>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</si>
  <si>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</si>
  <si>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</si>
  <si>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</si>
  <si>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</si>
  <si>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</si>
  <si>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</si>
  <si>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</si>
  <si>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</si>
  <si>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</si>
  <si>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</si>
  <si>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</si>
  <si>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</si>
  <si>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</si>
  <si>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</si>
  <si>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</si>
  <si>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</si>
  <si>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</si>
  <si>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</si>
  <si>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</si>
  <si>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</si>
  <si>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</si>
  <si>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</si>
  <si>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</si>
  <si>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</si>
  <si>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</si>
  <si>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</si>
  <si>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</si>
  <si>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</si>
  <si>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</si>
  <si>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</si>
  <si>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</si>
  <si>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</si>
  <si>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</si>
  <si>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</si>
  <si>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</si>
  <si>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</si>
  <si>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</si>
  <si>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</si>
  <si>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</si>
  <si>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</si>
  <si>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</si>
  <si>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</si>
  <si>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</si>
  <si>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</si>
  <si>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</si>
  <si>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</si>
  <si>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</si>
  <si>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</si>
  <si>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</si>
  <si>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</si>
  <si>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</si>
  <si>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</si>
  <si>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</si>
  <si>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</si>
  <si>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</si>
  <si>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</si>
  <si>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</si>
  <si>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</si>
  <si>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</si>
  <si>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</si>
  <si>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</si>
  <si>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</si>
  <si>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</si>
  <si>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</si>
  <si>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</si>
  <si>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</si>
  <si>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</si>
  <si>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</si>
  <si>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</si>
  <si>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</si>
  <si>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</si>
  <si>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</si>
  <si>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</si>
  <si>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</si>
  <si>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</si>
  <si>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</si>
  <si>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</si>
  <si>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</si>
  <si>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</si>
  <si>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</si>
  <si>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</si>
  <si>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</si>
  <si>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</si>
  <si>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</si>
  <si>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</si>
  <si>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</si>
  <si>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</si>
  <si>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</si>
  <si>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</si>
  <si>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</si>
  <si>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</si>
  <si>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</si>
  <si>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</si>
  <si>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</si>
  <si>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</si>
  <si>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</si>
  <si>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</si>
  <si>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</si>
  <si>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</si>
  <si>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</si>
  <si>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</si>
  <si>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</si>
  <si>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</si>
  <si>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</si>
  <si>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</si>
  <si>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</si>
  <si>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</si>
  <si>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</si>
  <si>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</si>
  <si>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August 5, 2025 Version</t>
  </si>
  <si>
    <t>55% AMI Units</t>
  </si>
  <si>
    <t>II. APPLICATION - SECTION 1: CTCAC APPLICANT STATEMENT AND CERTIFICATION</t>
  </si>
  <si>
    <t>60% AMI Units</t>
  </si>
  <si>
    <t>70% AMI Units</t>
  </si>
  <si>
    <t>80% AMI Units</t>
  </si>
  <si>
    <t>CTCAC APPLICANT:</t>
  </si>
  <si>
    <t>San Clemente II Housing Partners, L.P.</t>
  </si>
  <si>
    <t>MIP Amount</t>
  </si>
  <si>
    <t>PROJECT NAME:</t>
  </si>
  <si>
    <t>San Clemente Family Homes</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</si>
  <si>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</si>
  <si>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</si>
  <si>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</si>
  <si>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</si>
  <si>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</si>
  <si>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</si>
  <si>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</si>
  <si>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</si>
  <si>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</si>
  <si>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</si>
  <si>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</si>
  <si>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</si>
  <si>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</si>
  <si>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</si>
  <si>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</si>
  <si>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</si>
  <si>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</si>
  <si>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</si>
  <si>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</si>
  <si>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</si>
  <si>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</si>
  <si>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</si>
  <si>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</si>
  <si>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</si>
  <si>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</si>
  <si>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</si>
  <si>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</si>
  <si>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</si>
  <si>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</si>
  <si>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</si>
  <si>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</si>
  <si>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</si>
  <si>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</si>
  <si>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</si>
  <si>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</si>
  <si>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</si>
  <si>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</si>
  <si>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</si>
  <si>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</si>
  <si>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</si>
  <si>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</si>
  <si>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</si>
  <si>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</si>
  <si>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</si>
  <si>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</si>
  <si>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</si>
  <si>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</si>
  <si>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</si>
  <si>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</si>
  <si>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</si>
  <si>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</si>
  <si>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</si>
  <si>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</si>
  <si>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</si>
  <si>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</si>
  <si>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</si>
  <si>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</si>
  <si>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</si>
  <si>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</si>
  <si>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</si>
  <si>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</si>
  <si>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</si>
  <si>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</si>
  <si>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</si>
  <si>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</si>
  <si>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</si>
  <si>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</si>
  <si>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</si>
  <si>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</si>
  <si>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</si>
  <si>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</si>
  <si>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</si>
  <si>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</si>
  <si>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</si>
  <si>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</si>
  <si>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</si>
  <si>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</si>
  <si>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</si>
  <si>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</si>
  <si>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</si>
  <si>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</si>
  <si>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</si>
  <si>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</si>
  <si>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</si>
  <si>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</si>
  <si>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</si>
  <si>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</si>
  <si>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</si>
  <si>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</si>
  <si>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</si>
  <si>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</si>
  <si>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</si>
  <si>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</si>
  <si>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</si>
  <si>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</si>
  <si>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</si>
  <si>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</si>
  <si>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</si>
  <si>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</si>
  <si>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</si>
  <si>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</si>
  <si>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</si>
  <si>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</si>
  <si>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</si>
  <si>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</si>
  <si>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</si>
  <si>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</si>
  <si>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</si>
  <si>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</si>
  <si>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</si>
  <si>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</si>
  <si>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</si>
  <si>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</si>
  <si>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</si>
  <si>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</si>
  <si>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2025 at</t>
  </si>
  <si>
    <t>, California.</t>
  </si>
  <si>
    <t xml:space="preserve">By: </t>
  </si>
  <si>
    <t>(Original Signature)</t>
  </si>
  <si>
    <t>(Typed or printed name)</t>
  </si>
  <si>
    <t xml:space="preserve">Application type: </t>
  </si>
  <si>
    <t>4%</t>
  </si>
  <si>
    <t xml:space="preserve">Please select your county: </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</si>
  <si>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</si>
  <si>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</si>
  <si>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</si>
  <si>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</si>
  <si>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</si>
  <si>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</si>
  <si>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Town of Corte Madera</t>
  </si>
  <si>
    <t>Inland (Fresno, Imperial, Kern, Kings, Madera, Merced, Riverside, San Bernardino, Stanislaus, and Tulare Counties)</t>
  </si>
  <si>
    <t>4% 2025 TBLs</t>
  </si>
  <si>
    <t>9% 2025 TBLs</t>
  </si>
  <si>
    <t>City Manager:</t>
  </si>
  <si>
    <t>Adam Wolff, Town Manager; Amy Lyle, Community Development Dir</t>
  </si>
  <si>
    <t>Northern (Butte, El Dorado, Placer, Sacramento, San Joaquin, Shasta, Solano, Sutter, Yuba, and Yolo Counties)</t>
  </si>
  <si>
    <t>Title:</t>
  </si>
  <si>
    <t>City Manager</t>
  </si>
  <si>
    <t>N/A</t>
  </si>
  <si>
    <t xml:space="preserve">Mailing Address: </t>
  </si>
  <si>
    <t>300 Tamalpais Drive</t>
  </si>
  <si>
    <t>2025 100% RENTS</t>
  </si>
  <si>
    <t>2025 FAIR MARKET RENTS</t>
  </si>
  <si>
    <t xml:space="preserve">City: </t>
  </si>
  <si>
    <t>Corte Madera</t>
  </si>
  <si>
    <t>ALAMEDA</t>
  </si>
  <si>
    <t>Alameda</t>
  </si>
  <si>
    <t>California Tax Credit Allocation Committee</t>
  </si>
  <si>
    <t>Housing and Urban Development</t>
  </si>
  <si>
    <t xml:space="preserve">Zip Code: </t>
  </si>
  <si>
    <t>ALPINE</t>
  </si>
  <si>
    <t>Alpine</t>
  </si>
  <si>
    <t>Phone Number:</t>
  </si>
  <si>
    <t>415-927-5050</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</si>
  <si>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</si>
  <si>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</si>
  <si>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</si>
  <si>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</si>
  <si>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</si>
  <si>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</si>
  <si>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</si>
  <si>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</si>
  <si>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</si>
  <si>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</si>
  <si>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</si>
  <si>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</si>
  <si>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</si>
  <si>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</si>
  <si>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</si>
  <si>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</si>
  <si>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awolff@cortemadera.gov; alyle@cortemadera.gov</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</si>
  <si>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</si>
  <si>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</si>
  <si>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</si>
  <si>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</si>
  <si>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</si>
  <si>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</si>
  <si>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</si>
  <si>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</si>
  <si>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</si>
  <si>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</si>
  <si>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</si>
  <si>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</si>
  <si>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</si>
  <si>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</si>
  <si>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</si>
  <si>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</si>
  <si>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</si>
  <si>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</si>
  <si>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</si>
  <si>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</si>
  <si>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</si>
  <si>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</si>
  <si>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</si>
  <si>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</si>
  <si>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</si>
  <si>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</si>
  <si>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</si>
  <si>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</si>
  <si>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</si>
  <si>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</si>
  <si>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</si>
  <si>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</si>
  <si>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</si>
  <si>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</si>
  <si>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</si>
  <si>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</si>
  <si>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</si>
  <si>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</si>
  <si>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</si>
  <si>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</si>
  <si>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</si>
  <si>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</si>
  <si>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</si>
  <si>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</si>
  <si>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</si>
  <si>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</si>
  <si>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</si>
  <si>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</si>
  <si>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</si>
  <si>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</si>
  <si>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</si>
  <si>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</si>
  <si>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</si>
  <si>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</si>
  <si>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</si>
  <si>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</si>
  <si>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</si>
  <si>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</si>
  <si>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</si>
  <si>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</si>
  <si>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</si>
  <si>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</si>
  <si>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</si>
  <si>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</si>
  <si>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</si>
  <si>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</si>
  <si>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</si>
  <si>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</si>
  <si>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</si>
  <si>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</si>
  <si>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</si>
  <si>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</si>
  <si>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</si>
  <si>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</si>
  <si>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</si>
  <si>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</si>
  <si>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33 San Clemente Drive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</si>
  <si>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</si>
  <si>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</si>
  <si>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</si>
  <si>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</si>
  <si>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</si>
  <si>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</si>
  <si>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</si>
  <si>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</si>
  <si>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</si>
  <si>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</si>
  <si>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</si>
  <si>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</si>
  <si>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</si>
  <si>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</si>
  <si>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</si>
  <si>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</si>
  <si>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Census Tract 1212 Block 5011</t>
  </si>
  <si>
    <t>Large Family</t>
  </si>
  <si>
    <t>SACRAMENTO</t>
  </si>
  <si>
    <t>Sacramento</t>
  </si>
  <si>
    <t>Assessor's Parcel Number(s):</t>
  </si>
  <si>
    <t>026-011-40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</si>
  <si>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</si>
  <si>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</si>
  <si>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</si>
  <si>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</si>
  <si>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</si>
  <si>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</si>
  <si>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</si>
  <si>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</si>
  <si>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</si>
  <si>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</si>
  <si>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</si>
  <si>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</si>
  <si>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</si>
  <si>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</si>
  <si>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</si>
  <si>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</si>
  <si>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</si>
  <si>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</si>
  <si>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</si>
  <si>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</si>
  <si>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</si>
  <si>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</si>
  <si>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</si>
  <si>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</si>
  <si>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</si>
  <si>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</si>
  <si>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</si>
  <si>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</si>
  <si>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</si>
  <si>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</si>
  <si>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</si>
  <si>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</si>
  <si>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</si>
  <si>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</si>
  <si>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</si>
  <si>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</si>
  <si>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</si>
  <si>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</si>
  <si>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</si>
  <si>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</si>
  <si>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</si>
  <si>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</si>
  <si>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</si>
  <si>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</si>
  <si>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</si>
  <si>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</si>
  <si>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</si>
  <si>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</si>
  <si>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</si>
  <si>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</si>
  <si>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</si>
  <si>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</si>
  <si>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</si>
  <si>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</si>
  <si>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</si>
  <si>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</si>
  <si>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</si>
  <si>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</si>
  <si>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</si>
  <si>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</si>
  <si>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</si>
  <si>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</si>
  <si>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</si>
  <si>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</si>
  <si>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</si>
  <si>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</si>
  <si>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</si>
  <si>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</si>
  <si>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</si>
  <si>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</si>
  <si>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</si>
  <si>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</si>
  <si>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</si>
  <si>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</si>
  <si>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</si>
  <si>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</si>
  <si>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</si>
  <si>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</si>
  <si>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</si>
  <si>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</si>
  <si>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</si>
  <si>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</si>
  <si>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</si>
  <si>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</si>
  <si>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</si>
  <si>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</si>
  <si>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</si>
  <si>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</si>
  <si>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</si>
  <si>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</si>
  <si>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</si>
  <si>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</si>
  <si>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</si>
  <si>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</si>
  <si>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</si>
  <si>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</si>
  <si>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</si>
  <si>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</si>
  <si>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</si>
  <si>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</si>
  <si>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</si>
  <si>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</si>
  <si>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</si>
  <si>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</si>
  <si>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</si>
  <si>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</si>
  <si>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</si>
  <si>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</si>
  <si>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</si>
  <si>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</si>
  <si>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</si>
  <si>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</si>
  <si>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</si>
  <si>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</si>
  <si>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</si>
  <si>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</si>
  <si>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</si>
  <si>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</si>
  <si>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</si>
  <si>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</si>
  <si>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</si>
  <si>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</si>
  <si>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22 Pelican Way</t>
  </si>
  <si>
    <t>San Rafael</t>
  </si>
  <si>
    <t>State:</t>
  </si>
  <si>
    <t>CA</t>
  </si>
  <si>
    <t>Contact Person:</t>
  </si>
  <si>
    <t>Welton Jordan</t>
  </si>
  <si>
    <t>Phone:</t>
  </si>
  <si>
    <t>(415) 295-8876</t>
  </si>
  <si>
    <t>Ext.:</t>
  </si>
  <si>
    <t>Fax:</t>
  </si>
  <si>
    <t>(415) 798-4063</t>
  </si>
  <si>
    <t>both nonprofits</t>
  </si>
  <si>
    <t xml:space="preserve">Email: </t>
  </si>
  <si>
    <t>welton.jordan@eahhousing.org</t>
  </si>
  <si>
    <t>Legal Status of Applicant:</t>
  </si>
  <si>
    <t>Parent Company:</t>
  </si>
  <si>
    <t>San Clemente EAH II, LLC</t>
  </si>
  <si>
    <t>If Other, Specify:</t>
  </si>
  <si>
    <t>both for-profit</t>
  </si>
  <si>
    <t>General Partner(s) Information (post-closing GPs):</t>
  </si>
  <si>
    <t>D(1)</t>
  </si>
  <si>
    <t>General Partner Name:</t>
  </si>
  <si>
    <t>Managing GP</t>
  </si>
  <si>
    <t>OWNERSHIP</t>
  </si>
  <si>
    <t>Nonprofit</t>
  </si>
  <si>
    <t>INTEREST (%):</t>
  </si>
  <si>
    <t>currently exists</t>
  </si>
  <si>
    <t>to be formed</t>
  </si>
  <si>
    <t>For Profit</t>
  </si>
  <si>
    <t>Nonprofit/For Profit:</t>
  </si>
  <si>
    <t>EAH Inc.</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</si>
  <si>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</si>
  <si>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</si>
  <si>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</si>
  <si>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</si>
  <si>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</si>
  <si>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</si>
  <si>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</si>
  <si>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</si>
  <si>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</si>
  <si>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</si>
  <si>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</si>
  <si>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Bronson Viscarra</t>
  </si>
  <si>
    <t>(415) 295-8891</t>
  </si>
  <si>
    <t>bronson.viscarra@eahhousing.org</t>
  </si>
  <si>
    <t>Participatory Role:</t>
  </si>
  <si>
    <t>(e.g., General Partner, Consultant, etc.)</t>
  </si>
  <si>
    <t>II. APPLICATION - SECTION 4: DEVELOPMENT TEAM INFORMATION</t>
  </si>
  <si>
    <t>Indicate and List All Development Team Members</t>
  </si>
  <si>
    <t>Developer:</t>
  </si>
  <si>
    <t>Architect:</t>
  </si>
  <si>
    <t>TWM Architects</t>
  </si>
  <si>
    <t>Address:</t>
  </si>
  <si>
    <t>1011 C Street</t>
  </si>
  <si>
    <t>City, State, Zip</t>
  </si>
  <si>
    <t>San Rafael, CA 94901</t>
  </si>
  <si>
    <t>City, State, Zip:</t>
  </si>
  <si>
    <t>San Rafael, CA  94901</t>
  </si>
  <si>
    <t>Derek Dutton</t>
  </si>
  <si>
    <t>(415) 472-5770</t>
  </si>
  <si>
    <t>(415) 472-5846</t>
  </si>
  <si>
    <t>Email:</t>
  </si>
  <si>
    <t>ddutton@twmarchitects.com</t>
  </si>
  <si>
    <t>Attorney:</t>
  </si>
  <si>
    <t>Bocarsly Emden</t>
  </si>
  <si>
    <t>General Contractor:</t>
  </si>
  <si>
    <t>Midstate Construction</t>
  </si>
  <si>
    <t>633 W Fifth Street, Suite 5880</t>
  </si>
  <si>
    <t>1180 Holm Road</t>
  </si>
  <si>
    <t>Los Angeles, CA 90071</t>
  </si>
  <si>
    <t>Petaluma, CA 94954</t>
  </si>
  <si>
    <t>Nicole Deddens</t>
  </si>
  <si>
    <t>Wes Barry</t>
  </si>
  <si>
    <t>213-239-8000</t>
  </si>
  <si>
    <t>707-762-3200</t>
  </si>
  <si>
    <t>707-762-0700</t>
  </si>
  <si>
    <t>ndeddens@bocarsly.com</t>
  </si>
  <si>
    <t>wesb@midstateconstruction.com</t>
  </si>
  <si>
    <t>Tax Professional:</t>
  </si>
  <si>
    <t>Energy Consultant:</t>
  </si>
  <si>
    <t>Streamline Green</t>
  </si>
  <si>
    <t>1355 San Francisco Street</t>
  </si>
  <si>
    <t xml:space="preserve">Berkeley, CA </t>
  </si>
  <si>
    <t>Eugene Cowan</t>
  </si>
  <si>
    <t>Jennifer Love</t>
  </si>
  <si>
    <t>213-239-8015</t>
  </si>
  <si>
    <t>510-387-1532</t>
  </si>
  <si>
    <t>ecowan@bocarsly.com</t>
  </si>
  <si>
    <t>jen@streamline-green.com</t>
  </si>
  <si>
    <t>CPA:</t>
  </si>
  <si>
    <t>Investor:</t>
  </si>
  <si>
    <t>TBD</t>
  </si>
  <si>
    <t>Consultant:</t>
  </si>
  <si>
    <t>California Housing Partnership</t>
  </si>
  <si>
    <t>Market Analyst:</t>
  </si>
  <si>
    <t>Laurin Associates</t>
  </si>
  <si>
    <t>49 Stevenson Street, Suite 500</t>
  </si>
  <si>
    <t>1501 Sports Drive, Suite A</t>
  </si>
  <si>
    <t>San Francisco, CA 94104</t>
  </si>
  <si>
    <t>Sacramento, CA 95834</t>
  </si>
  <si>
    <t>Jesse Ozanian</t>
  </si>
  <si>
    <t>Stefanie Williams</t>
  </si>
  <si>
    <t>707-616-8366</t>
  </si>
  <si>
    <t>916-372-6100</t>
  </si>
  <si>
    <t>jozanian@chpc.net</t>
  </si>
  <si>
    <t>swilliams@laurinassociates.com</t>
  </si>
  <si>
    <t>Appraiser:</t>
  </si>
  <si>
    <t>James G. Palmer Appraisals Inc.</t>
  </si>
  <si>
    <t>CNA Consultant:</t>
  </si>
  <si>
    <t>Elizabeth McLachlan Consulting, Inc.</t>
  </si>
  <si>
    <t>5850 E. Shields Avenue #105</t>
  </si>
  <si>
    <t>2370 Market Street, Suite189</t>
  </si>
  <si>
    <t>Fresno, California 93727</t>
  </si>
  <si>
    <t>San Francisco, CA 94114</t>
  </si>
  <si>
    <t>Gregg Palmer, MAI - President</t>
  </si>
  <si>
    <t>Elizabeth McLachlan</t>
  </si>
  <si>
    <t>559-226-5020</t>
  </si>
  <si>
    <t>415-203-8814</t>
  </si>
  <si>
    <t>gregg@jgpinc.com</t>
  </si>
  <si>
    <t>emclach@gmail.com</t>
  </si>
  <si>
    <t>Bond Issuer:</t>
  </si>
  <si>
    <t>California Municipal Finance Authority</t>
  </si>
  <si>
    <t>Prop. Mgmt. Co.:</t>
  </si>
  <si>
    <t>2111 Palomar Airport Rd, Suite 320</t>
  </si>
  <si>
    <t>Carlsbad, CA 92011</t>
  </si>
  <si>
    <t>Anthony Stubbs</t>
  </si>
  <si>
    <t>760-930-1333</t>
  </si>
  <si>
    <t>astubbs@cmfa-ca.com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</si>
  <si>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</si>
  <si>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</si>
  <si>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</si>
  <si>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</si>
  <si>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</si>
  <si>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</si>
  <si>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</si>
  <si>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</si>
  <si>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</si>
  <si>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</si>
  <si>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</si>
  <si>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</si>
  <si>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</si>
  <si>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</si>
  <si>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</si>
  <si>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</si>
  <si>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</si>
  <si>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</si>
  <si>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</si>
  <si>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</si>
  <si>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</si>
  <si>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</si>
  <si>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</si>
  <si>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Multifamily Residential Affordable Housing</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</si>
  <si>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</si>
  <si>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</si>
  <si>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</si>
  <si>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</si>
  <si>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</si>
  <si>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</si>
  <si>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</si>
  <si>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</si>
  <si>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</si>
  <si>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</si>
  <si>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</si>
  <si>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San Clemente Housing Partners, LP and EAH Inc.</t>
  </si>
  <si>
    <t>Signatory of Seller:</t>
  </si>
  <si>
    <t>Seller Principal:</t>
  </si>
  <si>
    <t>Assistant Secretary</t>
  </si>
  <si>
    <t>Seller Address:</t>
  </si>
  <si>
    <t>22 Pelican Way, San Rafael, CA 94901</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</si>
  <si>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</si>
  <si>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</si>
  <si>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</si>
  <si>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</si>
  <si>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</si>
  <si>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</si>
  <si>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</si>
  <si>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</si>
  <si>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</si>
  <si>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</si>
  <si>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</si>
  <si>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</si>
  <si>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</si>
  <si>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</si>
  <si>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</si>
  <si>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</si>
  <si>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</si>
  <si>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</si>
  <si>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</si>
  <si>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</si>
  <si>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Existing ground lease will terminate with merging of leasehold and fee interests upon purchase by the buyer</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</si>
  <si>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</si>
  <si>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</si>
  <si>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</si>
  <si>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</si>
  <si>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</si>
  <si>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</si>
  <si>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</si>
  <si>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</si>
  <si>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</si>
  <si>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</si>
  <si>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</si>
  <si>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</si>
  <si>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</si>
  <si>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</si>
  <si>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</si>
  <si>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</si>
  <si>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</si>
  <si>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119,172 sqft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</si>
  <si>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</si>
  <si>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</si>
  <si>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</si>
  <si>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</si>
  <si>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</si>
  <si>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</si>
  <si>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</si>
  <si>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</si>
  <si>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</si>
  <si>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</si>
  <si>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</si>
  <si>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</si>
  <si>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</si>
  <si>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</si>
  <si>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</si>
  <si>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</si>
  <si>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</si>
  <si>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</si>
  <si>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</si>
  <si>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</si>
  <si>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</si>
  <si>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</si>
  <si>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</si>
  <si>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</si>
  <si>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</si>
  <si>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</si>
  <si>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</si>
  <si>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</si>
  <si>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</si>
  <si>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</si>
  <si>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</si>
  <si>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</si>
  <si>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</si>
  <si>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</si>
  <si>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</si>
  <si>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</si>
  <si>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</si>
  <si>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</si>
  <si>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</si>
  <si>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</si>
  <si>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</si>
  <si>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</si>
  <si>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</si>
  <si>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</si>
  <si>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</si>
  <si>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</si>
  <si>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</si>
  <si>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</si>
  <si>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Multifamily</t>
  </si>
  <si>
    <t>Current Zoning and Maximum Density</t>
  </si>
  <si>
    <t>Existing Property</t>
  </si>
  <si>
    <t>Proposed Zoning and Maximum Density</t>
  </si>
  <si>
    <t>No Changes</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</si>
  <si>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</si>
  <si>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</si>
  <si>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</si>
  <si>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</si>
  <si>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</si>
  <si>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</si>
  <si>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</si>
  <si>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</si>
  <si>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</si>
  <si>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</si>
  <si>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</si>
  <si>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</si>
  <si>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</si>
  <si>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</si>
  <si>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</si>
  <si>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</si>
  <si>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</si>
  <si>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</si>
  <si>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</si>
  <si>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</si>
  <si>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</si>
  <si>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</si>
  <si>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</si>
  <si>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</si>
  <si>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</si>
  <si>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</si>
  <si>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</si>
  <si>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</si>
  <si>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</si>
  <si>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</si>
  <si>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</si>
  <si>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</si>
  <si>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</si>
  <si>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</si>
  <si>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</si>
  <si>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</si>
  <si>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</si>
  <si>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</si>
  <si>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</si>
  <si>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</si>
  <si>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</si>
  <si>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</si>
  <si>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</si>
  <si>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</si>
  <si>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</si>
  <si>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</si>
  <si>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</si>
  <si>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</si>
  <si>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</si>
  <si>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</si>
  <si>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</si>
  <si>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</si>
  <si>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</si>
  <si>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</si>
  <si>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</si>
  <si>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</si>
  <si>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</si>
  <si>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</si>
  <si>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</si>
  <si>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</si>
  <si>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</si>
  <si>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</si>
  <si>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</si>
  <si>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</si>
  <si>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</si>
  <si>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</si>
  <si>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</si>
  <si>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</si>
  <si>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</si>
  <si>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</si>
  <si>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</si>
  <si>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</si>
  <si>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</si>
  <si>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</si>
  <si>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</si>
  <si>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Variable</t>
  </si>
  <si>
    <t>US Bank Recycled Bonds</t>
  </si>
  <si>
    <t>Seller Carryback Loan</t>
  </si>
  <si>
    <t>Fixed</t>
  </si>
  <si>
    <t>Assumed HCD MHP</t>
  </si>
  <si>
    <t>6)</t>
  </si>
  <si>
    <t>7)</t>
  </si>
  <si>
    <t>Assumed County HOME</t>
  </si>
  <si>
    <t>8)</t>
  </si>
  <si>
    <t>9)</t>
  </si>
  <si>
    <t>Costs Deferred Until Conversion</t>
  </si>
  <si>
    <t>10)</t>
  </si>
  <si>
    <t>Deferred Developer Fee</t>
  </si>
  <si>
    <t>11)</t>
  </si>
  <si>
    <t>Limited Partnership Equity</t>
  </si>
  <si>
    <t>12)</t>
  </si>
  <si>
    <t>Total Funds For Construction:</t>
  </si>
  <si>
    <t>Lender/Source:</t>
  </si>
  <si>
    <t>200 Pringle Ave, Ste 50</t>
  </si>
  <si>
    <t xml:space="preserve">Walnut Creek, CA </t>
  </si>
  <si>
    <t>Contact Name:</t>
  </si>
  <si>
    <t>Josh Evju</t>
  </si>
  <si>
    <t>415-272-5300</t>
  </si>
  <si>
    <t>Type of Financing:</t>
  </si>
  <si>
    <t>Construction</t>
  </si>
  <si>
    <t>Variable Rate Index (if applicable):</t>
  </si>
  <si>
    <t>SOFR 1.85</t>
  </si>
  <si>
    <t>Is the Lender/Source Committed?</t>
  </si>
  <si>
    <t>415-295-8876</t>
  </si>
  <si>
    <t>Residual Receipt</t>
  </si>
  <si>
    <t>651 Bannon Street, 8th Floor</t>
  </si>
  <si>
    <t>Sacramento, CA 94252</t>
  </si>
  <si>
    <t>Hasmik Mnatsakanyan</t>
  </si>
  <si>
    <t>916-776-7702</t>
  </si>
  <si>
    <t>3501 Civic Center Drive</t>
  </si>
  <si>
    <t>San Rafael, CA 94903</t>
  </si>
  <si>
    <t>LeeLee Thomas</t>
  </si>
  <si>
    <t>415-473-6697</t>
  </si>
  <si>
    <t>Equity</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</si>
  <si>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</si>
  <si>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</si>
  <si>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</si>
  <si>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</si>
  <si>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</si>
  <si>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</si>
  <si>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US Bank Permanent Loan</t>
  </si>
  <si>
    <t>Required</t>
  </si>
  <si>
    <t>Residual</t>
  </si>
  <si>
    <t>Assumed County HOME loan</t>
  </si>
  <si>
    <t>Income from Operations</t>
  </si>
  <si>
    <t>Deferred</t>
  </si>
  <si>
    <t>Existing Reserves</t>
  </si>
  <si>
    <t>Total Permanent Financing:</t>
  </si>
  <si>
    <t>Total Tax Credit Equity:</t>
  </si>
  <si>
    <t>Total Sources of Project Funds:</t>
  </si>
  <si>
    <t>Tax Exempt Permanent Loan</t>
  </si>
  <si>
    <t xml:space="preserve">San Rafael, CA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</si>
  <si>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</si>
  <si>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</si>
  <si>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</si>
  <si>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</si>
  <si>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</si>
  <si>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</si>
  <si>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</si>
  <si>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</si>
  <si>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</si>
  <si>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</si>
  <si>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</si>
  <si>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</si>
  <si>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</si>
  <si>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</si>
  <si>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</si>
  <si>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</si>
  <si>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</si>
  <si>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</si>
  <si>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</si>
  <si>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</si>
  <si>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</si>
  <si>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</si>
  <si>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</si>
  <si>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</si>
  <si>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</si>
  <si>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</si>
  <si>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</si>
  <si>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</si>
  <si>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</si>
  <si>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</si>
  <si>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</si>
  <si>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</si>
  <si>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</si>
  <si>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</si>
  <si>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</si>
  <si>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</si>
  <si>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</si>
  <si>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</si>
  <si>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</si>
  <si>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</si>
  <si>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</si>
  <si>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</si>
  <si>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</si>
  <si>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</si>
  <si>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</si>
  <si>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</si>
  <si>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</si>
  <si>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</si>
  <si>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</si>
  <si>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</si>
  <si>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</si>
  <si>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</si>
  <si>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</si>
  <si>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</si>
  <si>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</si>
  <si>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</si>
  <si>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</si>
  <si>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</si>
  <si>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</si>
  <si>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</si>
  <si>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</si>
  <si>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</si>
  <si>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</si>
  <si>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</si>
  <si>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</si>
  <si>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</si>
  <si>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</si>
  <si>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</si>
  <si>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</si>
  <si>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</si>
  <si>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</si>
  <si>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</si>
  <si>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</si>
  <si>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</si>
  <si>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</si>
  <si>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</si>
  <si>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</si>
  <si>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</si>
  <si>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</si>
  <si>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</si>
  <si>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</si>
  <si>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</si>
  <si>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</si>
  <si>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</si>
  <si>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</si>
  <si>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</si>
  <si>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</si>
  <si>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</si>
  <si>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</si>
  <si>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</si>
  <si>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</si>
  <si>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</si>
  <si>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</si>
  <si>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</si>
  <si>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</si>
  <si>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</si>
  <si>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</si>
  <si>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</si>
  <si>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</si>
  <si>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</si>
  <si>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</si>
  <si>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</si>
  <si>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</si>
  <si>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</si>
  <si>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</si>
  <si>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</si>
  <si>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</si>
  <si>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</si>
  <si>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</si>
  <si>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</si>
  <si>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</si>
  <si>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</si>
  <si>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</si>
  <si>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</si>
  <si>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</si>
  <si>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</si>
  <si>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</si>
  <si>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</si>
  <si>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</si>
  <si>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</si>
  <si>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</si>
  <si>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</si>
  <si>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</si>
  <si>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</si>
  <si>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</si>
  <si>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</si>
  <si>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</si>
  <si>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</si>
  <si>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</si>
  <si>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</si>
  <si>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</si>
  <si>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</si>
  <si>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</si>
  <si>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</si>
  <si>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</si>
  <si>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</si>
  <si>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</si>
  <si>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</si>
  <si>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</si>
  <si>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</si>
  <si>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</si>
  <si>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</si>
  <si>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</si>
  <si>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</si>
  <si>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</si>
  <si>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</si>
  <si>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</si>
  <si>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</si>
  <si>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</si>
  <si>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</si>
  <si>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</si>
  <si>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</si>
  <si>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</si>
  <si>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</si>
  <si>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</si>
  <si>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</si>
  <si>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</si>
  <si>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</si>
  <si>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</si>
  <si>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</si>
  <si>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</si>
  <si>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</si>
  <si>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</si>
  <si>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</si>
  <si>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</si>
  <si>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</si>
  <si>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</si>
  <si>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</si>
  <si>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</si>
  <si>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</si>
  <si>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</si>
  <si>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</si>
  <si>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</si>
  <si>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</si>
  <si>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</si>
  <si>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</si>
  <si>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</si>
  <si>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</si>
  <si>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</si>
  <si>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</si>
  <si>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</si>
  <si>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</si>
  <si>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</si>
  <si>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</si>
  <si>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</si>
  <si>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</si>
  <si>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</si>
  <si>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</si>
  <si>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</si>
  <si>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</si>
  <si>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</si>
  <si>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</si>
  <si>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</si>
  <si>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</si>
  <si>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</si>
  <si>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</si>
  <si>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</si>
  <si>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</si>
  <si>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</si>
  <si>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</si>
  <si>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</si>
  <si>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</si>
  <si>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</si>
  <si>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</si>
  <si>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</si>
  <si>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</si>
  <si>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</si>
  <si>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</si>
  <si>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</si>
  <si>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</si>
  <si>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</si>
  <si>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</si>
  <si>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</si>
  <si>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</si>
  <si>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</si>
  <si>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</si>
  <si>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</si>
  <si>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</si>
  <si>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</si>
  <si>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</si>
  <si>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</si>
  <si>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</si>
  <si>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</si>
  <si>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</si>
  <si>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</si>
  <si>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</si>
  <si>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</si>
  <si>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</si>
  <si>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</si>
  <si>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</si>
  <si>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</si>
  <si>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</si>
  <si>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</si>
  <si>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</si>
  <si>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</si>
  <si>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</si>
  <si>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</si>
  <si>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</si>
  <si>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</si>
  <si>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</si>
  <si>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</si>
  <si>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</si>
  <si>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</si>
  <si>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</si>
  <si>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</si>
  <si>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</si>
  <si>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</si>
  <si>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</si>
  <si>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</si>
  <si>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</si>
  <si>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</si>
  <si>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</si>
  <si>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</si>
  <si>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</si>
  <si>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</si>
  <si>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</si>
  <si>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</si>
  <si>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</si>
  <si>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</si>
  <si>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</si>
  <si>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</si>
  <si>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</si>
  <si>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</si>
  <si>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</si>
  <si>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</si>
  <si>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</si>
  <si>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</si>
  <si>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</si>
  <si>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</si>
  <si>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</si>
  <si>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</si>
  <si>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</si>
  <si>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</si>
  <si>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</si>
  <si>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</si>
  <si>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</si>
  <si>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</si>
  <si>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</si>
  <si>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</si>
  <si>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</si>
  <si>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</si>
  <si>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</si>
  <si>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</si>
  <si>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</si>
  <si>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</si>
  <si>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</si>
  <si>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</si>
  <si>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</si>
  <si>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</si>
  <si>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</si>
  <si>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</si>
  <si>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</si>
  <si>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</si>
  <si>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</si>
  <si>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</si>
  <si>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</si>
  <si>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</si>
  <si>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</si>
  <si>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</si>
  <si>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</si>
  <si>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</si>
  <si>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</si>
  <si>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</si>
  <si>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</si>
  <si>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</si>
  <si>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</si>
  <si>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</si>
  <si>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</si>
  <si>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</si>
  <si>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</si>
  <si>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</si>
  <si>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</si>
  <si>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</si>
  <si>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</si>
  <si>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</si>
  <si>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</si>
  <si>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</si>
  <si>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</si>
  <si>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</si>
  <si>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</si>
  <si>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</si>
  <si>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</si>
  <si>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</si>
  <si>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</si>
  <si>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</si>
  <si>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</si>
  <si>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</si>
  <si>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</si>
  <si>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</si>
  <si>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</si>
  <si>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</si>
  <si>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</si>
  <si>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</si>
  <si>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</si>
  <si>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</si>
  <si>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</si>
  <si>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</si>
  <si>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</si>
  <si>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</si>
  <si>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</si>
  <si>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</si>
  <si>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</si>
  <si>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</si>
  <si>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</si>
  <si>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</si>
  <si>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</si>
  <si>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</si>
  <si>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</si>
  <si>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</si>
  <si>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</si>
  <si>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</si>
  <si>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</si>
  <si>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</si>
  <si>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</si>
  <si>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</si>
  <si>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</si>
  <si>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</si>
  <si>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</si>
  <si>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</si>
  <si>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</si>
  <si>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</si>
  <si>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</si>
  <si>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</si>
  <si>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</si>
  <si>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</si>
  <si>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</si>
  <si>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</si>
  <si>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</si>
  <si>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</si>
  <si>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</si>
  <si>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</si>
  <si>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</si>
  <si>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</si>
  <si>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</si>
  <si>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</si>
  <si>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</si>
  <si>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</si>
  <si>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</si>
  <si>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</si>
  <si>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</si>
  <si>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</si>
  <si>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</si>
  <si>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</si>
  <si>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</si>
  <si>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</si>
  <si>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</si>
  <si>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</si>
  <si>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</si>
  <si>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</si>
  <si>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</si>
  <si>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</si>
  <si>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</si>
  <si>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</si>
  <si>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</si>
  <si>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</si>
  <si>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</si>
  <si>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</si>
  <si>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</si>
  <si>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</si>
  <si>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</si>
  <si>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</si>
  <si>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</si>
  <si>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</si>
  <si>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</si>
  <si>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</si>
  <si>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</si>
  <si>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</si>
  <si>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</si>
  <si>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</si>
  <si>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</si>
  <si>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</si>
  <si>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</si>
  <si>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</si>
  <si>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</si>
  <si>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</si>
  <si>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</si>
  <si>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</si>
  <si>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</si>
  <si>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</si>
  <si>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</si>
  <si>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</si>
  <si>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</si>
  <si>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</si>
  <si>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</si>
  <si>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</si>
  <si>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</si>
  <si>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</si>
  <si>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</si>
  <si>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</si>
  <si>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</si>
  <si>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</si>
  <si>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</si>
  <si>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</si>
  <si>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</si>
  <si>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</si>
  <si>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</si>
  <si>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</si>
  <si>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</si>
  <si>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</si>
  <si>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</si>
  <si>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</si>
  <si>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</si>
  <si>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</si>
  <si>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</si>
  <si>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</si>
  <si>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</si>
  <si>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</si>
  <si>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</si>
  <si>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</si>
  <si>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</si>
  <si>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</si>
  <si>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</si>
  <si>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</si>
  <si>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</si>
  <si>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</si>
  <si>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</si>
  <si>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</si>
  <si>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</si>
  <si>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</si>
  <si>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</si>
  <si>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</si>
  <si>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</si>
  <si>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</si>
  <si>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</si>
  <si>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</si>
  <si>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</si>
  <si>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</si>
  <si>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</si>
  <si>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</si>
  <si>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</si>
  <si>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</si>
  <si>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</si>
  <si>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</si>
  <si>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</si>
  <si>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</si>
  <si>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</si>
  <si>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</si>
  <si>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</si>
  <si>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</si>
  <si>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</si>
  <si>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</si>
  <si>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</si>
  <si>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</si>
  <si>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</si>
  <si>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</si>
  <si>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</si>
  <si>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</si>
  <si>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</si>
  <si>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</si>
  <si>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</si>
  <si>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</si>
  <si>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</si>
  <si>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</si>
  <si>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</si>
  <si>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</si>
  <si>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</si>
  <si>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</si>
  <si>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</si>
  <si>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</si>
  <si>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</si>
  <si>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</si>
  <si>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</si>
  <si>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</si>
  <si>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</si>
  <si>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</si>
  <si>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</si>
  <si>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</si>
  <si>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</si>
  <si>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</si>
  <si>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</si>
  <si>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</si>
  <si>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</si>
  <si>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</si>
  <si>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</si>
  <si>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</si>
  <si>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</si>
  <si>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</si>
  <si>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</si>
  <si>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</si>
  <si>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</si>
  <si>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</si>
  <si>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</si>
  <si>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</si>
  <si>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</si>
  <si>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</si>
  <si>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</si>
  <si>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</si>
  <si>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</si>
  <si>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</si>
  <si>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</si>
  <si>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</si>
  <si>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</si>
  <si>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</si>
  <si>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</si>
  <si>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</si>
  <si>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</si>
  <si>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</si>
  <si>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</si>
  <si>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</si>
  <si>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</si>
  <si>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</si>
  <si>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</si>
  <si>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</si>
  <si>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</si>
  <si>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</si>
  <si>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</si>
  <si>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</si>
  <si>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</si>
  <si>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</si>
  <si>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</si>
  <si>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</si>
  <si>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</si>
  <si>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</si>
  <si>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</si>
  <si>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</si>
  <si>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</si>
  <si>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</si>
  <si>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</si>
  <si>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</si>
  <si>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</si>
  <si>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</si>
  <si>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</si>
  <si>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</si>
  <si>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</si>
  <si>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</si>
  <si>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</si>
  <si>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</si>
  <si>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</si>
  <si>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</si>
  <si>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</si>
  <si>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</si>
  <si>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</si>
  <si>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</si>
  <si>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</si>
  <si>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</si>
  <si>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</si>
  <si>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</si>
  <si>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</si>
  <si>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</si>
  <si>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</si>
  <si>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</si>
  <si>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</si>
  <si>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</si>
  <si>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</si>
  <si>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</si>
  <si>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</si>
  <si>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</si>
  <si>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</si>
  <si>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</si>
  <si>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</si>
  <si>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</si>
  <si>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</si>
  <si>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</si>
  <si>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</si>
  <si>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</si>
  <si>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</si>
  <si>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</si>
  <si>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</si>
  <si>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</si>
  <si>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</si>
  <si>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</si>
  <si>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</si>
  <si>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</si>
  <si>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</si>
  <si>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</si>
  <si>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</si>
  <si>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</si>
  <si>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</si>
  <si>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</si>
  <si>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</si>
  <si>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</si>
  <si>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</si>
  <si>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</si>
  <si>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</si>
  <si>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</si>
  <si>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</si>
  <si>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</si>
  <si>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</si>
  <si>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</si>
  <si>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</si>
  <si>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</si>
  <si>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</si>
  <si>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</si>
  <si>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</si>
  <si>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</si>
  <si>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</si>
  <si>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</si>
  <si>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</si>
  <si>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</si>
  <si>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</si>
  <si>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</si>
  <si>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</si>
  <si>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</si>
  <si>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</si>
  <si>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</si>
  <si>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</si>
  <si>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</si>
  <si>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</si>
  <si>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</si>
  <si>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</si>
  <si>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</si>
  <si>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</si>
  <si>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</si>
  <si>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</si>
  <si>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</si>
  <si>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</si>
  <si>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</si>
  <si>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</si>
  <si>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</si>
  <si>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</si>
  <si>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</si>
  <si>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</si>
  <si>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</si>
  <si>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</si>
  <si>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</si>
  <si>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</si>
  <si>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</si>
  <si>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</si>
  <si>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</si>
  <si>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</si>
  <si>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</si>
  <si>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</si>
  <si>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</si>
  <si>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</si>
  <si>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</si>
  <si>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</si>
  <si>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</si>
  <si>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</si>
  <si>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</si>
  <si>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</si>
  <si>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</si>
  <si>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</si>
  <si>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</si>
  <si>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</si>
  <si>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</si>
  <si>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</si>
  <si>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</si>
  <si>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</si>
  <si>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</si>
  <si>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</si>
  <si>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</si>
  <si>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</si>
  <si>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</si>
  <si>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</si>
  <si>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</si>
  <si>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</si>
  <si>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</si>
  <si>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</si>
  <si>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</si>
  <si>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</si>
  <si>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</si>
  <si>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</si>
  <si>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</si>
  <si>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</si>
  <si>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</si>
  <si>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</si>
  <si>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</si>
  <si>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</si>
  <si>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</si>
  <si>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</si>
  <si>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</si>
  <si>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</si>
  <si>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</si>
  <si>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</si>
  <si>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</si>
  <si>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</si>
  <si>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</si>
  <si>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</si>
  <si>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</si>
  <si>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</si>
  <si>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</si>
  <si>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</si>
  <si>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</si>
  <si>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</si>
  <si>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</si>
  <si>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</si>
  <si>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</si>
  <si>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</si>
  <si>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</si>
  <si>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</si>
  <si>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</si>
  <si>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</si>
  <si>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</si>
  <si>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</si>
  <si>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</si>
  <si>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</si>
  <si>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</si>
  <si>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</si>
  <si>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</si>
  <si>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</si>
  <si>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</si>
  <si>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</si>
  <si>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</si>
  <si>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</si>
  <si>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</si>
  <si>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</si>
  <si>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</si>
  <si>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</si>
  <si>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</si>
  <si>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</si>
  <si>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</si>
  <si>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</si>
  <si>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</si>
  <si>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</si>
  <si>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</si>
  <si>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</si>
  <si>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</si>
  <si>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</si>
  <si>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</si>
  <si>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</si>
  <si>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</si>
  <si>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</si>
  <si>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</si>
  <si>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</si>
  <si>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</si>
  <si>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</si>
  <si>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</si>
  <si>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</si>
  <si>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</si>
  <si>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</si>
  <si>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</si>
  <si>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</si>
  <si>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</si>
  <si>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</si>
  <si>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</si>
  <si>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</si>
  <si>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</si>
  <si>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</si>
  <si>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</si>
  <si>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</si>
  <si>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</si>
  <si>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</si>
  <si>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</si>
  <si>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</si>
  <si>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</si>
  <si>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</si>
  <si>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</si>
  <si>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</si>
  <si>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</si>
  <si>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</si>
  <si>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</si>
  <si>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</si>
  <si>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</si>
  <si>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</si>
  <si>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</si>
  <si>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</si>
  <si>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</si>
  <si>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</si>
  <si>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</si>
  <si>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</si>
  <si>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</si>
  <si>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</si>
  <si>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</si>
  <si>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</si>
  <si>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</si>
  <si>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</si>
  <si>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</si>
  <si>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</si>
  <si>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</si>
  <si>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</si>
  <si>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</si>
  <si>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</si>
  <si>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</si>
  <si>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</si>
  <si>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</si>
  <si>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</si>
  <si>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</si>
  <si>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</si>
  <si>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</si>
  <si>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</si>
  <si>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</si>
  <si>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</si>
  <si>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</si>
  <si>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</si>
  <si>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</si>
  <si>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</si>
  <si>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</si>
  <si>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</si>
  <si>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</si>
  <si>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</si>
  <si>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</si>
  <si>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</si>
  <si>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</si>
  <si>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</si>
  <si>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</si>
  <si>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</si>
  <si>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</si>
  <si>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</si>
  <si>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</si>
  <si>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</si>
  <si>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</si>
  <si>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</si>
  <si>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</si>
  <si>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</si>
  <si>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</si>
  <si>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</si>
  <si>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</si>
  <si>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</si>
  <si>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</si>
  <si>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</si>
  <si>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</si>
  <si>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</si>
  <si>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</si>
  <si>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</si>
  <si>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</si>
  <si>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</si>
  <si>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</si>
  <si>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</si>
  <si>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</si>
  <si>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</si>
  <si>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</si>
  <si>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</si>
  <si>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</si>
  <si>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</si>
  <si>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</si>
  <si>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</si>
  <si>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</si>
  <si>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</si>
  <si>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</si>
  <si>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</si>
  <si>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</si>
  <si>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</si>
  <si>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</si>
  <si>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</si>
  <si>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</si>
  <si>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</si>
  <si>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</si>
  <si>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</si>
  <si>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</si>
  <si>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</si>
  <si>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</si>
  <si>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</si>
  <si>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</si>
  <si>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</si>
  <si>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</si>
  <si>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</si>
  <si>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</si>
  <si>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</si>
  <si>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</si>
  <si>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</si>
  <si>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</si>
  <si>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</si>
  <si>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</si>
  <si>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</si>
  <si>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</si>
  <si>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</si>
  <si>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</si>
  <si>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</si>
  <si>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</si>
  <si>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</si>
  <si>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</si>
  <si>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</si>
  <si>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</si>
  <si>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</si>
  <si>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</si>
  <si>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</si>
  <si>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</si>
  <si>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</si>
  <si>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</si>
  <si>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</si>
  <si>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</si>
  <si>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</si>
  <si>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</si>
  <si>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</si>
  <si>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</si>
  <si>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</si>
  <si>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</si>
  <si>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</si>
  <si>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</si>
  <si>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</si>
  <si>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</si>
  <si>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</si>
  <si>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</si>
  <si>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</si>
  <si>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</si>
  <si>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</si>
  <si>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</si>
  <si>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</si>
  <si>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</si>
  <si>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</si>
  <si>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</si>
  <si>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</si>
  <si>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</si>
  <si>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</si>
  <si>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</si>
  <si>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</si>
  <si>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</si>
  <si>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</si>
  <si>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</si>
  <si>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</si>
  <si>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</si>
  <si>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</si>
  <si>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</si>
  <si>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</si>
  <si>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</si>
  <si>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</si>
  <si>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</si>
  <si>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</si>
  <si>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</si>
  <si>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</si>
  <si>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</si>
  <si>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</si>
  <si>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</si>
  <si>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</si>
  <si>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</si>
  <si>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</si>
  <si>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</si>
  <si>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</si>
  <si>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</si>
  <si>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</si>
  <si>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</si>
  <si>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</si>
  <si>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</si>
  <si>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</si>
  <si>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</si>
  <si>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</si>
  <si>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</si>
  <si>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</si>
  <si>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</si>
  <si>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</si>
  <si>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</si>
  <si>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</si>
  <si>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</si>
  <si>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</si>
  <si>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</si>
  <si>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</si>
  <si>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</si>
  <si>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</si>
  <si>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</si>
  <si>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</si>
  <si>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</si>
  <si>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</si>
  <si>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</si>
  <si>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</si>
  <si>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</si>
  <si>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</si>
  <si>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</si>
  <si>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</si>
  <si>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</si>
  <si>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</si>
  <si>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</si>
  <si>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</si>
  <si>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</si>
  <si>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</si>
  <si>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</si>
  <si>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</si>
  <si>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</si>
  <si>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</si>
  <si>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</si>
  <si>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</si>
  <si>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</si>
  <si>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</si>
  <si>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</si>
  <si>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</si>
  <si>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</si>
  <si>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</si>
  <si>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</si>
  <si>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</si>
  <si>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</si>
  <si>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</si>
  <si>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</si>
  <si>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</si>
  <si>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</si>
  <si>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</si>
  <si>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</si>
  <si>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</si>
  <si>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</si>
  <si>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</si>
  <si>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</si>
  <si>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</si>
  <si>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</si>
  <si>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</si>
  <si>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</si>
  <si>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</si>
  <si>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</si>
  <si>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</si>
  <si>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</si>
  <si>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</si>
  <si>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</si>
  <si>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</si>
  <si>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</si>
  <si>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</si>
  <si>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</si>
  <si>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</si>
  <si>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</si>
  <si>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</si>
  <si>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</si>
  <si>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</si>
  <si>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</si>
  <si>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</si>
  <si>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</si>
  <si>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</si>
  <si>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</si>
  <si>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</si>
  <si>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</si>
  <si>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</si>
  <si>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</si>
  <si>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</si>
  <si>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</si>
  <si>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</si>
  <si>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</si>
  <si>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</si>
  <si>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</si>
  <si>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</si>
  <si>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</si>
  <si>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</si>
  <si>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</si>
  <si>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</si>
  <si>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</si>
  <si>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</si>
  <si>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</si>
  <si>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</si>
  <si>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</si>
  <si>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</si>
  <si>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</si>
  <si>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</si>
  <si>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</si>
  <si>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</si>
  <si>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</si>
  <si>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</si>
  <si>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</si>
  <si>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</si>
  <si>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</si>
  <si>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</si>
  <si>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</si>
  <si>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</si>
  <si>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</si>
  <si>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</si>
  <si>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</si>
  <si>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</si>
  <si>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</si>
  <si>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</si>
  <si>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</si>
  <si>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</si>
  <si>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</si>
  <si>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</si>
  <si>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</si>
  <si>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</si>
  <si>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</si>
  <si>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</si>
  <si>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</si>
  <si>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</si>
  <si>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</si>
  <si>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</si>
  <si>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</si>
  <si>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</si>
  <si>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</si>
  <si>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</si>
  <si>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</si>
  <si>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</si>
  <si>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</si>
  <si>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</si>
  <si>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</si>
  <si>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</si>
  <si>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</si>
  <si>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</si>
  <si>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</si>
  <si>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</si>
  <si>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</si>
  <si>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</si>
  <si>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</si>
  <si>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</si>
  <si>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</si>
  <si>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</si>
  <si>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</si>
  <si>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</si>
  <si>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</si>
  <si>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</si>
  <si>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</si>
  <si>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</si>
  <si>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</si>
  <si>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</si>
  <si>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</si>
  <si>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</si>
  <si>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</si>
  <si>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</si>
  <si>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</si>
  <si>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</si>
  <si>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</si>
  <si>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</si>
  <si>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</si>
  <si>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</si>
  <si>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</si>
  <si>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</si>
  <si>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</si>
  <si>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</si>
  <si>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</si>
  <si>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</si>
  <si>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</si>
  <si>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</si>
  <si>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</si>
  <si>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</si>
  <si>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</si>
  <si>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</si>
  <si>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</si>
  <si>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</si>
  <si>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</si>
  <si>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</si>
  <si>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</si>
  <si>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</si>
  <si>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</si>
  <si>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</si>
  <si>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</si>
  <si>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</si>
  <si>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</si>
  <si>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</si>
  <si>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</si>
  <si>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</si>
  <si>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</si>
  <si>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</si>
  <si>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</si>
  <si>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</si>
  <si>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</si>
  <si>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</si>
  <si>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</si>
  <si>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</si>
  <si>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</si>
  <si>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</si>
  <si>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</si>
  <si>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</si>
  <si>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</si>
  <si>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</si>
  <si>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</si>
  <si>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</si>
  <si>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</si>
  <si>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</si>
  <si>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</si>
  <si>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</si>
  <si>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</si>
  <si>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</si>
  <si>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</si>
  <si>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</si>
  <si>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</si>
  <si>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</si>
  <si>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</si>
  <si>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</si>
  <si>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</si>
  <si>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</si>
  <si>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</si>
  <si>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</si>
  <si>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</si>
  <si>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</si>
  <si>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</si>
  <si>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</si>
  <si>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</si>
  <si>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</si>
  <si>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</si>
  <si>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</si>
  <si>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</si>
  <si>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</si>
  <si>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</si>
  <si>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</si>
  <si>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</si>
  <si>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</si>
  <si>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</si>
  <si>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</si>
  <si>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</si>
  <si>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</si>
  <si>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</si>
  <si>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</si>
  <si>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</si>
  <si>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</si>
  <si>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</si>
  <si>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</si>
  <si>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</si>
  <si>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</si>
  <si>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</si>
  <si>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</si>
  <si>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</si>
  <si>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</si>
  <si>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</si>
  <si>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</si>
  <si>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</si>
  <si>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</si>
  <si>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</si>
  <si>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</si>
  <si>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</si>
  <si>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</si>
  <si>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</si>
  <si>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</si>
  <si>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</si>
  <si>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</si>
  <si>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</si>
  <si>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</si>
  <si>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</si>
  <si>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</si>
  <si>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</si>
  <si>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</si>
  <si>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</si>
  <si>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</si>
  <si>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</si>
  <si>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</si>
  <si>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</si>
  <si>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</si>
  <si>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</si>
  <si>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</si>
  <si>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</si>
  <si>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</si>
  <si>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</si>
  <si>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</si>
  <si>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</si>
  <si>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</si>
  <si>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</si>
  <si>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</si>
  <si>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</si>
  <si>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</si>
  <si>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</si>
  <si>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</si>
  <si>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</si>
  <si>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</si>
  <si>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</si>
  <si>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</si>
  <si>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</si>
  <si>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</si>
  <si>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</si>
  <si>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</si>
  <si>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</si>
  <si>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</si>
  <si>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</si>
  <si>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</si>
  <si>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</si>
  <si>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</si>
  <si>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</si>
  <si>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</si>
  <si>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</si>
  <si>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</si>
  <si>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</si>
  <si>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</si>
  <si>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</si>
  <si>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</si>
  <si>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</si>
  <si>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</si>
  <si>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</si>
  <si>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</si>
  <si>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</si>
  <si>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</si>
  <si>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</si>
  <si>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</si>
  <si>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</si>
  <si>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</si>
  <si>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</si>
  <si>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</si>
  <si>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</si>
  <si>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</si>
  <si>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</si>
  <si>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</si>
  <si>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</si>
  <si>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1 bedroom</t>
  </si>
  <si>
    <t>2 bedroom</t>
  </si>
  <si>
    <t>3 bedroom</t>
  </si>
  <si>
    <t>Late Charges / Other Income</t>
  </si>
  <si>
    <t>Natural Gas Charge</t>
  </si>
  <si>
    <t>Housing Authority of the County of Marin</t>
  </si>
  <si>
    <t>Misc Admin</t>
  </si>
  <si>
    <t>Taxes/ Benefits</t>
  </si>
  <si>
    <t>HVAC / Fire Protection</t>
  </si>
  <si>
    <t>Misc. Tax/ License</t>
  </si>
  <si>
    <t>Project-based vouchers (PBVs)</t>
  </si>
  <si>
    <t>Tax-Exempt Bonds</t>
  </si>
  <si>
    <t>Recycled Bonds</t>
  </si>
  <si>
    <t>Taxable Tail</t>
  </si>
  <si>
    <t>Other (Bond Issuer Fee):</t>
  </si>
  <si>
    <t>Seller Loan</t>
  </si>
  <si>
    <t>Other: Environmental Remediation</t>
  </si>
  <si>
    <t>Owner Legal</t>
  </si>
  <si>
    <t>HCD Pooled Reserve Fee</t>
  </si>
  <si>
    <t>Assumed County HOME Loan</t>
  </si>
  <si>
    <t>4th</t>
  </si>
  <si>
    <t>September</t>
  </si>
  <si>
    <t>Reserves</t>
  </si>
  <si>
    <t>Provided</t>
  </si>
  <si>
    <t>Not Applicable</t>
  </si>
  <si>
    <t>Project Manager</t>
  </si>
  <si>
    <t>Aprio, LLP</t>
  </si>
  <si>
    <t>2185 N California Blvd</t>
  </si>
  <si>
    <t>Walnut Creek, CA 94596</t>
  </si>
  <si>
    <t>Roza Chan</t>
  </si>
  <si>
    <t>925-238-7157</t>
  </si>
  <si>
    <t>roza.chan@aprio.com</t>
  </si>
  <si>
    <t>kasey.archey@eahhousing.org</t>
  </si>
  <si>
    <t>Kasey Archey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</si>
</sst>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18">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9" fontId="16" fillId="0" borderId="11" xfId="4494" applyFont="1" applyBorder="1" applyAlignment="1">
      <alignment horizontal="center"/>
    </xf>
    <xf numFmtId="0" fontId="16" fillId="0" borderId="0" xfId="0" applyFont="1" applyAlignment="1">
      <alignment horizontal="left" vertical="top" wrapText="1"/>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0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94" fillId="0" borderId="0" xfId="0" applyFont="1" applyAlignment="1">
      <alignment horizontal="left" vertical="top" wrapText="1"/>
    </xf>
    <xf numFmtId="0" fontId="17" fillId="0" borderId="0" xfId="244" applyAlignment="1">
      <alignment horizontal="left" vertical="top"/>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6" fillId="45" borderId="11" xfId="0" applyFont="1" applyFill="1" applyBorder="1" applyAlignment="1">
      <alignment horizontal="center"/>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 fillId="0" borderId="11" xfId="0" applyNumberFormat="1" applyFont="1" applyBorder="1" applyAlignment="1">
      <alignment horizontal="center"/>
    </xf>
    <xf numFmtId="168" fontId="145" fillId="0" borderId="0" xfId="0" applyNumberFormat="1" applyFont="1" applyAlignment="1">
      <alignment horizontal="center" vertical="center" wrapText="1"/>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16" fillId="5" borderId="11" xfId="0" applyNumberFormat="1" applyFont="1" applyFill="1" applyBorder="1" applyAlignment="1" applyProtection="1">
      <alignment horizontal="center"/>
      <protection locked="0"/>
    </xf>
    <xf numFmtId="10" fontId="16"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16"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6" fillId="5" borderId="11" xfId="0" quotePrefix="1" applyNumberFormat="1" applyFont="1" applyFill="1" applyBorder="1" applyAlignment="1" applyProtection="1">
      <alignment horizontal="center"/>
      <protection locked="0"/>
    </xf>
    <xf numFmtId="1" fontId="16"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0" borderId="11" xfId="543"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24"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16"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0" fontId="0" fillId="0" borderId="0" xfId="0" applyAlignment="1">
      <alignment wrapText="1"/>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16"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16"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16"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4" fillId="0" borderId="3" xfId="543" applyFont="1" applyBorder="1" applyAlignment="1">
      <alignment horizontal="center"/>
    </xf>
    <xf numFmtId="0" fontId="24" fillId="0" borderId="5" xfId="543" applyFont="1" applyBorder="1" applyAlignment="1">
      <alignment horizontal="center"/>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10" xfId="0" applyFont="1" applyBorder="1" applyAlignment="1">
      <alignment horizontal="left" wrapText="1"/>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0" fontId="24"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0" xfId="0" applyFont="1" applyAlignment="1">
      <alignment vertical="center" wrapText="1"/>
    </xf>
    <xf numFmtId="0" fontId="16" fillId="0" borderId="0" xfId="543" applyAlignment="1">
      <alignment wrapText="1"/>
    </xf>
    <xf numFmtId="0" fontId="16" fillId="0" borderId="2" xfId="0" applyFont="1" applyBorder="1" applyAlignment="1">
      <alignment horizontal="left" vertical="top" wrapText="1"/>
    </xf>
    <xf numFmtId="177" fontId="16" fillId="5" borderId="6" xfId="0" applyNumberFormat="1" applyFont="1" applyFill="1" applyBorder="1" applyAlignment="1" applyProtection="1">
      <alignment horizontal="left" vertical="top" wrapText="1"/>
      <protection locked="0"/>
    </xf>
    <xf numFmtId="0" fontId="46" fillId="0" borderId="0" xfId="0" applyFont="1" applyAlignment="1">
      <alignment vertical="top" wrapText="1"/>
    </xf>
    <xf numFmtId="0" fontId="16" fillId="0" borderId="6" xfId="0" applyFont="1" applyBorder="1" applyAlignment="1">
      <alignment horizontal="right" vertical="top" wrapText="1"/>
    </xf>
    <xf numFmtId="0" fontId="16" fillId="0" borderId="6" xfId="0" applyFont="1" applyBorder="1" applyAlignment="1">
      <alignment vertical="top" wrapText="1"/>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2" xfId="0" applyFont="1" applyBorder="1" applyAlignment="1">
      <alignment vertical="top" wrapText="1"/>
    </xf>
    <xf numFmtId="0" fontId="45" fillId="0" borderId="0" xfId="0" applyFont="1" applyAlignment="1">
      <alignmen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0" fontId="16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168" fontId="163" fillId="44" borderId="11" xfId="8734" applyNumberFormat="1" applyFont="1" applyFill="1" applyBorder="1" applyAlignment="1" applyProtection="1">
      <alignment horizontal="left"/>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1" fontId="166" fillId="48" borderId="70" xfId="8733" applyNumberFormat="1"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0" fontId="155" fillId="45" borderId="67"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45" borderId="72" xfId="8733" applyFont="1" applyFill="1" applyBorder="1" applyAlignment="1">
      <alignment horizontal="center"/>
    </xf>
    <xf numFmtId="0" fontId="162" fillId="45" borderId="11" xfId="8733"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0" fontId="161" fillId="48" borderId="11" xfId="8733" applyFont="1" applyFill="1" applyBorder="1" applyAlignment="1" applyProtection="1">
      <alignment horizontal="center"/>
      <protection locked="0"/>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8" fillId="48" borderId="74" xfId="8733" applyFont="1" applyFill="1" applyBorder="1" applyAlignment="1" applyProtection="1">
      <alignment horizontal="left"/>
      <protection locked="0"/>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168" fontId="163" fillId="48" borderId="11" xfId="700" applyNumberFormat="1" applyFont="1" applyFill="1" applyBorder="1" applyAlignment="1" applyProtection="1">
      <alignment horizontal="left"/>
      <protection locked="0"/>
    </xf>
    <xf numFmtId="168" fontId="163" fillId="48" borderId="76" xfId="700" applyNumberFormat="1" applyFont="1" applyFill="1" applyBorder="1" applyAlignment="1" applyProtection="1">
      <alignment horizontal="left"/>
      <protection locked="0"/>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0" fontId="161" fillId="48" borderId="72" xfId="8733" applyFont="1" applyFill="1" applyBorder="1" applyAlignment="1" applyProtection="1">
      <alignment horizontal="center"/>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62" fillId="45" borderId="11" xfId="8733" applyFont="1" applyFill="1" applyBorder="1" applyAlignment="1">
      <alignment horizontal="center" wrapText="1"/>
    </xf>
    <xf numFmtId="0" fontId="154" fillId="45" borderId="11" xfId="8733" applyFont="1" applyFill="1" applyBorder="1" applyAlignment="1">
      <alignment horizontal="center"/>
    </xf>
    <xf numFmtId="0" fontId="154" fillId="45" borderId="76" xfId="8733" applyFont="1" applyFill="1" applyBorder="1" applyAlignment="1">
      <alignment horizontal="center"/>
    </xf>
    <xf numFmtId="0" fontId="162" fillId="45" borderId="7" xfId="8733" applyFont="1" applyFill="1" applyBorder="1" applyAlignment="1">
      <alignment horizontal="left"/>
    </xf>
    <xf numFmtId="0" fontId="16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91" fillId="45" borderId="7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7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3" fillId="48" borderId="11" xfId="8733" applyFont="1" applyFill="1" applyBorder="1" applyAlignment="1" applyProtection="1">
      <alignment horizontal="center"/>
      <protection locked="0"/>
    </xf>
    <xf numFmtId="14" fontId="161" fillId="48" borderId="11" xfId="8733" applyNumberFormat="1" applyFont="1" applyFill="1" applyBorder="1" applyAlignment="1" applyProtection="1">
      <alignment horizontal="center"/>
      <protection locked="0"/>
    </xf>
    <xf numFmtId="14" fontId="163" fillId="48" borderId="11" xfId="8733" applyNumberFormat="1" applyFont="1" applyFill="1" applyBorder="1" applyAlignment="1" applyProtection="1">
      <alignment horizontal="center"/>
      <protection locked="0"/>
    </xf>
    <xf numFmtId="0" fontId="91" fillId="45" borderId="76" xfId="8733" applyFont="1" applyFill="1" applyBorder="1" applyAlignment="1">
      <alignment horizontal="center"/>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4" fillId="48" borderId="11" xfId="8733" applyFont="1" applyFill="1" applyBorder="1" applyAlignment="1" applyProtection="1">
      <alignment horizontal="left"/>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1" fillId="45" borderId="72" xfId="8733" applyFont="1" applyFill="1" applyBorder="1" applyAlignment="1">
      <alignment horizontal="right"/>
    </xf>
    <xf numFmtId="0" fontId="161" fillId="45" borderId="11" xfId="8733" applyFont="1" applyFill="1" applyBorder="1" applyAlignment="1">
      <alignment horizontal="right"/>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168" fontId="161" fillId="48" borderId="11" xfId="700" applyNumberFormat="1" applyFont="1" applyFill="1" applyBorder="1" applyAlignment="1" applyProtection="1">
      <alignment horizontal="left"/>
      <protection locked="0"/>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7" borderId="0" xfId="8733" applyFont="1" applyFill="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6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45"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9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3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1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09" fillId="5" borderId="55" xfId="4495" applyFill="1" applyBorder="1" applyAlignment="1" applyProtection="1">
      <alignment horizontal="center"/>
      <protection locked="0"/>
    </xf>
    <xf numFmtId="0" fontId="10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07" fillId="0" borderId="4" xfId="1192" applyFont="1" applyBorder="1" applyAlignment="1">
      <alignment horizontal="left"/>
    </xf>
    <xf numFmtId="0" fontId="13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0" fontId="109" fillId="0" borderId="0" xfId="4495" applyAlignment="1">
      <alignment horizontal="center"/>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45" fillId="0" borderId="51" xfId="4495" applyFont="1" applyBorder="1" applyAlignment="1">
      <alignment horizontal="left" wrapText="1"/>
    </xf>
    <xf numFmtId="0" fontId="45" fillId="0" borderId="0" xfId="4495" applyFont="1" applyAlignment="1">
      <alignment horizontal="left" wrapText="1"/>
    </xf>
    <xf numFmtId="0" fontId="23" fillId="0" borderId="54" xfId="4495" applyFont="1" applyBorder="1" applyAlignment="1">
      <alignment horizontal="center" vertical="top"/>
    </xf>
    <xf numFmtId="0" fontId="11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0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45"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0" fontId="111" fillId="5" borderId="6" xfId="4496" applyFont="1" applyFill="1" applyBorder="1" applyAlignment="1" applyProtection="1">
      <alignment horizontal="center"/>
      <protection locked="0"/>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165" fontId="111" fillId="0" borderId="60"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0" fontId="87" fillId="0" borderId="0" xfId="4496" applyFont="1" applyAlignment="1">
      <alignment wrapTex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168" fontId="87" fillId="0" borderId="13" xfId="4499" applyNumberFormat="1" applyFont="1" applyFill="1" applyBorder="1" applyAlignment="1" applyProtection="1">
      <alignment horizontal="left" vertical="center" indent="1"/>
    </xf>
    <xf numFmtId="168" fontId="87" fillId="0" borderId="11"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85725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Jesse Ozanian" id="{B4C6A481-7520-BA4D-A0C0-B6457DC766DC}" userId="S::jozanian@chpc.net::852ab1fc-158d-490e-a4ad-58979ef83b0f"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5" dT="2025-09-04T20:52:24.84" personId="{B4C6A481-7520-BA4D-A0C0-B6457DC766DC}" id="{8AA7DDE1-C5F9-F04A-96D8-FE6352181A00}">
    <text>Weighted Average due to non-subsidized SN units</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microsoft.com/office/2017/10/relationships/threadedComment" Target="../threadedComments/threadedComment1.xml"/><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40" workbookViewId="0">
      <selection sqref="A1:AL2"/>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231" t="s">
        <v>0</v>
      </c>
      <c r="B1" s="1231"/>
      <c r="C1" s="1231"/>
      <c r="D1" s="1231"/>
      <c r="E1" s="1231"/>
      <c r="F1" s="1231"/>
      <c r="G1" s="1231"/>
      <c r="H1" s="1231"/>
      <c r="I1" s="1231"/>
      <c r="J1" s="1231"/>
      <c r="K1" s="1231"/>
      <c r="L1" s="1231"/>
      <c r="M1" s="1231"/>
      <c r="N1" s="1231"/>
      <c r="O1" s="1231"/>
      <c r="P1" s="1231"/>
      <c r="Q1" s="1231"/>
      <c r="R1" s="1231"/>
      <c r="S1" s="1231"/>
      <c r="T1" s="1231"/>
      <c r="U1" s="1231"/>
      <c r="V1" s="1231"/>
      <c r="W1" s="1231"/>
      <c r="X1" s="1231"/>
      <c r="Y1" s="1231"/>
      <c r="Z1" s="1231"/>
      <c r="AA1" s="1231"/>
      <c r="AB1" s="1231"/>
      <c r="AC1" s="1231"/>
      <c r="AD1" s="1231"/>
      <c r="AE1" s="1231"/>
      <c r="AF1" s="1231"/>
      <c r="AG1" s="1231"/>
      <c r="AH1" s="1231"/>
      <c r="AI1" s="1231"/>
      <c r="AJ1" s="1231"/>
      <c r="AK1" s="1231"/>
      <c r="AL1" s="1231"/>
    </row>
    <row r="2" spans="1:38" ht="13" thickBot="1">
      <c r="A2" s="1232"/>
      <c r="B2" s="1232"/>
      <c r="C2" s="1232"/>
      <c r="D2" s="1232"/>
      <c r="E2" s="1232"/>
      <c r="F2" s="1232"/>
      <c r="G2" s="1232"/>
      <c r="H2" s="1232"/>
      <c r="I2" s="1232"/>
      <c r="J2" s="1232"/>
      <c r="K2" s="1232"/>
      <c r="L2" s="1232"/>
      <c r="M2" s="1232"/>
      <c r="N2" s="1232"/>
      <c r="O2" s="1232"/>
      <c r="P2" s="1232"/>
      <c r="Q2" s="1232"/>
      <c r="R2" s="1232"/>
      <c r="S2" s="1232"/>
      <c r="T2" s="1232"/>
      <c r="U2" s="1232"/>
      <c r="V2" s="1232"/>
      <c r="W2" s="1232"/>
      <c r="X2" s="1232"/>
      <c r="Y2" s="1232"/>
      <c r="Z2" s="1232"/>
      <c r="AA2" s="1232"/>
      <c r="AB2" s="1232"/>
      <c r="AC2" s="1232"/>
      <c r="AD2" s="1232"/>
      <c r="AE2" s="1232"/>
      <c r="AF2" s="1232"/>
      <c r="AG2" s="1232"/>
      <c r="AH2" s="1232"/>
      <c r="AI2" s="1232"/>
      <c r="AJ2" s="1232"/>
      <c r="AK2" s="1232"/>
      <c r="AL2" s="1232"/>
    </row>
    <row r="3" spans="1:38" ht="13" thickTop="1"/>
    <row r="4" spans="1:38" s="5" customFormat="1" ht="13">
      <c r="B4" s="10" t="s">
        <v>1</v>
      </c>
      <c r="C4" s="10" t="s">
        <v>2</v>
      </c>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row>
    <row r="5" spans="1:38" ht="13">
      <c r="B5" s="2"/>
      <c r="C5" s="2"/>
      <c r="D5" s="3"/>
      <c r="E5" s="3"/>
      <c r="F5" s="3"/>
      <c r="G5" s="3"/>
      <c r="H5" s="3"/>
      <c r="I5" s="3"/>
      <c r="J5" s="3"/>
      <c r="K5" s="3"/>
      <c r="L5" s="3"/>
      <c r="M5" s="3"/>
      <c r="N5" s="3"/>
      <c r="O5" s="3"/>
      <c r="P5" s="3"/>
      <c r="Q5" s="3"/>
      <c r="R5" s="3"/>
      <c r="S5" s="3"/>
      <c r="T5" s="3"/>
      <c r="U5" s="3"/>
      <c r="V5" s="3"/>
      <c r="W5" s="3"/>
      <c r="X5" s="3"/>
      <c r="Y5" s="3"/>
      <c r="Z5" s="3"/>
      <c r="AA5" s="3"/>
      <c r="AB5" s="3"/>
    </row>
    <row r="6" spans="1:38" ht="13">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5" customHeight="1">
      <c r="A7" s="135"/>
      <c r="B7" s="135"/>
      <c r="C7" s="136"/>
      <c r="D7" s="1221" t="s">
        <v>5</v>
      </c>
      <c r="E7" s="1221"/>
      <c r="F7" s="1221"/>
      <c r="G7" s="1221"/>
      <c r="H7" s="1221"/>
      <c r="I7" s="1221"/>
      <c r="J7" s="1221"/>
      <c r="K7" s="1221"/>
      <c r="L7" s="1221"/>
      <c r="M7" s="1221"/>
      <c r="N7" s="1221"/>
      <c r="O7" s="1221"/>
      <c r="P7" s="1221"/>
      <c r="Q7" s="1221"/>
      <c r="R7" s="1221"/>
      <c r="S7" s="1221"/>
      <c r="T7" s="1221"/>
      <c r="U7" s="1221"/>
      <c r="V7" s="1221"/>
      <c r="W7" s="1221"/>
      <c r="X7" s="1221"/>
      <c r="Y7" s="1221"/>
      <c r="Z7" s="1221"/>
      <c r="AA7" s="1221"/>
      <c r="AB7" s="1221"/>
      <c r="AC7" s="1221"/>
      <c r="AD7" s="1221"/>
      <c r="AE7" s="1221"/>
      <c r="AF7" s="1221"/>
      <c r="AG7" s="1221"/>
      <c r="AH7" s="1221"/>
      <c r="AI7" s="1221"/>
      <c r="AJ7" s="1221"/>
      <c r="AK7" s="1221"/>
      <c r="AL7" s="356"/>
    </row>
    <row r="8" spans="1:38" ht="13">
      <c r="A8" s="135"/>
      <c r="B8" s="135"/>
      <c r="C8" s="136"/>
      <c r="D8" s="1221"/>
      <c r="E8" s="1221"/>
      <c r="F8" s="1221"/>
      <c r="G8" s="1221"/>
      <c r="H8" s="1221"/>
      <c r="I8" s="1221"/>
      <c r="J8" s="1221"/>
      <c r="K8" s="1221"/>
      <c r="L8" s="1221"/>
      <c r="M8" s="1221"/>
      <c r="N8" s="1221"/>
      <c r="O8" s="1221"/>
      <c r="P8" s="1221"/>
      <c r="Q8" s="1221"/>
      <c r="R8" s="1221"/>
      <c r="S8" s="1221"/>
      <c r="T8" s="1221"/>
      <c r="U8" s="1221"/>
      <c r="V8" s="1221"/>
      <c r="W8" s="1221"/>
      <c r="X8" s="1221"/>
      <c r="Y8" s="1221"/>
      <c r="Z8" s="1221"/>
      <c r="AA8" s="1221"/>
      <c r="AB8" s="1221"/>
      <c r="AC8" s="1221"/>
      <c r="AD8" s="1221"/>
      <c r="AE8" s="1221"/>
      <c r="AF8" s="1221"/>
      <c r="AG8" s="1221"/>
      <c r="AH8" s="1221"/>
      <c r="AI8" s="1221"/>
      <c r="AJ8" s="1221"/>
      <c r="AK8" s="1221"/>
      <c r="AL8" s="356"/>
    </row>
    <row r="9" spans="1:38" ht="13">
      <c r="A9" s="135"/>
      <c r="B9" s="135"/>
      <c r="C9" s="136"/>
      <c r="D9" s="1221"/>
      <c r="E9" s="1221"/>
      <c r="F9" s="1221"/>
      <c r="G9" s="1221"/>
      <c r="H9" s="1221"/>
      <c r="I9" s="1221"/>
      <c r="J9" s="1221"/>
      <c r="K9" s="1221"/>
      <c r="L9" s="1221"/>
      <c r="M9" s="1221"/>
      <c r="N9" s="1221"/>
      <c r="O9" s="1221"/>
      <c r="P9" s="1221"/>
      <c r="Q9" s="1221"/>
      <c r="R9" s="1221"/>
      <c r="S9" s="1221"/>
      <c r="T9" s="1221"/>
      <c r="U9" s="1221"/>
      <c r="V9" s="1221"/>
      <c r="W9" s="1221"/>
      <c r="X9" s="1221"/>
      <c r="Y9" s="1221"/>
      <c r="Z9" s="1221"/>
      <c r="AA9" s="1221"/>
      <c r="AB9" s="1221"/>
      <c r="AC9" s="1221"/>
      <c r="AD9" s="1221"/>
      <c r="AE9" s="1221"/>
      <c r="AF9" s="1221"/>
      <c r="AG9" s="1221"/>
      <c r="AH9" s="1221"/>
      <c r="AI9" s="1221"/>
      <c r="AJ9" s="1221"/>
      <c r="AK9" s="1221"/>
      <c r="AL9" s="356"/>
    </row>
    <row r="10" spans="1:38" ht="13">
      <c r="A10" s="135"/>
      <c r="B10" s="135"/>
      <c r="C10" s="13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row>
    <row r="11" spans="1:38" ht="13" customHeight="1">
      <c r="A11" s="135"/>
      <c r="B11" s="135"/>
      <c r="C11" s="136"/>
      <c r="D11" s="1221" t="s">
        <v>6</v>
      </c>
      <c r="E11" s="1221"/>
      <c r="F11" s="1221"/>
      <c r="G11" s="1221"/>
      <c r="H11" s="1221"/>
      <c r="I11" s="1221"/>
      <c r="J11" s="1221"/>
      <c r="K11" s="1221"/>
      <c r="L11" s="1221"/>
      <c r="M11" s="1221"/>
      <c r="N11" s="1221"/>
      <c r="O11" s="1221"/>
      <c r="P11" s="1221"/>
      <c r="Q11" s="1221"/>
      <c r="R11" s="1221"/>
      <c r="S11" s="1221"/>
      <c r="T11" s="1221"/>
      <c r="U11" s="1221"/>
      <c r="V11" s="1221"/>
      <c r="W11" s="1221"/>
      <c r="X11" s="1221"/>
      <c r="Y11" s="1221"/>
      <c r="Z11" s="1221"/>
      <c r="AA11" s="1221"/>
      <c r="AB11" s="1221"/>
      <c r="AC11" s="1221"/>
      <c r="AD11" s="1221"/>
      <c r="AE11" s="1221"/>
      <c r="AF11" s="1221"/>
      <c r="AG11" s="1221"/>
      <c r="AH11" s="1221"/>
      <c r="AI11" s="1221"/>
      <c r="AJ11" s="1221"/>
      <c r="AK11" s="1221"/>
      <c r="AL11" s="356"/>
    </row>
    <row r="12" spans="1:38" ht="13">
      <c r="A12" s="135"/>
      <c r="B12" s="135"/>
      <c r="C12" s="136"/>
      <c r="D12" s="1221"/>
      <c r="E12" s="1221"/>
      <c r="F12" s="1221"/>
      <c r="G12" s="1221"/>
      <c r="H12" s="1221"/>
      <c r="I12" s="1221"/>
      <c r="J12" s="1221"/>
      <c r="K12" s="1221"/>
      <c r="L12" s="1221"/>
      <c r="M12" s="1221"/>
      <c r="N12" s="1221"/>
      <c r="O12" s="1221"/>
      <c r="P12" s="1221"/>
      <c r="Q12" s="1221"/>
      <c r="R12" s="1221"/>
      <c r="S12" s="1221"/>
      <c r="T12" s="1221"/>
      <c r="U12" s="1221"/>
      <c r="V12" s="1221"/>
      <c r="W12" s="1221"/>
      <c r="X12" s="1221"/>
      <c r="Y12" s="1221"/>
      <c r="Z12" s="1221"/>
      <c r="AA12" s="1221"/>
      <c r="AB12" s="1221"/>
      <c r="AC12" s="1221"/>
      <c r="AD12" s="1221"/>
      <c r="AE12" s="1221"/>
      <c r="AF12" s="1221"/>
      <c r="AG12" s="1221"/>
      <c r="AH12" s="1221"/>
      <c r="AI12" s="1221"/>
      <c r="AJ12" s="1221"/>
      <c r="AK12" s="1221"/>
      <c r="AL12" s="356"/>
    </row>
    <row r="13" spans="1:38" ht="13">
      <c r="A13" s="135"/>
      <c r="B13" s="135"/>
      <c r="C13" s="136"/>
      <c r="D13" s="1221"/>
      <c r="E13" s="1221"/>
      <c r="F13" s="1221"/>
      <c r="G13" s="1221"/>
      <c r="H13" s="1221"/>
      <c r="I13" s="1221"/>
      <c r="J13" s="1221"/>
      <c r="K13" s="1221"/>
      <c r="L13" s="1221"/>
      <c r="M13" s="1221"/>
      <c r="N13" s="1221"/>
      <c r="O13" s="1221"/>
      <c r="P13" s="1221"/>
      <c r="Q13" s="1221"/>
      <c r="R13" s="1221"/>
      <c r="S13" s="1221"/>
      <c r="T13" s="1221"/>
      <c r="U13" s="1221"/>
      <c r="V13" s="1221"/>
      <c r="W13" s="1221"/>
      <c r="X13" s="1221"/>
      <c r="Y13" s="1221"/>
      <c r="Z13" s="1221"/>
      <c r="AA13" s="1221"/>
      <c r="AB13" s="1221"/>
      <c r="AC13" s="1221"/>
      <c r="AD13" s="1221"/>
      <c r="AE13" s="1221"/>
      <c r="AF13" s="1221"/>
      <c r="AG13" s="1221"/>
      <c r="AH13" s="1221"/>
      <c r="AI13" s="1221"/>
      <c r="AJ13" s="1221"/>
      <c r="AK13" s="1221"/>
      <c r="AL13" s="356"/>
    </row>
    <row r="14" spans="1:38" ht="13">
      <c r="A14" s="135"/>
      <c r="B14" s="135"/>
      <c r="C14" s="136"/>
      <c r="D14" s="343"/>
      <c r="E14" s="343"/>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56"/>
    </row>
    <row r="15" spans="1:38" ht="13.25" customHeight="1">
      <c r="A15" s="135"/>
      <c r="B15" s="135"/>
      <c r="C15" s="136"/>
      <c r="D15" s="1221" t="s">
        <v>7</v>
      </c>
      <c r="E15" s="1221"/>
      <c r="F15" s="1221"/>
      <c r="G15" s="1221"/>
      <c r="H15" s="1221"/>
      <c r="I15" s="1221"/>
      <c r="J15" s="1221"/>
      <c r="K15" s="1221"/>
      <c r="L15" s="1221"/>
      <c r="M15" s="1221"/>
      <c r="N15" s="1221"/>
      <c r="O15" s="1221"/>
      <c r="P15" s="1221"/>
      <c r="Q15" s="1221"/>
      <c r="R15" s="1221"/>
      <c r="S15" s="1221"/>
      <c r="T15" s="1221"/>
      <c r="U15" s="1221"/>
      <c r="V15" s="1221"/>
      <c r="W15" s="1221"/>
      <c r="X15" s="1221"/>
      <c r="Y15" s="1221"/>
      <c r="Z15" s="1221"/>
      <c r="AA15" s="1221"/>
      <c r="AB15" s="1221"/>
      <c r="AC15" s="1221"/>
      <c r="AD15" s="1221"/>
      <c r="AE15" s="1221"/>
      <c r="AF15" s="1221"/>
      <c r="AG15" s="1221"/>
      <c r="AH15" s="1221"/>
      <c r="AI15" s="1221"/>
      <c r="AJ15" s="1221"/>
      <c r="AK15" s="1221"/>
      <c r="AL15" s="356"/>
    </row>
    <row r="16" spans="1:38" ht="13.25" customHeight="1">
      <c r="A16" s="135"/>
      <c r="B16" s="135"/>
      <c r="C16" s="136"/>
      <c r="D16" s="1221"/>
      <c r="E16" s="1221"/>
      <c r="F16" s="1221"/>
      <c r="G16" s="1221"/>
      <c r="H16" s="1221"/>
      <c r="I16" s="1221"/>
      <c r="J16" s="1221"/>
      <c r="K16" s="1221"/>
      <c r="L16" s="1221"/>
      <c r="M16" s="1221"/>
      <c r="N16" s="1221"/>
      <c r="O16" s="1221"/>
      <c r="P16" s="1221"/>
      <c r="Q16" s="1221"/>
      <c r="R16" s="1221"/>
      <c r="S16" s="1221"/>
      <c r="T16" s="1221"/>
      <c r="U16" s="1221"/>
      <c r="V16" s="1221"/>
      <c r="W16" s="1221"/>
      <c r="X16" s="1221"/>
      <c r="Y16" s="1221"/>
      <c r="Z16" s="1221"/>
      <c r="AA16" s="1221"/>
      <c r="AB16" s="1221"/>
      <c r="AC16" s="1221"/>
      <c r="AD16" s="1221"/>
      <c r="AE16" s="1221"/>
      <c r="AF16" s="1221"/>
      <c r="AG16" s="1221"/>
      <c r="AH16" s="1221"/>
      <c r="AI16" s="1221"/>
      <c r="AJ16" s="1221"/>
      <c r="AK16" s="1221"/>
      <c r="AL16" s="356"/>
    </row>
    <row r="17" spans="1:38" ht="13">
      <c r="A17" s="135"/>
      <c r="B17" s="135"/>
      <c r="C17" s="136"/>
      <c r="D17" s="1221"/>
      <c r="E17" s="1221"/>
      <c r="F17" s="1221"/>
      <c r="G17" s="1221"/>
      <c r="H17" s="1221"/>
      <c r="I17" s="1221"/>
      <c r="J17" s="1221"/>
      <c r="K17" s="1221"/>
      <c r="L17" s="1221"/>
      <c r="M17" s="1221"/>
      <c r="N17" s="1221"/>
      <c r="O17" s="1221"/>
      <c r="P17" s="1221"/>
      <c r="Q17" s="1221"/>
      <c r="R17" s="1221"/>
      <c r="S17" s="1221"/>
      <c r="T17" s="1221"/>
      <c r="U17" s="1221"/>
      <c r="V17" s="1221"/>
      <c r="W17" s="1221"/>
      <c r="X17" s="1221"/>
      <c r="Y17" s="1221"/>
      <c r="Z17" s="1221"/>
      <c r="AA17" s="1221"/>
      <c r="AB17" s="1221"/>
      <c r="AC17" s="1221"/>
      <c r="AD17" s="1221"/>
      <c r="AE17" s="1221"/>
      <c r="AF17" s="1221"/>
      <c r="AG17" s="1221"/>
      <c r="AH17" s="1221"/>
      <c r="AI17" s="1221"/>
      <c r="AJ17" s="1221"/>
      <c r="AK17" s="1221"/>
      <c r="AL17" s="356"/>
    </row>
    <row r="18" spans="1:38" ht="13">
      <c r="A18" s="135"/>
      <c r="B18" s="135"/>
      <c r="C18" s="136"/>
      <c r="D18" s="418" t="s">
        <v>8</v>
      </c>
      <c r="E18" s="343"/>
      <c r="G18" s="343"/>
      <c r="H18" s="343"/>
      <c r="I18" s="343"/>
      <c r="J18" s="1234" t="s">
        <v>9</v>
      </c>
      <c r="K18" s="1234"/>
      <c r="L18" s="1234"/>
      <c r="M18" s="1234"/>
      <c r="N18" s="1234"/>
      <c r="O18" s="1234"/>
      <c r="P18" s="1234"/>
      <c r="Q18" s="1234"/>
      <c r="R18" s="1234"/>
      <c r="S18" s="1234"/>
      <c r="T18" s="1234"/>
      <c r="U18" s="1234"/>
      <c r="V18" s="1234"/>
      <c r="W18" s="1234"/>
      <c r="X18" s="1234"/>
      <c r="Y18" s="1234"/>
      <c r="Z18" s="1234"/>
      <c r="AA18" s="1234"/>
      <c r="AB18" s="1234"/>
      <c r="AC18" s="1234"/>
      <c r="AD18" s="1234"/>
      <c r="AE18" s="1234"/>
      <c r="AF18" s="1234"/>
      <c r="AG18" s="1234"/>
      <c r="AH18" s="1234"/>
      <c r="AI18" s="1234"/>
      <c r="AJ18" s="1234"/>
      <c r="AK18" s="1234"/>
      <c r="AL18" s="356"/>
    </row>
    <row r="19" spans="1:38" ht="13">
      <c r="A19" s="135"/>
      <c r="B19" s="135"/>
      <c r="C19" s="136"/>
      <c r="D19" s="343"/>
      <c r="E19" s="343"/>
      <c r="F19" s="1142"/>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56"/>
    </row>
    <row r="20" spans="1:38" ht="13.25" customHeight="1">
      <c r="A20" s="135"/>
      <c r="B20" s="135"/>
      <c r="C20" s="136"/>
      <c r="D20" s="1221" t="s">
        <v>10</v>
      </c>
      <c r="E20" s="1221"/>
      <c r="F20" s="1221"/>
      <c r="G20" s="1221"/>
      <c r="H20" s="1221"/>
      <c r="I20" s="1221"/>
      <c r="J20" s="1221"/>
      <c r="K20" s="1221"/>
      <c r="L20" s="1221"/>
      <c r="M20" s="1221"/>
      <c r="N20" s="1221"/>
      <c r="O20" s="1221"/>
      <c r="P20" s="1221"/>
      <c r="Q20" s="1221"/>
      <c r="R20" s="1221"/>
      <c r="S20" s="1221"/>
      <c r="T20" s="1221"/>
      <c r="U20" s="1221"/>
      <c r="V20" s="1221"/>
      <c r="W20" s="1221"/>
      <c r="X20" s="1221"/>
      <c r="Y20" s="1221"/>
      <c r="Z20" s="1221"/>
      <c r="AA20" s="1221"/>
      <c r="AB20" s="1221"/>
      <c r="AC20" s="1221"/>
      <c r="AD20" s="1221"/>
      <c r="AE20" s="1221"/>
      <c r="AF20" s="1221"/>
      <c r="AG20" s="1221"/>
      <c r="AH20" s="1221"/>
      <c r="AI20" s="1221"/>
      <c r="AJ20" s="1221"/>
      <c r="AK20" s="1221"/>
      <c r="AL20" s="135"/>
    </row>
    <row r="21" spans="1:38" ht="13">
      <c r="A21" s="135"/>
      <c r="B21" s="135"/>
      <c r="C21" s="136"/>
      <c r="D21" s="1221"/>
      <c r="E21" s="1221"/>
      <c r="F21" s="1221"/>
      <c r="G21" s="1221"/>
      <c r="H21" s="1221"/>
      <c r="I21" s="1221"/>
      <c r="J21" s="1221"/>
      <c r="K21" s="1221"/>
      <c r="L21" s="1221"/>
      <c r="M21" s="1221"/>
      <c r="N21" s="1221"/>
      <c r="O21" s="1221"/>
      <c r="P21" s="1221"/>
      <c r="Q21" s="1221"/>
      <c r="R21" s="1221"/>
      <c r="S21" s="1221"/>
      <c r="T21" s="1221"/>
      <c r="U21" s="1221"/>
      <c r="V21" s="1221"/>
      <c r="W21" s="1221"/>
      <c r="X21" s="1221"/>
      <c r="Y21" s="1221"/>
      <c r="Z21" s="1221"/>
      <c r="AA21" s="1221"/>
      <c r="AB21" s="1221"/>
      <c r="AC21" s="1221"/>
      <c r="AD21" s="1221"/>
      <c r="AE21" s="1221"/>
      <c r="AF21" s="1221"/>
      <c r="AG21" s="1221"/>
      <c r="AH21" s="1221"/>
      <c r="AI21" s="1221"/>
      <c r="AJ21" s="1221"/>
      <c r="AK21" s="1221"/>
      <c r="AL21" s="135"/>
    </row>
    <row r="22" spans="1:38" ht="13">
      <c r="A22" s="135"/>
      <c r="B22" s="135"/>
      <c r="C22" s="136"/>
      <c r="D22" s="1221"/>
      <c r="E22" s="1221"/>
      <c r="F22" s="1221"/>
      <c r="G22" s="1221"/>
      <c r="H22" s="1221"/>
      <c r="I22" s="1221"/>
      <c r="J22" s="1221"/>
      <c r="K22" s="1221"/>
      <c r="L22" s="1221"/>
      <c r="M22" s="1221"/>
      <c r="N22" s="1221"/>
      <c r="O22" s="1221"/>
      <c r="P22" s="1221"/>
      <c r="Q22" s="1221"/>
      <c r="R22" s="1221"/>
      <c r="S22" s="1221"/>
      <c r="T22" s="1221"/>
      <c r="U22" s="1221"/>
      <c r="V22" s="1221"/>
      <c r="W22" s="1221"/>
      <c r="X22" s="1221"/>
      <c r="Y22" s="1221"/>
      <c r="Z22" s="1221"/>
      <c r="AA22" s="1221"/>
      <c r="AB22" s="1221"/>
      <c r="AC22" s="1221"/>
      <c r="AD22" s="1221"/>
      <c r="AE22" s="1221"/>
      <c r="AF22" s="1221"/>
      <c r="AG22" s="1221"/>
      <c r="AH22" s="1221"/>
      <c r="AI22" s="1221"/>
      <c r="AJ22" s="1221"/>
      <c r="AK22" s="1221"/>
      <c r="AL22" s="135"/>
    </row>
    <row r="23" spans="1:38" ht="13.25" customHeight="1">
      <c r="A23" s="135"/>
      <c r="B23" s="135"/>
      <c r="C23" s="136"/>
      <c r="D23" s="1221"/>
      <c r="E23" s="1221"/>
      <c r="F23" s="1221"/>
      <c r="G23" s="1221"/>
      <c r="H23" s="1221"/>
      <c r="I23" s="1221"/>
      <c r="J23" s="1221"/>
      <c r="K23" s="1221"/>
      <c r="L23" s="1221"/>
      <c r="M23" s="1221"/>
      <c r="N23" s="1221"/>
      <c r="O23" s="1221"/>
      <c r="P23" s="1221"/>
      <c r="Q23" s="1221"/>
      <c r="R23" s="1221"/>
      <c r="S23" s="1221"/>
      <c r="T23" s="1221"/>
      <c r="U23" s="1221"/>
      <c r="V23" s="1221"/>
      <c r="W23" s="1221"/>
      <c r="X23" s="1221"/>
      <c r="Y23" s="1221"/>
      <c r="Z23" s="1221"/>
      <c r="AA23" s="1221"/>
      <c r="AB23" s="1221"/>
      <c r="AC23" s="1221"/>
      <c r="AD23" s="1221"/>
      <c r="AE23" s="1221"/>
      <c r="AF23" s="1221"/>
      <c r="AG23" s="1221"/>
      <c r="AH23" s="1221"/>
      <c r="AI23" s="1221"/>
      <c r="AJ23" s="1221"/>
      <c r="AK23" s="1221"/>
      <c r="AL23" s="135"/>
    </row>
    <row r="24" spans="1:38" ht="13">
      <c r="A24" s="135"/>
      <c r="B24" s="135"/>
      <c r="C24" s="136"/>
      <c r="D24" s="1221"/>
      <c r="E24" s="1221"/>
      <c r="F24" s="1221"/>
      <c r="G24" s="1221"/>
      <c r="H24" s="1221"/>
      <c r="I24" s="1221"/>
      <c r="J24" s="1221"/>
      <c r="K24" s="1221"/>
      <c r="L24" s="1221"/>
      <c r="M24" s="1221"/>
      <c r="N24" s="1221"/>
      <c r="O24" s="1221"/>
      <c r="P24" s="1221"/>
      <c r="Q24" s="1221"/>
      <c r="R24" s="1221"/>
      <c r="S24" s="1221"/>
      <c r="T24" s="1221"/>
      <c r="U24" s="1221"/>
      <c r="V24" s="1221"/>
      <c r="W24" s="1221"/>
      <c r="X24" s="1221"/>
      <c r="Y24" s="1221"/>
      <c r="Z24" s="1221"/>
      <c r="AA24" s="1221"/>
      <c r="AB24" s="1221"/>
      <c r="AC24" s="1221"/>
      <c r="AD24" s="1221"/>
      <c r="AE24" s="1221"/>
      <c r="AF24" s="1221"/>
      <c r="AG24" s="1221"/>
      <c r="AH24" s="1221"/>
      <c r="AI24" s="1221"/>
      <c r="AJ24" s="1221"/>
      <c r="AK24" s="1221"/>
      <c r="AL24" s="135"/>
    </row>
    <row r="25" spans="1:38" ht="13">
      <c r="A25" s="135"/>
      <c r="B25" s="135"/>
      <c r="C25" s="136"/>
      <c r="D25" s="1221"/>
      <c r="E25" s="1221"/>
      <c r="F25" s="1221"/>
      <c r="G25" s="1221"/>
      <c r="H25" s="1221"/>
      <c r="I25" s="1221"/>
      <c r="J25" s="1221"/>
      <c r="K25" s="1221"/>
      <c r="L25" s="1221"/>
      <c r="M25" s="1221"/>
      <c r="N25" s="1221"/>
      <c r="O25" s="1221"/>
      <c r="P25" s="1221"/>
      <c r="Q25" s="1221"/>
      <c r="R25" s="1221"/>
      <c r="S25" s="1221"/>
      <c r="T25" s="1221"/>
      <c r="U25" s="1221"/>
      <c r="V25" s="1221"/>
      <c r="W25" s="1221"/>
      <c r="X25" s="1221"/>
      <c r="Y25" s="1221"/>
      <c r="Z25" s="1221"/>
      <c r="AA25" s="1221"/>
      <c r="AB25" s="1221"/>
      <c r="AC25" s="1221"/>
      <c r="AD25" s="1221"/>
      <c r="AE25" s="1221"/>
      <c r="AF25" s="1221"/>
      <c r="AG25" s="1221"/>
      <c r="AH25" s="1221"/>
      <c r="AI25" s="1221"/>
      <c r="AJ25" s="1221"/>
      <c r="AK25" s="1221"/>
      <c r="AL25" s="135"/>
    </row>
    <row r="26" spans="1:38" ht="13">
      <c r="A26" s="135"/>
      <c r="B26" s="135"/>
      <c r="C26" s="136"/>
      <c r="D26" s="1221"/>
      <c r="E26" s="1221"/>
      <c r="F26" s="1221"/>
      <c r="G26" s="1221"/>
      <c r="H26" s="1221"/>
      <c r="I26" s="1221"/>
      <c r="J26" s="1221"/>
      <c r="K26" s="1221"/>
      <c r="L26" s="1221"/>
      <c r="M26" s="1221"/>
      <c r="N26" s="1221"/>
      <c r="O26" s="1221"/>
      <c r="P26" s="1221"/>
      <c r="Q26" s="1221"/>
      <c r="R26" s="1221"/>
      <c r="S26" s="1221"/>
      <c r="T26" s="1221"/>
      <c r="U26" s="1221"/>
      <c r="V26" s="1221"/>
      <c r="W26" s="1221"/>
      <c r="X26" s="1221"/>
      <c r="Y26" s="1221"/>
      <c r="Z26" s="1221"/>
      <c r="AA26" s="1221"/>
      <c r="AB26" s="1221"/>
      <c r="AC26" s="1221"/>
      <c r="AD26" s="1221"/>
      <c r="AE26" s="1221"/>
      <c r="AF26" s="1221"/>
      <c r="AG26" s="1221"/>
      <c r="AH26" s="1221"/>
      <c r="AI26" s="1221"/>
      <c r="AJ26" s="1221"/>
      <c r="AK26" s="1221"/>
      <c r="AL26" s="135"/>
    </row>
    <row r="27" spans="1:38" ht="13">
      <c r="A27" s="135"/>
      <c r="B27" s="135"/>
      <c r="C27" s="136"/>
      <c r="D27" s="1221"/>
      <c r="E27" s="1221"/>
      <c r="F27" s="1221"/>
      <c r="G27" s="1221"/>
      <c r="H27" s="1221"/>
      <c r="I27" s="1221"/>
      <c r="J27" s="1221"/>
      <c r="K27" s="1221"/>
      <c r="L27" s="1221"/>
      <c r="M27" s="1221"/>
      <c r="N27" s="1221"/>
      <c r="O27" s="1221"/>
      <c r="P27" s="1221"/>
      <c r="Q27" s="1221"/>
      <c r="R27" s="1221"/>
      <c r="S27" s="1221"/>
      <c r="T27" s="1221"/>
      <c r="U27" s="1221"/>
      <c r="V27" s="1221"/>
      <c r="W27" s="1221"/>
      <c r="X27" s="1221"/>
      <c r="Y27" s="1221"/>
      <c r="Z27" s="1221"/>
      <c r="AA27" s="1221"/>
      <c r="AB27" s="1221"/>
      <c r="AC27" s="1221"/>
      <c r="AD27" s="1221"/>
      <c r="AE27" s="1221"/>
      <c r="AF27" s="1221"/>
      <c r="AG27" s="1221"/>
      <c r="AH27" s="1221"/>
      <c r="AI27" s="1221"/>
      <c r="AJ27" s="1221"/>
      <c r="AK27" s="1221"/>
      <c r="AL27" s="135"/>
    </row>
    <row r="28" spans="1:38" ht="13">
      <c r="A28" s="135"/>
      <c r="B28" s="135"/>
      <c r="C28" s="136"/>
      <c r="D28" s="1221"/>
      <c r="E28" s="1221"/>
      <c r="F28" s="1221"/>
      <c r="G28" s="1221"/>
      <c r="H28" s="1221"/>
      <c r="I28" s="1221"/>
      <c r="J28" s="1221"/>
      <c r="K28" s="1221"/>
      <c r="L28" s="1221"/>
      <c r="M28" s="1221"/>
      <c r="N28" s="1221"/>
      <c r="O28" s="1221"/>
      <c r="P28" s="1221"/>
      <c r="Q28" s="1221"/>
      <c r="R28" s="1221"/>
      <c r="S28" s="1221"/>
      <c r="T28" s="1221"/>
      <c r="U28" s="1221"/>
      <c r="V28" s="1221"/>
      <c r="W28" s="1221"/>
      <c r="X28" s="1221"/>
      <c r="Y28" s="1221"/>
      <c r="Z28" s="1221"/>
      <c r="AA28" s="1221"/>
      <c r="AB28" s="1221"/>
      <c r="AC28" s="1221"/>
      <c r="AD28" s="1221"/>
      <c r="AE28" s="1221"/>
      <c r="AF28" s="1221"/>
      <c r="AG28" s="1221"/>
      <c r="AH28" s="1221"/>
      <c r="AI28" s="1221"/>
      <c r="AJ28" s="1221"/>
      <c r="AK28" s="1221"/>
      <c r="AL28" s="135"/>
    </row>
    <row r="29" spans="1:38" ht="13">
      <c r="A29" s="135"/>
      <c r="B29" s="135"/>
      <c r="C29" s="136"/>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135"/>
    </row>
    <row r="30" spans="1:38" ht="13.25" customHeight="1">
      <c r="A30" s="135"/>
      <c r="B30" s="135"/>
      <c r="C30" s="136"/>
      <c r="D30" s="1221" t="s">
        <v>11</v>
      </c>
      <c r="E30" s="1221"/>
      <c r="F30" s="1221"/>
      <c r="G30" s="1221"/>
      <c r="H30" s="1221"/>
      <c r="I30" s="1221"/>
      <c r="J30" s="1221"/>
      <c r="K30" s="1221"/>
      <c r="L30" s="1221"/>
      <c r="M30" s="1221"/>
      <c r="N30" s="1221"/>
      <c r="O30" s="1221"/>
      <c r="P30" s="1221"/>
      <c r="Q30" s="1221"/>
      <c r="R30" s="1221"/>
      <c r="S30" s="1221"/>
      <c r="T30" s="1221"/>
      <c r="U30" s="1221"/>
      <c r="V30" s="1221"/>
      <c r="W30" s="1221"/>
      <c r="X30" s="1221"/>
      <c r="Y30" s="1221"/>
      <c r="Z30" s="1221"/>
      <c r="AA30" s="1221"/>
      <c r="AB30" s="1221"/>
      <c r="AC30" s="1221"/>
      <c r="AD30" s="1221"/>
      <c r="AE30" s="1221"/>
      <c r="AF30" s="1221"/>
      <c r="AG30" s="1221"/>
      <c r="AH30" s="1221"/>
      <c r="AI30" s="1221"/>
      <c r="AJ30" s="1221"/>
      <c r="AK30" s="1221"/>
      <c r="AL30" s="135"/>
    </row>
    <row r="31" spans="1:38" ht="13">
      <c r="A31" s="135"/>
      <c r="B31" s="135"/>
      <c r="C31" s="136"/>
      <c r="D31" s="356"/>
      <c r="E31" s="1222" t="s">
        <v>12</v>
      </c>
      <c r="F31" s="1223"/>
      <c r="G31" s="1223"/>
      <c r="H31" s="1223"/>
      <c r="I31" s="1223"/>
      <c r="J31" s="1223"/>
      <c r="K31" s="1223"/>
      <c r="L31" s="1223"/>
      <c r="M31" s="1223"/>
      <c r="N31" s="1223"/>
      <c r="O31" s="1223"/>
      <c r="P31" s="1223"/>
      <c r="Q31" s="1223"/>
      <c r="R31" s="1223"/>
      <c r="S31" s="1223"/>
      <c r="T31" s="1223"/>
      <c r="U31" s="1223"/>
      <c r="V31" s="1223"/>
      <c r="W31" s="1223"/>
      <c r="X31" s="1223"/>
      <c r="Y31" s="1223"/>
      <c r="Z31" s="1223"/>
      <c r="AA31" s="1223"/>
      <c r="AB31" s="1223"/>
      <c r="AC31" s="1223"/>
      <c r="AD31" s="1223"/>
      <c r="AE31" s="1223"/>
      <c r="AF31" s="1223"/>
      <c r="AG31" s="1223"/>
      <c r="AH31" s="1223"/>
      <c r="AI31" s="1223"/>
      <c r="AJ31" s="1223"/>
      <c r="AK31" s="1223"/>
      <c r="AL31" s="135"/>
    </row>
    <row r="32" spans="1:38" ht="13">
      <c r="A32" s="3"/>
      <c r="C32" s="2"/>
    </row>
    <row r="33" spans="1:38">
      <c r="A33" s="3"/>
      <c r="D33" s="1233" t="s">
        <v>13</v>
      </c>
      <c r="E33" s="1233"/>
      <c r="F33" s="1233"/>
      <c r="G33" s="1233"/>
      <c r="H33" s="1233"/>
      <c r="I33" s="1233"/>
      <c r="J33" s="1233"/>
      <c r="K33" s="1233"/>
      <c r="L33" s="1233"/>
      <c r="M33" s="1233"/>
      <c r="N33" s="1233"/>
      <c r="O33" s="1233"/>
      <c r="P33" s="1233"/>
      <c r="Q33" s="1233"/>
      <c r="R33" s="1233"/>
      <c r="S33" s="1233"/>
      <c r="T33" s="1233"/>
      <c r="U33" s="1233"/>
      <c r="V33" s="1233"/>
      <c r="W33" s="1233"/>
      <c r="X33" s="1233"/>
      <c r="Y33" s="1233"/>
      <c r="Z33" s="1233"/>
      <c r="AA33" s="1233"/>
      <c r="AB33" s="1233"/>
      <c r="AC33" s="1233"/>
      <c r="AD33" s="1233"/>
      <c r="AE33" s="1233"/>
      <c r="AF33" s="1233"/>
      <c r="AG33" s="1233"/>
      <c r="AH33" s="1233"/>
      <c r="AI33" s="1233"/>
      <c r="AJ33" s="1233"/>
      <c r="AK33" s="1233"/>
    </row>
    <row r="34" spans="1:38">
      <c r="A34" s="3"/>
      <c r="D34" s="1233"/>
      <c r="E34" s="1233"/>
      <c r="F34" s="1233"/>
      <c r="G34" s="1233"/>
      <c r="H34" s="1233"/>
      <c r="I34" s="1233"/>
      <c r="J34" s="1233"/>
      <c r="K34" s="1233"/>
      <c r="L34" s="1233"/>
      <c r="M34" s="1233"/>
      <c r="N34" s="1233"/>
      <c r="O34" s="1233"/>
      <c r="P34" s="1233"/>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row>
    <row r="35" spans="1:38" ht="13">
      <c r="A35" s="3"/>
      <c r="D35" s="86"/>
      <c r="E35" s="1228" t="s">
        <v>14</v>
      </c>
      <c r="F35" s="1228"/>
      <c r="G35" s="1228"/>
      <c r="H35" s="1228"/>
      <c r="I35" s="1228"/>
      <c r="J35" s="1228"/>
      <c r="K35" s="1228"/>
      <c r="L35" s="1228"/>
      <c r="M35" s="1228"/>
      <c r="N35" s="1228"/>
      <c r="O35" s="1228"/>
      <c r="P35" s="1228"/>
      <c r="Q35" s="1228"/>
      <c r="R35" s="1228"/>
      <c r="S35" s="1228"/>
      <c r="T35" s="1228"/>
      <c r="U35" s="1228"/>
      <c r="V35" s="1228"/>
      <c r="W35" s="1228"/>
      <c r="X35" s="1228"/>
      <c r="Y35" s="1228"/>
      <c r="Z35" s="1228"/>
      <c r="AA35" s="1228"/>
      <c r="AB35" s="1228"/>
      <c r="AC35" s="1228"/>
      <c r="AD35" s="1228"/>
      <c r="AE35" s="1228"/>
      <c r="AF35" s="1228"/>
      <c r="AG35" s="1228"/>
      <c r="AH35" s="1228"/>
      <c r="AI35" s="1228"/>
      <c r="AJ35" s="1228"/>
      <c r="AK35" s="1228"/>
    </row>
    <row r="36" spans="1:38" ht="13">
      <c r="A36" s="3"/>
      <c r="D36" s="86"/>
      <c r="E36" s="1228" t="s">
        <v>15</v>
      </c>
      <c r="F36" s="1228"/>
      <c r="G36" s="1228"/>
      <c r="H36" s="1228"/>
      <c r="I36" s="1228"/>
      <c r="J36" s="1228"/>
      <c r="K36" s="1228"/>
      <c r="L36" s="1228"/>
      <c r="M36" s="1228"/>
      <c r="N36" s="1228"/>
      <c r="O36" s="1228"/>
      <c r="P36" s="1228"/>
      <c r="Q36" s="1228"/>
      <c r="R36" s="1228"/>
      <c r="S36" s="1228"/>
      <c r="T36" s="1228"/>
      <c r="U36" s="1228"/>
      <c r="V36" s="1228"/>
      <c r="W36" s="1228"/>
      <c r="X36" s="1228"/>
      <c r="Y36" s="1228"/>
      <c r="Z36" s="1228"/>
      <c r="AA36" s="1228"/>
      <c r="AB36" s="1228"/>
      <c r="AC36" s="1228"/>
      <c r="AD36" s="1228"/>
      <c r="AE36" s="1228"/>
      <c r="AF36" s="1228"/>
      <c r="AG36" s="1228"/>
      <c r="AH36" s="1228"/>
      <c r="AI36" s="1228"/>
      <c r="AJ36" s="1228"/>
      <c r="AK36" s="1228"/>
    </row>
    <row r="37" spans="1:38" ht="13">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ht="13">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6"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1" customFormat="1" ht="13.25" customHeight="1">
      <c r="A40" s="3"/>
      <c r="B40"/>
      <c r="C40" s="2"/>
      <c r="D40" s="3"/>
      <c r="E40" s="3" t="s">
        <v>20</v>
      </c>
      <c r="F40" s="1221" t="s">
        <v>21</v>
      </c>
    </row>
    <row r="41" spans="1:38" s="1221" customFormat="1" ht="13.25" customHeight="1">
      <c r="A41" s="3"/>
      <c r="B41"/>
      <c r="C41" s="2"/>
      <c r="D41" s="3"/>
      <c r="E41" s="3"/>
    </row>
    <row r="42" spans="1:38" ht="13">
      <c r="A42" s="3"/>
      <c r="C42" s="2"/>
      <c r="D42" s="3"/>
      <c r="E42" s="3"/>
      <c r="F42" s="84" t="s">
        <v>22</v>
      </c>
      <c r="G42" s="3" t="s">
        <v>23</v>
      </c>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row>
    <row r="43" spans="1:38" s="84" customFormat="1" ht="13.25" customHeight="1">
      <c r="A43" s="3"/>
      <c r="B43"/>
      <c r="C43" s="2"/>
      <c r="D43" s="3"/>
      <c r="E43" s="3" t="s">
        <v>24</v>
      </c>
      <c r="F43" s="1227" t="s">
        <v>25</v>
      </c>
      <c r="G43" s="1227"/>
      <c r="H43" s="1227"/>
      <c r="I43" s="1227"/>
      <c r="J43" s="1227"/>
      <c r="K43" s="1227"/>
      <c r="L43" s="1227"/>
      <c r="M43" s="1227"/>
      <c r="N43" s="1227"/>
      <c r="O43" s="1227"/>
      <c r="P43" s="1227"/>
      <c r="Q43" s="1227"/>
      <c r="R43" s="1227"/>
      <c r="S43" s="1227"/>
      <c r="T43" s="1227"/>
      <c r="U43" s="1227"/>
      <c r="V43" s="1227"/>
      <c r="W43" s="1227"/>
      <c r="X43" s="1227"/>
      <c r="Y43" s="1227"/>
      <c r="Z43" s="1227"/>
      <c r="AA43" s="1227"/>
      <c r="AB43" s="1227"/>
      <c r="AC43" s="1227"/>
      <c r="AD43" s="1227"/>
      <c r="AE43" s="1227"/>
      <c r="AF43" s="1227"/>
      <c r="AG43" s="1227"/>
      <c r="AH43" s="1227"/>
      <c r="AI43" s="1227"/>
      <c r="AJ43" s="1227"/>
      <c r="AK43" s="1227"/>
      <c r="AL43" s="1227"/>
    </row>
    <row r="44" spans="1:38" s="84" customFormat="1" ht="13">
      <c r="A44" s="3"/>
      <c r="B44"/>
      <c r="C44" s="2"/>
      <c r="D44" s="3"/>
      <c r="E44" s="3"/>
      <c r="F44" s="1227"/>
      <c r="G44" s="1227"/>
      <c r="H44" s="1227"/>
      <c r="I44" s="1227"/>
      <c r="J44" s="1227"/>
      <c r="K44" s="1227"/>
      <c r="L44" s="1227"/>
      <c r="M44" s="1227"/>
      <c r="N44" s="1227"/>
      <c r="O44" s="1227"/>
      <c r="P44" s="1227"/>
      <c r="Q44" s="1227"/>
      <c r="R44" s="1227"/>
      <c r="S44" s="1227"/>
      <c r="T44" s="1227"/>
      <c r="U44" s="1227"/>
      <c r="V44" s="1227"/>
      <c r="W44" s="1227"/>
      <c r="X44" s="1227"/>
      <c r="Y44" s="1227"/>
      <c r="Z44" s="1227"/>
      <c r="AA44" s="1227"/>
      <c r="AB44" s="1227"/>
      <c r="AC44" s="1227"/>
      <c r="AD44" s="1227"/>
      <c r="AE44" s="1227"/>
      <c r="AF44" s="1227"/>
      <c r="AG44" s="1227"/>
      <c r="AH44" s="1227"/>
      <c r="AI44" s="1227"/>
      <c r="AJ44" s="1227"/>
      <c r="AK44" s="1227"/>
      <c r="AL44" s="1227"/>
    </row>
    <row r="45" spans="1:38" s="84" customFormat="1" ht="13.25" customHeight="1">
      <c r="A45" s="3"/>
      <c r="B45"/>
      <c r="C45" s="2"/>
      <c r="D45" s="3"/>
      <c r="E45" s="3"/>
      <c r="F45" s="1227"/>
      <c r="G45" s="1227"/>
      <c r="H45" s="1227"/>
      <c r="I45" s="1227"/>
      <c r="J45" s="1227"/>
      <c r="K45" s="1227"/>
      <c r="L45" s="1227"/>
      <c r="M45" s="1227"/>
      <c r="N45" s="1227"/>
      <c r="O45" s="1227"/>
      <c r="P45" s="1227"/>
      <c r="Q45" s="1227"/>
      <c r="R45" s="1227"/>
      <c r="S45" s="1227"/>
      <c r="T45" s="1227"/>
      <c r="U45" s="1227"/>
      <c r="V45" s="1227"/>
      <c r="W45" s="1227"/>
      <c r="X45" s="1227"/>
      <c r="Y45" s="1227"/>
      <c r="Z45" s="1227"/>
      <c r="AA45" s="1227"/>
      <c r="AB45" s="1227"/>
      <c r="AC45" s="1227"/>
      <c r="AD45" s="1227"/>
      <c r="AE45" s="1227"/>
      <c r="AF45" s="1227"/>
      <c r="AG45" s="1227"/>
      <c r="AH45" s="1227"/>
      <c r="AI45" s="1227"/>
      <c r="AJ45" s="1227"/>
      <c r="AK45" s="1227"/>
      <c r="AL45" s="1227"/>
    </row>
    <row r="46" spans="1:38" ht="13">
      <c r="A46" s="3"/>
      <c r="C46" s="2"/>
      <c r="D46" s="3"/>
      <c r="E46" s="3"/>
      <c r="F46" s="84" t="s">
        <v>22</v>
      </c>
      <c r="G46" s="3" t="s">
        <v>26</v>
      </c>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row>
    <row r="47" spans="1:38" ht="13">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ht="13">
      <c r="A48" s="3"/>
      <c r="C48" s="2"/>
      <c r="D48" s="3"/>
      <c r="E48" s="3" t="s">
        <v>29</v>
      </c>
      <c r="F48" s="1221" t="s">
        <v>30</v>
      </c>
      <c r="G48" s="1221"/>
      <c r="H48" s="1221"/>
      <c r="I48" s="1221"/>
      <c r="J48" s="1221"/>
      <c r="K48" s="1221"/>
      <c r="L48" s="1221"/>
      <c r="M48" s="1221"/>
      <c r="N48" s="1221"/>
      <c r="O48" s="1221"/>
      <c r="P48" s="1221"/>
      <c r="Q48" s="1221"/>
      <c r="R48" s="1221"/>
      <c r="S48" s="1221"/>
      <c r="T48" s="1221"/>
      <c r="U48" s="1221"/>
      <c r="V48" s="1221"/>
      <c r="W48" s="1221"/>
      <c r="X48" s="1221"/>
      <c r="Y48" s="1221"/>
      <c r="Z48" s="1221"/>
      <c r="AA48" s="1221"/>
      <c r="AB48" s="1221"/>
      <c r="AC48" s="1221"/>
      <c r="AD48" s="1221"/>
      <c r="AE48" s="1221"/>
      <c r="AF48" s="1221"/>
      <c r="AG48" s="1221"/>
      <c r="AH48" s="1221"/>
      <c r="AI48" s="1221"/>
      <c r="AJ48" s="1221"/>
      <c r="AK48" s="1221"/>
    </row>
    <row r="49" spans="1:38" ht="13">
      <c r="A49" s="3"/>
      <c r="C49" s="2"/>
      <c r="D49" s="3"/>
      <c r="E49" s="3"/>
      <c r="F49" s="1221"/>
      <c r="G49" s="1221"/>
      <c r="H49" s="1221"/>
      <c r="I49" s="1221"/>
      <c r="J49" s="1221"/>
      <c r="K49" s="1221"/>
      <c r="L49" s="1221"/>
      <c r="M49" s="1221"/>
      <c r="N49" s="1221"/>
      <c r="O49" s="1221"/>
      <c r="P49" s="1221"/>
      <c r="Q49" s="1221"/>
      <c r="R49" s="1221"/>
      <c r="S49" s="1221"/>
      <c r="T49" s="1221"/>
      <c r="U49" s="1221"/>
      <c r="V49" s="1221"/>
      <c r="W49" s="1221"/>
      <c r="X49" s="1221"/>
      <c r="Y49" s="1221"/>
      <c r="Z49" s="1221"/>
      <c r="AA49" s="1221"/>
      <c r="AB49" s="1221"/>
      <c r="AC49" s="1221"/>
      <c r="AD49" s="1221"/>
      <c r="AE49" s="1221"/>
      <c r="AF49" s="1221"/>
      <c r="AG49" s="1221"/>
      <c r="AH49" s="1221"/>
      <c r="AI49" s="1221"/>
      <c r="AJ49" s="1221"/>
      <c r="AK49" s="1221"/>
    </row>
    <row r="50" spans="1:38" ht="13">
      <c r="A50" s="3"/>
      <c r="C50" s="2"/>
      <c r="D50" s="3"/>
      <c r="F50" s="1221"/>
      <c r="G50" s="1221"/>
      <c r="H50" s="1221"/>
      <c r="I50" s="1221"/>
      <c r="J50" s="1221"/>
      <c r="K50" s="1221"/>
      <c r="L50" s="1221"/>
      <c r="M50" s="1221"/>
      <c r="N50" s="1221"/>
      <c r="O50" s="1221"/>
      <c r="P50" s="1221"/>
      <c r="Q50" s="1221"/>
      <c r="R50" s="1221"/>
      <c r="S50" s="1221"/>
      <c r="T50" s="1221"/>
      <c r="U50" s="1221"/>
      <c r="V50" s="1221"/>
      <c r="W50" s="1221"/>
      <c r="X50" s="1221"/>
      <c r="Y50" s="1221"/>
      <c r="Z50" s="1221"/>
      <c r="AA50" s="1221"/>
      <c r="AB50" s="1221"/>
      <c r="AC50" s="1221"/>
      <c r="AD50" s="1221"/>
      <c r="AE50" s="1221"/>
      <c r="AF50" s="1221"/>
      <c r="AG50" s="1221"/>
      <c r="AH50" s="1221"/>
      <c r="AI50" s="1221"/>
      <c r="AJ50" s="1221"/>
      <c r="AK50" s="1221"/>
    </row>
    <row r="51" spans="1:38" ht="13">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ht="13">
      <c r="A52" s="3"/>
      <c r="C52" s="2"/>
      <c r="D52" s="3" t="s">
        <v>31</v>
      </c>
      <c r="E52" s="3" t="s">
        <v>32</v>
      </c>
      <c r="F52" s="3"/>
      <c r="G52" s="3"/>
      <c r="H52" s="3"/>
      <c r="I52" s="3"/>
      <c r="J52" s="1152"/>
      <c r="K52" s="1152"/>
      <c r="L52" s="1152"/>
      <c r="M52" s="1152"/>
      <c r="N52" s="1152"/>
      <c r="O52" s="86"/>
      <c r="P52" s="86"/>
      <c r="Q52" s="86"/>
      <c r="R52" s="86"/>
      <c r="S52" s="86"/>
      <c r="T52" s="86"/>
      <c r="U52" s="3"/>
      <c r="V52" s="3"/>
      <c r="W52" s="3"/>
      <c r="X52" s="3"/>
      <c r="Y52" s="3"/>
      <c r="Z52" s="3"/>
      <c r="AA52" s="3"/>
      <c r="AB52" s="3"/>
    </row>
    <row r="53" spans="1:38" ht="13">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25" customHeight="1">
      <c r="A54" s="135"/>
      <c r="B54" s="135"/>
      <c r="C54" s="136"/>
      <c r="D54" s="136"/>
      <c r="E54" s="135"/>
      <c r="F54" s="137" t="s">
        <v>22</v>
      </c>
      <c r="G54" s="1226" t="s">
        <v>34</v>
      </c>
      <c r="H54" s="1226"/>
      <c r="I54" s="1226"/>
      <c r="J54" s="1226"/>
      <c r="K54" s="1226"/>
      <c r="L54" s="1226"/>
      <c r="M54" s="1226"/>
      <c r="N54" s="1226"/>
      <c r="O54" s="1226"/>
      <c r="P54" s="1226"/>
      <c r="Q54" s="1226"/>
      <c r="R54" s="1226"/>
      <c r="S54" s="1226"/>
      <c r="T54" s="1226"/>
      <c r="U54" s="1226"/>
      <c r="V54" s="1226"/>
      <c r="W54" s="1226"/>
      <c r="X54" s="1226"/>
      <c r="Y54" s="1226"/>
      <c r="Z54" s="1226"/>
      <c r="AA54" s="1226"/>
      <c r="AB54" s="1226"/>
      <c r="AC54" s="1226"/>
      <c r="AD54" s="1226"/>
      <c r="AE54" s="1226"/>
      <c r="AF54" s="1226"/>
      <c r="AG54" s="1226"/>
      <c r="AH54" s="1226"/>
      <c r="AI54" s="1226"/>
      <c r="AJ54" s="1226"/>
      <c r="AK54" s="1226"/>
      <c r="AL54" s="135"/>
    </row>
    <row r="55" spans="1:38" ht="13.25" customHeight="1">
      <c r="A55" s="135"/>
      <c r="B55" s="135"/>
      <c r="C55" s="136"/>
      <c r="D55" s="136"/>
      <c r="E55" s="135"/>
      <c r="F55" s="137"/>
      <c r="G55" s="378" t="s">
        <v>35</v>
      </c>
      <c r="H55" s="354"/>
      <c r="I55" s="354"/>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4"/>
      <c r="AG55" s="354"/>
      <c r="AH55" s="354"/>
      <c r="AI55" s="354"/>
      <c r="AJ55" s="354"/>
      <c r="AK55" s="354"/>
      <c r="AL55" s="135"/>
    </row>
    <row r="56" spans="1:38" ht="13">
      <c r="A56" s="135"/>
      <c r="B56" s="135"/>
      <c r="C56" s="136"/>
      <c r="D56" s="136"/>
      <c r="E56" s="135"/>
      <c r="F56" s="137"/>
      <c r="G56" s="1226" t="s">
        <v>36</v>
      </c>
      <c r="H56" s="1226"/>
      <c r="I56" s="1226"/>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135"/>
    </row>
    <row r="57" spans="1:38" ht="13.25" customHeight="1">
      <c r="A57" s="135"/>
      <c r="B57" s="136"/>
      <c r="C57" s="136"/>
      <c r="D57" s="136"/>
      <c r="E57" s="135"/>
      <c r="F57" s="137" t="s">
        <v>27</v>
      </c>
      <c r="G57" s="1226" t="s">
        <v>37</v>
      </c>
      <c r="H57" s="1226"/>
      <c r="I57" s="1226"/>
      <c r="J57" s="1226"/>
      <c r="K57" s="1226"/>
      <c r="L57" s="1226"/>
      <c r="M57" s="1226"/>
      <c r="N57" s="1226"/>
      <c r="O57" s="1226"/>
      <c r="P57" s="1226"/>
      <c r="Q57" s="1226"/>
      <c r="R57" s="1226"/>
      <c r="S57" s="1226"/>
      <c r="T57" s="1226"/>
      <c r="U57" s="1226"/>
      <c r="V57" s="1226"/>
      <c r="W57" s="1226"/>
      <c r="X57" s="1226"/>
      <c r="Y57" s="1226"/>
      <c r="Z57" s="1226"/>
      <c r="AA57" s="1226"/>
      <c r="AB57" s="1226"/>
      <c r="AC57" s="1226"/>
      <c r="AD57" s="1226"/>
      <c r="AE57" s="1226"/>
      <c r="AF57" s="1226"/>
      <c r="AG57" s="1226"/>
      <c r="AH57" s="1226"/>
      <c r="AI57" s="1226"/>
      <c r="AJ57" s="1226"/>
      <c r="AK57" s="1226"/>
      <c r="AL57" s="1226"/>
    </row>
    <row r="58" spans="1:38" ht="13">
      <c r="A58" s="135"/>
      <c r="B58" s="135"/>
      <c r="C58" s="136"/>
      <c r="D58" s="136"/>
      <c r="E58" s="135"/>
      <c r="F58" s="137"/>
      <c r="G58" s="1226"/>
      <c r="H58" s="1226"/>
      <c r="I58" s="1226"/>
      <c r="J58" s="1226"/>
      <c r="K58" s="1226"/>
      <c r="L58" s="1226"/>
      <c r="M58" s="1226"/>
      <c r="N58" s="1226"/>
      <c r="O58" s="1226"/>
      <c r="P58" s="1226"/>
      <c r="Q58" s="1226"/>
      <c r="R58" s="1226"/>
      <c r="S58" s="1226"/>
      <c r="T58" s="1226"/>
      <c r="U58" s="1226"/>
      <c r="V58" s="1226"/>
      <c r="W58" s="1226"/>
      <c r="X58" s="1226"/>
      <c r="Y58" s="1226"/>
      <c r="Z58" s="1226"/>
      <c r="AA58" s="1226"/>
      <c r="AB58" s="1226"/>
      <c r="AC58" s="1226"/>
      <c r="AD58" s="1226"/>
      <c r="AE58" s="1226"/>
      <c r="AF58" s="1226"/>
      <c r="AG58" s="1226"/>
      <c r="AH58" s="1226"/>
      <c r="AI58" s="1226"/>
      <c r="AJ58" s="1226"/>
      <c r="AK58" s="1226"/>
      <c r="AL58" s="1226"/>
    </row>
    <row r="59" spans="1:38" ht="13">
      <c r="A59" s="135"/>
      <c r="B59" s="135"/>
      <c r="C59" s="136"/>
      <c r="D59" s="136"/>
      <c r="E59" s="135"/>
      <c r="F59" s="137"/>
      <c r="G59" s="379" t="s">
        <v>38</v>
      </c>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135"/>
    </row>
    <row r="60" spans="1:38" ht="13">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ht="13">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ht="13">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ht="13">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ht="13">
      <c r="A64" s="3"/>
      <c r="C64" s="2"/>
      <c r="D64" s="3"/>
      <c r="E64" s="3"/>
      <c r="F64" t="s">
        <v>22</v>
      </c>
      <c r="G64" s="1221" t="s">
        <v>42</v>
      </c>
      <c r="H64" s="1221"/>
      <c r="I64" s="1221"/>
      <c r="J64" s="1221"/>
      <c r="K64" s="1221"/>
      <c r="L64" s="1221"/>
      <c r="M64" s="1221"/>
      <c r="N64" s="1221"/>
      <c r="O64" s="1221"/>
      <c r="P64" s="1221"/>
      <c r="Q64" s="1221"/>
      <c r="R64" s="1221"/>
      <c r="S64" s="1221"/>
      <c r="T64" s="1221"/>
      <c r="U64" s="1221"/>
      <c r="V64" s="1221"/>
      <c r="W64" s="1221"/>
      <c r="X64" s="1221"/>
      <c r="Y64" s="1221"/>
      <c r="Z64" s="1221"/>
      <c r="AA64" s="1221"/>
      <c r="AB64" s="1221"/>
      <c r="AC64" s="1221"/>
      <c r="AD64" s="1221"/>
      <c r="AE64" s="1221"/>
      <c r="AF64" s="1221"/>
      <c r="AG64" s="1221"/>
      <c r="AH64" s="1221"/>
      <c r="AI64" s="1221"/>
      <c r="AJ64" s="1221"/>
      <c r="AK64" s="1221"/>
    </row>
    <row r="65" spans="1:37" ht="13">
      <c r="A65" s="3"/>
      <c r="C65" s="2"/>
      <c r="D65" s="3"/>
      <c r="E65" s="3"/>
      <c r="G65" s="1221"/>
      <c r="H65" s="1221"/>
      <c r="I65" s="1221"/>
      <c r="J65" s="1221"/>
      <c r="K65" s="1221"/>
      <c r="L65" s="1221"/>
      <c r="M65" s="1221"/>
      <c r="N65" s="1221"/>
      <c r="O65" s="1221"/>
      <c r="P65" s="1221"/>
      <c r="Q65" s="1221"/>
      <c r="R65" s="1221"/>
      <c r="S65" s="1221"/>
      <c r="T65" s="1221"/>
      <c r="U65" s="1221"/>
      <c r="V65" s="1221"/>
      <c r="W65" s="1221"/>
      <c r="X65" s="1221"/>
      <c r="Y65" s="1221"/>
      <c r="Z65" s="1221"/>
      <c r="AA65" s="1221"/>
      <c r="AB65" s="1221"/>
      <c r="AC65" s="1221"/>
      <c r="AD65" s="1221"/>
      <c r="AE65" s="1221"/>
      <c r="AF65" s="1221"/>
      <c r="AG65" s="1221"/>
      <c r="AH65" s="1221"/>
      <c r="AI65" s="1221"/>
      <c r="AJ65" s="1221"/>
      <c r="AK65" s="1221"/>
    </row>
    <row r="66" spans="1:37" ht="13">
      <c r="A66" s="3"/>
      <c r="C66" s="2"/>
      <c r="D66" s="3"/>
      <c r="E66" s="3"/>
      <c r="G66" s="1221"/>
      <c r="H66" s="1221"/>
      <c r="I66" s="1221"/>
      <c r="J66" s="1221"/>
      <c r="K66" s="1221"/>
      <c r="L66" s="1221"/>
      <c r="M66" s="1221"/>
      <c r="N66" s="1221"/>
      <c r="O66" s="1221"/>
      <c r="P66" s="1221"/>
      <c r="Q66" s="1221"/>
      <c r="R66" s="1221"/>
      <c r="S66" s="1221"/>
      <c r="T66" s="1221"/>
      <c r="U66" s="1221"/>
      <c r="V66" s="1221"/>
      <c r="W66" s="1221"/>
      <c r="X66" s="1221"/>
      <c r="Y66" s="1221"/>
      <c r="Z66" s="1221"/>
      <c r="AA66" s="1221"/>
      <c r="AB66" s="1221"/>
      <c r="AC66" s="1221"/>
      <c r="AD66" s="1221"/>
      <c r="AE66" s="1221"/>
      <c r="AF66" s="1221"/>
      <c r="AG66" s="1221"/>
      <c r="AH66" s="1221"/>
      <c r="AI66" s="1221"/>
      <c r="AJ66" s="1221"/>
      <c r="AK66" s="1221"/>
    </row>
    <row r="67" spans="1:37" ht="13.25" customHeight="1">
      <c r="A67" s="3"/>
      <c r="C67" s="2"/>
      <c r="D67" s="3"/>
      <c r="E67" s="3"/>
      <c r="F67" t="s">
        <v>27</v>
      </c>
      <c r="G67" s="1221" t="s">
        <v>43</v>
      </c>
      <c r="H67" s="1221"/>
      <c r="I67" s="1221"/>
      <c r="J67" s="1221"/>
      <c r="K67" s="1221"/>
      <c r="L67" s="1221"/>
      <c r="M67" s="1221"/>
      <c r="N67" s="1221"/>
      <c r="O67" s="1221"/>
      <c r="P67" s="1221"/>
      <c r="Q67" s="1221"/>
      <c r="R67" s="1221"/>
      <c r="S67" s="1221"/>
      <c r="T67" s="1221"/>
      <c r="U67" s="1221"/>
      <c r="V67" s="1221"/>
      <c r="W67" s="1221"/>
      <c r="X67" s="1221"/>
      <c r="Y67" s="1221"/>
      <c r="Z67" s="1221"/>
      <c r="AA67" s="1221"/>
      <c r="AB67" s="1221"/>
      <c r="AC67" s="1221"/>
      <c r="AD67" s="1221"/>
      <c r="AE67" s="1221"/>
      <c r="AF67" s="1221"/>
      <c r="AG67" s="1221"/>
      <c r="AH67" s="1221"/>
      <c r="AI67" s="1221"/>
      <c r="AJ67" s="1221"/>
      <c r="AK67" s="1221"/>
    </row>
    <row r="68" spans="1:37" ht="13">
      <c r="A68" s="3"/>
      <c r="C68" s="2"/>
      <c r="D68" s="3"/>
      <c r="E68" s="3"/>
      <c r="F68" s="23"/>
      <c r="G68" s="1221"/>
      <c r="H68" s="1221"/>
      <c r="I68" s="1221"/>
      <c r="J68" s="1221"/>
      <c r="K68" s="1221"/>
      <c r="L68" s="1221"/>
      <c r="M68" s="1221"/>
      <c r="N68" s="1221"/>
      <c r="O68" s="1221"/>
      <c r="P68" s="1221"/>
      <c r="Q68" s="1221"/>
      <c r="R68" s="1221"/>
      <c r="S68" s="1221"/>
      <c r="T68" s="1221"/>
      <c r="U68" s="1221"/>
      <c r="V68" s="1221"/>
      <c r="W68" s="1221"/>
      <c r="X68" s="1221"/>
      <c r="Y68" s="1221"/>
      <c r="Z68" s="1221"/>
      <c r="AA68" s="1221"/>
      <c r="AB68" s="1221"/>
      <c r="AC68" s="1221"/>
      <c r="AD68" s="1221"/>
      <c r="AE68" s="1221"/>
      <c r="AF68" s="1221"/>
      <c r="AG68" s="1221"/>
      <c r="AH68" s="1221"/>
      <c r="AI68" s="1221"/>
      <c r="AJ68" s="1221"/>
      <c r="AK68" s="1221"/>
    </row>
    <row r="69" spans="1:37" ht="13">
      <c r="A69" s="3"/>
      <c r="C69" s="2"/>
      <c r="D69" s="3"/>
      <c r="E69" s="3" t="s">
        <v>24</v>
      </c>
      <c r="F69" s="3" t="s">
        <v>44</v>
      </c>
      <c r="G69" s="356"/>
      <c r="H69" s="356"/>
      <c r="I69" s="356"/>
      <c r="J69" s="356"/>
      <c r="K69" s="356"/>
      <c r="L69" s="356"/>
      <c r="M69" s="356"/>
      <c r="N69" s="356"/>
      <c r="O69" s="356"/>
      <c r="P69" s="356"/>
      <c r="Q69" s="356"/>
      <c r="R69" s="356"/>
      <c r="S69" s="356"/>
      <c r="T69" s="356"/>
      <c r="U69" s="356"/>
      <c r="V69" s="356"/>
      <c r="W69" s="356"/>
      <c r="X69" s="356"/>
      <c r="Y69" s="356"/>
      <c r="Z69" s="356"/>
      <c r="AA69" s="356"/>
      <c r="AB69" s="356"/>
      <c r="AC69" s="356"/>
      <c r="AD69" s="356"/>
      <c r="AE69" s="356"/>
      <c r="AF69" s="356"/>
      <c r="AG69" s="356"/>
      <c r="AH69" s="356"/>
      <c r="AI69" s="356"/>
      <c r="AJ69" s="356"/>
      <c r="AK69" s="356"/>
    </row>
    <row r="70" spans="1:37" ht="13">
      <c r="A70" s="3"/>
      <c r="C70" s="2"/>
      <c r="D70" s="3"/>
      <c r="E70" s="3"/>
      <c r="F70" s="7" t="s">
        <v>22</v>
      </c>
      <c r="G70" s="1221" t="s">
        <v>45</v>
      </c>
      <c r="H70" s="1221"/>
      <c r="I70" s="1221"/>
      <c r="J70" s="1221"/>
      <c r="K70" s="1221"/>
      <c r="L70" s="1221"/>
      <c r="M70" s="1221"/>
      <c r="N70" s="1221"/>
      <c r="O70" s="1221"/>
      <c r="P70" s="1221"/>
      <c r="Q70" s="1221"/>
      <c r="R70" s="1221"/>
      <c r="S70" s="1221"/>
      <c r="T70" s="1221"/>
      <c r="U70" s="1221"/>
      <c r="V70" s="1221"/>
      <c r="W70" s="1221"/>
      <c r="X70" s="1221"/>
      <c r="Y70" s="1221"/>
      <c r="Z70" s="1221"/>
      <c r="AA70" s="1221"/>
      <c r="AB70" s="1221"/>
      <c r="AC70" s="1221"/>
      <c r="AD70" s="1221"/>
      <c r="AE70" s="1221"/>
      <c r="AF70" s="1221"/>
      <c r="AG70" s="1221"/>
      <c r="AH70" s="1221"/>
      <c r="AI70" s="1221"/>
      <c r="AJ70" s="1221"/>
      <c r="AK70" s="1221"/>
    </row>
    <row r="71" spans="1:37" ht="13">
      <c r="A71" s="3"/>
      <c r="C71" s="2"/>
      <c r="D71" s="3"/>
      <c r="E71" s="3"/>
      <c r="F71" s="7"/>
      <c r="G71" s="1221"/>
      <c r="H71" s="1221"/>
      <c r="I71" s="1221"/>
      <c r="J71" s="1221"/>
      <c r="K71" s="1221"/>
      <c r="L71" s="1221"/>
      <c r="M71" s="1221"/>
      <c r="N71" s="1221"/>
      <c r="O71" s="1221"/>
      <c r="P71" s="1221"/>
      <c r="Q71" s="1221"/>
      <c r="R71" s="1221"/>
      <c r="S71" s="1221"/>
      <c r="T71" s="1221"/>
      <c r="U71" s="1221"/>
      <c r="V71" s="1221"/>
      <c r="W71" s="1221"/>
      <c r="X71" s="1221"/>
      <c r="Y71" s="1221"/>
      <c r="Z71" s="1221"/>
      <c r="AA71" s="1221"/>
      <c r="AB71" s="1221"/>
      <c r="AC71" s="1221"/>
      <c r="AD71" s="1221"/>
      <c r="AE71" s="1221"/>
      <c r="AF71" s="1221"/>
      <c r="AG71" s="1221"/>
      <c r="AH71" s="1221"/>
      <c r="AI71" s="1221"/>
      <c r="AJ71" s="1221"/>
      <c r="AK71" s="1221"/>
    </row>
    <row r="72" spans="1:37" ht="13">
      <c r="A72" s="3"/>
      <c r="C72" s="2"/>
      <c r="D72" s="3"/>
      <c r="E72" s="3"/>
      <c r="F72" s="7" t="s">
        <v>27</v>
      </c>
      <c r="G72" s="1221" t="s">
        <v>46</v>
      </c>
      <c r="H72" s="1221"/>
      <c r="I72" s="1221"/>
      <c r="J72" s="1221"/>
      <c r="K72" s="1221"/>
      <c r="L72" s="1221"/>
      <c r="M72" s="1221"/>
      <c r="N72" s="1221"/>
      <c r="O72" s="1221"/>
      <c r="P72" s="1221"/>
      <c r="Q72" s="1221"/>
      <c r="R72" s="1221"/>
      <c r="S72" s="1221"/>
      <c r="T72" s="1221"/>
      <c r="U72" s="1221"/>
      <c r="V72" s="1221"/>
      <c r="W72" s="1221"/>
      <c r="X72" s="1221"/>
      <c r="Y72" s="1221"/>
      <c r="Z72" s="1221"/>
      <c r="AA72" s="1221"/>
      <c r="AB72" s="1221"/>
      <c r="AC72" s="1221"/>
      <c r="AD72" s="1221"/>
      <c r="AE72" s="1221"/>
      <c r="AF72" s="1221"/>
      <c r="AG72" s="1221"/>
      <c r="AH72" s="1221"/>
      <c r="AI72" s="1221"/>
      <c r="AJ72" s="1221"/>
      <c r="AK72" s="1221"/>
    </row>
    <row r="73" spans="1:37" ht="13">
      <c r="A73" s="3"/>
      <c r="C73" s="2"/>
      <c r="D73" s="3"/>
      <c r="E73" s="3"/>
      <c r="F73" s="7"/>
      <c r="G73" s="1221"/>
      <c r="H73" s="1221"/>
      <c r="I73" s="1221"/>
      <c r="J73" s="1221"/>
      <c r="K73" s="1221"/>
      <c r="L73" s="1221"/>
      <c r="M73" s="1221"/>
      <c r="N73" s="1221"/>
      <c r="O73" s="1221"/>
      <c r="P73" s="1221"/>
      <c r="Q73" s="1221"/>
      <c r="R73" s="1221"/>
      <c r="S73" s="1221"/>
      <c r="T73" s="1221"/>
      <c r="U73" s="1221"/>
      <c r="V73" s="1221"/>
      <c r="W73" s="1221"/>
      <c r="X73" s="1221"/>
      <c r="Y73" s="1221"/>
      <c r="Z73" s="1221"/>
      <c r="AA73" s="1221"/>
      <c r="AB73" s="1221"/>
      <c r="AC73" s="1221"/>
      <c r="AD73" s="1221"/>
      <c r="AE73" s="1221"/>
      <c r="AF73" s="1221"/>
      <c r="AG73" s="1221"/>
      <c r="AH73" s="1221"/>
      <c r="AI73" s="1221"/>
      <c r="AJ73" s="1221"/>
      <c r="AK73" s="1221"/>
    </row>
    <row r="74" spans="1:37" ht="13">
      <c r="A74" s="3"/>
      <c r="C74" s="2"/>
      <c r="D74" s="3"/>
      <c r="E74" s="3"/>
      <c r="F74" s="7"/>
      <c r="G74" s="86" t="s">
        <v>47</v>
      </c>
      <c r="H74" s="3"/>
      <c r="J74" s="86"/>
      <c r="K74" s="86"/>
      <c r="L74" s="86"/>
      <c r="P74" s="3"/>
      <c r="Q74" s="3"/>
      <c r="R74" s="3"/>
      <c r="S74" s="3"/>
      <c r="T74" s="3"/>
      <c r="U74" s="3"/>
      <c r="V74" s="3"/>
      <c r="W74" s="3"/>
      <c r="X74" s="3"/>
      <c r="Y74" s="3"/>
      <c r="Z74" s="3"/>
      <c r="AA74" s="3"/>
      <c r="AB74" s="3"/>
    </row>
    <row r="75" spans="1:37" ht="13">
      <c r="A75" s="3"/>
      <c r="C75" s="2"/>
      <c r="D75" s="3"/>
      <c r="E75" s="3"/>
      <c r="F75" s="7"/>
      <c r="G75" s="86" t="s">
        <v>48</v>
      </c>
      <c r="J75" s="86"/>
      <c r="K75" s="86"/>
      <c r="L75" s="86"/>
      <c r="P75" s="3"/>
      <c r="Q75" s="3"/>
      <c r="R75" s="3"/>
      <c r="S75" s="3"/>
      <c r="T75" s="3"/>
      <c r="U75" s="3"/>
      <c r="V75" s="3"/>
      <c r="W75" s="3"/>
      <c r="X75" s="3"/>
      <c r="Y75" s="3"/>
      <c r="Z75" s="3"/>
      <c r="AA75" s="3"/>
      <c r="AB75" s="3"/>
    </row>
    <row r="76" spans="1:37" ht="13">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ht="13">
      <c r="A77" s="3"/>
      <c r="C77" s="2"/>
      <c r="D77" s="3"/>
      <c r="E77" s="3"/>
      <c r="F77" s="3"/>
      <c r="G77" s="3" t="s">
        <v>51</v>
      </c>
      <c r="H77" s="3" t="s">
        <v>52</v>
      </c>
      <c r="K77" s="3"/>
      <c r="L77" s="3"/>
      <c r="M77" s="3"/>
      <c r="P77" s="3"/>
      <c r="Q77" s="3"/>
      <c r="R77" s="3"/>
      <c r="S77" s="3"/>
      <c r="T77" s="3"/>
      <c r="U77" s="3"/>
      <c r="V77" s="3"/>
      <c r="W77" s="3"/>
      <c r="X77" s="3"/>
      <c r="Y77" s="3"/>
      <c r="Z77" s="3"/>
      <c r="AA77" s="3"/>
      <c r="AB77" s="3"/>
    </row>
    <row r="78" spans="1:37" ht="13">
      <c r="A78" s="3"/>
      <c r="C78" s="2"/>
      <c r="D78" s="3"/>
      <c r="E78" s="3"/>
      <c r="F78" s="3"/>
      <c r="G78" s="3" t="s">
        <v>53</v>
      </c>
      <c r="H78" s="3" t="s">
        <v>54</v>
      </c>
      <c r="K78" s="3"/>
      <c r="L78" s="3"/>
      <c r="M78" s="3"/>
      <c r="P78" s="3"/>
      <c r="Q78" s="3"/>
      <c r="R78" s="3"/>
      <c r="S78" s="3"/>
      <c r="T78" s="3"/>
      <c r="U78" s="3"/>
      <c r="V78" s="3"/>
      <c r="W78" s="3"/>
      <c r="X78" s="3"/>
      <c r="Y78" s="3"/>
      <c r="Z78" s="3"/>
      <c r="AA78" s="3"/>
      <c r="AB78" s="3"/>
    </row>
    <row r="79" spans="1:37" ht="13">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ht="13">
      <c r="A80" s="3"/>
      <c r="C80" s="2"/>
      <c r="D80" s="3"/>
      <c r="E80" s="3"/>
      <c r="F80" s="7"/>
      <c r="G80" s="1221" t="s">
        <v>56</v>
      </c>
      <c r="H80" s="1221"/>
      <c r="I80" s="1221"/>
      <c r="J80" s="1221"/>
      <c r="K80" s="1221"/>
      <c r="L80" s="1221"/>
      <c r="M80" s="1221"/>
      <c r="N80" s="1221"/>
      <c r="O80" s="1221"/>
      <c r="P80" s="1221"/>
      <c r="Q80" s="1221"/>
      <c r="R80" s="1221"/>
      <c r="S80" s="1221"/>
      <c r="T80" s="1221"/>
      <c r="U80" s="1221"/>
      <c r="V80" s="1221"/>
      <c r="W80" s="1221"/>
      <c r="X80" s="1221"/>
      <c r="Y80" s="1221"/>
      <c r="Z80" s="1221"/>
      <c r="AA80" s="1221"/>
      <c r="AB80" s="1221"/>
      <c r="AC80" s="1221"/>
      <c r="AD80" s="1221"/>
      <c r="AE80" s="1221"/>
      <c r="AF80" s="1221"/>
      <c r="AG80" s="1221"/>
      <c r="AH80" s="1221"/>
      <c r="AI80" s="1221"/>
      <c r="AJ80" s="1221"/>
      <c r="AK80" s="1221"/>
    </row>
    <row r="81" spans="1:37" ht="13">
      <c r="A81" s="3"/>
      <c r="C81" s="2"/>
      <c r="D81" s="3"/>
      <c r="E81" s="3"/>
      <c r="F81" s="3"/>
      <c r="G81" s="1221"/>
      <c r="H81" s="1221"/>
      <c r="I81" s="1221"/>
      <c r="J81" s="1221"/>
      <c r="K81" s="1221"/>
      <c r="L81" s="1221"/>
      <c r="M81" s="1221"/>
      <c r="N81" s="1221"/>
      <c r="O81" s="1221"/>
      <c r="P81" s="1221"/>
      <c r="Q81" s="1221"/>
      <c r="R81" s="1221"/>
      <c r="S81" s="1221"/>
      <c r="T81" s="1221"/>
      <c r="U81" s="1221"/>
      <c r="V81" s="1221"/>
      <c r="W81" s="1221"/>
      <c r="X81" s="1221"/>
      <c r="Y81" s="1221"/>
      <c r="Z81" s="1221"/>
      <c r="AA81" s="1221"/>
      <c r="AB81" s="1221"/>
      <c r="AC81" s="1221"/>
      <c r="AD81" s="1221"/>
      <c r="AE81" s="1221"/>
      <c r="AF81" s="1221"/>
      <c r="AG81" s="1221"/>
      <c r="AH81" s="1221"/>
      <c r="AI81" s="1221"/>
      <c r="AJ81" s="1221"/>
      <c r="AK81" s="1221"/>
    </row>
    <row r="82" spans="1:37" ht="13">
      <c r="A82" s="3"/>
      <c r="C82" s="2"/>
      <c r="D82" s="3"/>
      <c r="E82" s="3"/>
      <c r="F82" s="3"/>
      <c r="G82" s="1221"/>
      <c r="H82" s="1221"/>
      <c r="I82" s="1221"/>
      <c r="J82" s="1221"/>
      <c r="K82" s="1221"/>
      <c r="L82" s="1221"/>
      <c r="M82" s="1221"/>
      <c r="N82" s="1221"/>
      <c r="O82" s="1221"/>
      <c r="P82" s="1221"/>
      <c r="Q82" s="1221"/>
      <c r="R82" s="1221"/>
      <c r="S82" s="1221"/>
      <c r="T82" s="1221"/>
      <c r="U82" s="1221"/>
      <c r="V82" s="1221"/>
      <c r="W82" s="1221"/>
      <c r="X82" s="1221"/>
      <c r="Y82" s="1221"/>
      <c r="Z82" s="1221"/>
      <c r="AA82" s="1221"/>
      <c r="AB82" s="1221"/>
      <c r="AC82" s="1221"/>
      <c r="AD82" s="1221"/>
      <c r="AE82" s="1221"/>
      <c r="AF82" s="1221"/>
      <c r="AG82" s="1221"/>
      <c r="AH82" s="1221"/>
      <c r="AI82" s="1221"/>
      <c r="AJ82" s="1221"/>
      <c r="AK82" s="1221"/>
    </row>
    <row r="83" spans="1:37" ht="13">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ht="13">
      <c r="A84" s="3"/>
      <c r="C84" s="2"/>
      <c r="D84" s="3"/>
      <c r="E84" s="3"/>
      <c r="F84" s="7"/>
      <c r="G84" s="1221" t="s">
        <v>59</v>
      </c>
      <c r="H84" s="1221"/>
      <c r="I84" s="1221"/>
      <c r="J84" s="1221"/>
      <c r="K84" s="1221"/>
      <c r="L84" s="1221"/>
      <c r="M84" s="1221"/>
      <c r="N84" s="1221"/>
      <c r="O84" s="1221"/>
      <c r="P84" s="1221"/>
      <c r="Q84" s="1221"/>
      <c r="R84" s="1221"/>
      <c r="S84" s="1221"/>
      <c r="T84" s="1221"/>
      <c r="U84" s="1221"/>
      <c r="V84" s="1221"/>
      <c r="W84" s="1221"/>
      <c r="X84" s="1221"/>
      <c r="Y84" s="1221"/>
      <c r="Z84" s="1221"/>
      <c r="AA84" s="1221"/>
      <c r="AB84" s="1221"/>
      <c r="AC84" s="1221"/>
      <c r="AD84" s="1221"/>
      <c r="AE84" s="1221"/>
      <c r="AF84" s="1221"/>
      <c r="AG84" s="1221"/>
      <c r="AH84" s="1221"/>
      <c r="AI84" s="1221"/>
      <c r="AJ84" s="1221"/>
      <c r="AK84" s="1221"/>
    </row>
    <row r="85" spans="1:37" ht="13">
      <c r="A85" s="3"/>
      <c r="C85" s="2"/>
      <c r="D85" s="3"/>
      <c r="E85" s="3"/>
      <c r="F85" s="3"/>
      <c r="G85" s="1221"/>
      <c r="H85" s="1221"/>
      <c r="I85" s="1221"/>
      <c r="J85" s="1221"/>
      <c r="K85" s="1221"/>
      <c r="L85" s="1221"/>
      <c r="M85" s="1221"/>
      <c r="N85" s="1221"/>
      <c r="O85" s="1221"/>
      <c r="P85" s="1221"/>
      <c r="Q85" s="1221"/>
      <c r="R85" s="1221"/>
      <c r="S85" s="1221"/>
      <c r="T85" s="1221"/>
      <c r="U85" s="1221"/>
      <c r="V85" s="1221"/>
      <c r="W85" s="1221"/>
      <c r="X85" s="1221"/>
      <c r="Y85" s="1221"/>
      <c r="Z85" s="1221"/>
      <c r="AA85" s="1221"/>
      <c r="AB85" s="1221"/>
      <c r="AC85" s="1221"/>
      <c r="AD85" s="1221"/>
      <c r="AE85" s="1221"/>
      <c r="AF85" s="1221"/>
      <c r="AG85" s="1221"/>
      <c r="AH85" s="1221"/>
      <c r="AI85" s="1221"/>
      <c r="AJ85" s="1221"/>
      <c r="AK85" s="1221"/>
    </row>
    <row r="86" spans="1:37" ht="13">
      <c r="A86" s="3"/>
      <c r="C86" s="2"/>
      <c r="D86" s="3"/>
      <c r="E86" s="3"/>
      <c r="G86" s="1221"/>
      <c r="H86" s="1221"/>
      <c r="I86" s="1221"/>
      <c r="J86" s="1221"/>
      <c r="K86" s="1221"/>
      <c r="L86" s="1221"/>
      <c r="M86" s="1221"/>
      <c r="N86" s="1221"/>
      <c r="O86" s="1221"/>
      <c r="P86" s="1221"/>
      <c r="Q86" s="1221"/>
      <c r="R86" s="1221"/>
      <c r="S86" s="1221"/>
      <c r="T86" s="1221"/>
      <c r="U86" s="1221"/>
      <c r="V86" s="1221"/>
      <c r="W86" s="1221"/>
      <c r="X86" s="1221"/>
      <c r="Y86" s="1221"/>
      <c r="Z86" s="1221"/>
      <c r="AA86" s="1221"/>
      <c r="AB86" s="1221"/>
      <c r="AC86" s="1221"/>
      <c r="AD86" s="1221"/>
      <c r="AE86" s="1221"/>
      <c r="AF86" s="1221"/>
      <c r="AG86" s="1221"/>
      <c r="AH86" s="1221"/>
      <c r="AI86" s="1221"/>
      <c r="AJ86" s="1221"/>
      <c r="AK86" s="1221"/>
    </row>
    <row r="87" spans="1:37" ht="13">
      <c r="A87" s="3"/>
      <c r="C87" s="2"/>
      <c r="D87" s="3"/>
      <c r="E87" s="3" t="s">
        <v>60</v>
      </c>
      <c r="F87" t="s">
        <v>61</v>
      </c>
      <c r="G87" s="3"/>
      <c r="L87" s="3"/>
      <c r="M87" s="3"/>
      <c r="P87" s="3"/>
      <c r="Q87" s="3"/>
      <c r="R87" s="3"/>
      <c r="S87" s="3"/>
      <c r="T87" s="3"/>
      <c r="U87" s="3"/>
      <c r="V87" s="3"/>
      <c r="W87" s="3"/>
      <c r="X87" s="3"/>
      <c r="Y87" s="3"/>
      <c r="Z87" s="3"/>
      <c r="AA87" s="3"/>
      <c r="AB87" s="3"/>
    </row>
    <row r="88" spans="1:37" ht="13">
      <c r="A88" s="3"/>
      <c r="C88" s="2"/>
      <c r="D88" s="3"/>
      <c r="E88" s="3"/>
      <c r="G88" s="1224" t="s">
        <v>62</v>
      </c>
      <c r="H88" s="1224"/>
      <c r="I88" s="1224"/>
      <c r="J88" s="1224"/>
      <c r="K88" s="1224"/>
      <c r="L88" s="1224"/>
      <c r="M88" s="1224"/>
      <c r="N88" s="1224"/>
      <c r="O88" s="1224"/>
      <c r="P88" s="1224"/>
      <c r="Q88" s="1224"/>
      <c r="R88" s="1224"/>
      <c r="S88" s="1224"/>
      <c r="T88" s="1224"/>
      <c r="U88" s="1224"/>
      <c r="V88" s="1224"/>
      <c r="W88" s="1224"/>
      <c r="X88" s="1224"/>
      <c r="Y88" s="1224"/>
      <c r="Z88" s="1224"/>
      <c r="AA88" s="1224"/>
      <c r="AB88" s="1224"/>
      <c r="AC88" s="1224"/>
      <c r="AD88" s="1224"/>
      <c r="AE88" s="1224"/>
      <c r="AF88" s="1224"/>
      <c r="AG88" s="1224"/>
      <c r="AH88" s="1224"/>
      <c r="AI88" s="1224"/>
      <c r="AJ88" s="1224"/>
      <c r="AK88" s="1224"/>
    </row>
    <row r="89" spans="1:37" ht="13">
      <c r="A89" s="3"/>
      <c r="C89" s="2"/>
      <c r="D89" s="3"/>
      <c r="E89" s="3"/>
      <c r="G89" s="1224"/>
      <c r="H89" s="1224"/>
      <c r="I89" s="1224"/>
      <c r="J89" s="1224"/>
      <c r="K89" s="1224"/>
      <c r="L89" s="1224"/>
      <c r="M89" s="1224"/>
      <c r="N89" s="1224"/>
      <c r="O89" s="1224"/>
      <c r="P89" s="1224"/>
      <c r="Q89" s="1224"/>
      <c r="R89" s="1224"/>
      <c r="S89" s="1224"/>
      <c r="T89" s="1224"/>
      <c r="U89" s="1224"/>
      <c r="V89" s="1224"/>
      <c r="W89" s="1224"/>
      <c r="X89" s="1224"/>
      <c r="Y89" s="1224"/>
      <c r="Z89" s="1224"/>
      <c r="AA89" s="1224"/>
      <c r="AB89" s="1224"/>
      <c r="AC89" s="1224"/>
      <c r="AD89" s="1224"/>
      <c r="AE89" s="1224"/>
      <c r="AF89" s="1224"/>
      <c r="AG89" s="1224"/>
      <c r="AH89" s="1224"/>
      <c r="AI89" s="1224"/>
      <c r="AJ89" s="1224"/>
      <c r="AK89" s="1224"/>
    </row>
    <row r="90" spans="1:37" ht="13">
      <c r="A90" s="3"/>
      <c r="C90" s="2"/>
      <c r="D90" s="3"/>
      <c r="E90" s="3"/>
      <c r="G90" s="1224"/>
      <c r="H90" s="1224"/>
      <c r="I90" s="1224"/>
      <c r="J90" s="1224"/>
      <c r="K90" s="1224"/>
      <c r="L90" s="1224"/>
      <c r="M90" s="1224"/>
      <c r="N90" s="1224"/>
      <c r="O90" s="1224"/>
      <c r="P90" s="1224"/>
      <c r="Q90" s="1224"/>
      <c r="R90" s="1224"/>
      <c r="S90" s="1224"/>
      <c r="T90" s="1224"/>
      <c r="U90" s="1224"/>
      <c r="V90" s="1224"/>
      <c r="W90" s="1224"/>
      <c r="X90" s="1224"/>
      <c r="Y90" s="1224"/>
      <c r="Z90" s="1224"/>
      <c r="AA90" s="1224"/>
      <c r="AB90" s="1224"/>
      <c r="AC90" s="1224"/>
      <c r="AD90" s="1224"/>
      <c r="AE90" s="1224"/>
      <c r="AF90" s="1224"/>
      <c r="AG90" s="1224"/>
      <c r="AH90" s="1224"/>
      <c r="AI90" s="1224"/>
      <c r="AJ90" s="1224"/>
      <c r="AK90" s="1224"/>
    </row>
    <row r="91" spans="1:37" ht="13">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ht="13">
      <c r="A92" s="3"/>
      <c r="C92" s="2"/>
      <c r="D92" s="3"/>
      <c r="E92" s="3"/>
      <c r="F92" s="3"/>
      <c r="G92" s="1221" t="s">
        <v>65</v>
      </c>
      <c r="H92" s="1221"/>
      <c r="I92" s="1221"/>
      <c r="J92" s="1221"/>
      <c r="K92" s="1221"/>
      <c r="L92" s="1221"/>
      <c r="M92" s="1221"/>
      <c r="N92" s="1221"/>
      <c r="O92" s="1221"/>
      <c r="P92" s="1221"/>
      <c r="Q92" s="1221"/>
      <c r="R92" s="1221"/>
      <c r="S92" s="1221"/>
      <c r="T92" s="1221"/>
      <c r="U92" s="1221"/>
      <c r="V92" s="1221"/>
      <c r="W92" s="1221"/>
      <c r="X92" s="1221"/>
      <c r="Y92" s="1221"/>
      <c r="Z92" s="1221"/>
      <c r="AA92" s="1221"/>
      <c r="AB92" s="1221"/>
      <c r="AC92" s="1221"/>
      <c r="AD92" s="1221"/>
      <c r="AE92" s="1221"/>
      <c r="AF92" s="1221"/>
      <c r="AG92" s="1221"/>
      <c r="AH92" s="1221"/>
      <c r="AI92" s="1221"/>
      <c r="AJ92" s="1221"/>
      <c r="AK92" s="1221"/>
    </row>
    <row r="93" spans="1:37" ht="13">
      <c r="A93" s="3"/>
      <c r="C93" s="2"/>
      <c r="D93" s="3"/>
      <c r="E93" s="3"/>
      <c r="G93" s="1221"/>
      <c r="H93" s="1221"/>
      <c r="I93" s="1221"/>
      <c r="J93" s="1221"/>
      <c r="K93" s="1221"/>
      <c r="L93" s="1221"/>
      <c r="M93" s="1221"/>
      <c r="N93" s="1221"/>
      <c r="O93" s="1221"/>
      <c r="P93" s="1221"/>
      <c r="Q93" s="1221"/>
      <c r="R93" s="1221"/>
      <c r="S93" s="1221"/>
      <c r="T93" s="1221"/>
      <c r="U93" s="1221"/>
      <c r="V93" s="1221"/>
      <c r="W93" s="1221"/>
      <c r="X93" s="1221"/>
      <c r="Y93" s="1221"/>
      <c r="Z93" s="1221"/>
      <c r="AA93" s="1221"/>
      <c r="AB93" s="1221"/>
      <c r="AC93" s="1221"/>
      <c r="AD93" s="1221"/>
      <c r="AE93" s="1221"/>
      <c r="AF93" s="1221"/>
      <c r="AG93" s="1221"/>
      <c r="AH93" s="1221"/>
      <c r="AI93" s="1221"/>
      <c r="AJ93" s="1221"/>
      <c r="AK93" s="1221"/>
    </row>
    <row r="94" spans="1:37" ht="13">
      <c r="A94" s="3"/>
      <c r="C94" s="2"/>
      <c r="D94" s="3"/>
      <c r="E94" s="3" t="s">
        <v>66</v>
      </c>
      <c r="F94" s="135" t="s">
        <v>67</v>
      </c>
      <c r="G94" s="135"/>
      <c r="L94" s="3"/>
      <c r="M94" s="3"/>
      <c r="P94" s="3"/>
      <c r="Q94" s="3"/>
      <c r="R94" s="3"/>
      <c r="S94" s="3"/>
      <c r="T94" s="3"/>
      <c r="U94" s="3"/>
      <c r="V94" s="3"/>
      <c r="W94" s="3"/>
      <c r="X94" s="3"/>
      <c r="Y94" s="3"/>
      <c r="Z94" s="3"/>
      <c r="AA94" s="3"/>
      <c r="AB94" s="3"/>
    </row>
    <row r="95" spans="1:37" ht="13">
      <c r="A95" s="3"/>
      <c r="C95" s="2"/>
      <c r="D95" s="3"/>
      <c r="E95" s="3"/>
      <c r="G95" s="1221" t="s">
        <v>68</v>
      </c>
      <c r="H95" s="1221"/>
      <c r="I95" s="1221"/>
      <c r="J95" s="1221"/>
      <c r="K95" s="1221"/>
      <c r="L95" s="1221"/>
      <c r="M95" s="1221"/>
      <c r="N95" s="1221"/>
      <c r="O95" s="1221"/>
      <c r="P95" s="1221"/>
      <c r="Q95" s="1221"/>
      <c r="R95" s="1221"/>
      <c r="S95" s="1221"/>
      <c r="T95" s="1221"/>
      <c r="U95" s="1221"/>
      <c r="V95" s="1221"/>
      <c r="W95" s="1221"/>
      <c r="X95" s="1221"/>
      <c r="Y95" s="1221"/>
      <c r="Z95" s="1221"/>
      <c r="AA95" s="1221"/>
      <c r="AB95" s="1221"/>
      <c r="AC95" s="1221"/>
      <c r="AD95" s="1221"/>
      <c r="AE95" s="1221"/>
      <c r="AF95" s="1221"/>
      <c r="AG95" s="1221"/>
      <c r="AH95" s="1221"/>
      <c r="AI95" s="1221"/>
      <c r="AJ95" s="1221"/>
      <c r="AK95" s="1221"/>
    </row>
    <row r="96" spans="1:37" ht="13">
      <c r="A96" s="3"/>
      <c r="C96" s="2"/>
      <c r="D96" s="3"/>
      <c r="E96" s="3"/>
      <c r="G96" s="1221"/>
      <c r="H96" s="1221"/>
      <c r="I96" s="1221"/>
      <c r="J96" s="1221"/>
      <c r="K96" s="1221"/>
      <c r="L96" s="1221"/>
      <c r="M96" s="1221"/>
      <c r="N96" s="1221"/>
      <c r="O96" s="1221"/>
      <c r="P96" s="1221"/>
      <c r="Q96" s="1221"/>
      <c r="R96" s="1221"/>
      <c r="S96" s="1221"/>
      <c r="T96" s="1221"/>
      <c r="U96" s="1221"/>
      <c r="V96" s="1221"/>
      <c r="W96" s="1221"/>
      <c r="X96" s="1221"/>
      <c r="Y96" s="1221"/>
      <c r="Z96" s="1221"/>
      <c r="AA96" s="1221"/>
      <c r="AB96" s="1221"/>
      <c r="AC96" s="1221"/>
      <c r="AD96" s="1221"/>
      <c r="AE96" s="1221"/>
      <c r="AF96" s="1221"/>
      <c r="AG96" s="1221"/>
      <c r="AH96" s="1221"/>
      <c r="AI96" s="1221"/>
      <c r="AJ96" s="1221"/>
      <c r="AK96" s="1221"/>
    </row>
    <row r="97" spans="1:38" ht="13">
      <c r="A97" s="3"/>
      <c r="C97" s="2"/>
      <c r="D97" s="3"/>
      <c r="E97" s="3"/>
      <c r="G97" s="1221"/>
      <c r="H97" s="1221"/>
      <c r="I97" s="1221"/>
      <c r="J97" s="1221"/>
      <c r="K97" s="1221"/>
      <c r="L97" s="1221"/>
      <c r="M97" s="1221"/>
      <c r="N97" s="1221"/>
      <c r="O97" s="1221"/>
      <c r="P97" s="1221"/>
      <c r="Q97" s="1221"/>
      <c r="R97" s="1221"/>
      <c r="S97" s="1221"/>
      <c r="T97" s="1221"/>
      <c r="U97" s="1221"/>
      <c r="V97" s="1221"/>
      <c r="W97" s="1221"/>
      <c r="X97" s="1221"/>
      <c r="Y97" s="1221"/>
      <c r="Z97" s="1221"/>
      <c r="AA97" s="1221"/>
      <c r="AB97" s="1221"/>
      <c r="AC97" s="1221"/>
      <c r="AD97" s="1221"/>
      <c r="AE97" s="1221"/>
      <c r="AF97" s="1221"/>
      <c r="AG97" s="1221"/>
      <c r="AH97" s="1221"/>
      <c r="AI97" s="1221"/>
      <c r="AJ97" s="1221"/>
      <c r="AK97" s="1221"/>
    </row>
    <row r="98" spans="1:38" ht="13">
      <c r="A98" s="3"/>
      <c r="D98" s="74"/>
      <c r="E98" s="1225" t="s">
        <v>69</v>
      </c>
      <c r="F98" s="1225"/>
      <c r="G98" s="1225"/>
      <c r="H98" s="1225"/>
      <c r="I98" s="1225"/>
      <c r="J98" s="1225"/>
      <c r="K98" s="1225"/>
      <c r="L98" s="1225"/>
      <c r="M98" s="1225"/>
      <c r="N98" s="1225"/>
      <c r="O98" s="1225"/>
      <c r="P98" s="1225"/>
      <c r="Q98" s="1225"/>
      <c r="R98" s="1225"/>
      <c r="S98" s="1225"/>
      <c r="T98" s="1225"/>
      <c r="U98" s="1225"/>
      <c r="V98" s="1225"/>
      <c r="W98" s="1225"/>
      <c r="X98" s="1225"/>
      <c r="Y98" s="1225"/>
      <c r="Z98" s="1225"/>
      <c r="AA98" s="1225"/>
      <c r="AB98" s="1225"/>
      <c r="AC98" s="1225"/>
      <c r="AD98" s="1225"/>
      <c r="AE98" s="1225"/>
      <c r="AF98" s="1225"/>
      <c r="AG98" s="1225"/>
      <c r="AH98" s="1225"/>
      <c r="AI98" s="1225"/>
      <c r="AJ98" s="1225"/>
      <c r="AK98" s="1225"/>
    </row>
    <row r="99" spans="1:38" ht="13">
      <c r="A99" s="3"/>
      <c r="D99" s="74"/>
      <c r="E99" s="1225"/>
      <c r="F99" s="1225"/>
      <c r="G99" s="1225"/>
      <c r="H99" s="1225"/>
      <c r="I99" s="1225"/>
      <c r="J99" s="1225"/>
      <c r="K99" s="1225"/>
      <c r="L99" s="1225"/>
      <c r="M99" s="1225"/>
      <c r="N99" s="1225"/>
      <c r="O99" s="1225"/>
      <c r="P99" s="1225"/>
      <c r="Q99" s="1225"/>
      <c r="R99" s="1225"/>
      <c r="S99" s="1225"/>
      <c r="T99" s="1225"/>
      <c r="U99" s="1225"/>
      <c r="V99" s="1225"/>
      <c r="W99" s="1225"/>
      <c r="X99" s="1225"/>
      <c r="Y99" s="1225"/>
      <c r="Z99" s="1225"/>
      <c r="AA99" s="1225"/>
      <c r="AB99" s="1225"/>
      <c r="AC99" s="1225"/>
      <c r="AD99" s="1225"/>
      <c r="AE99" s="1225"/>
      <c r="AF99" s="1225"/>
      <c r="AG99" s="1225"/>
      <c r="AH99" s="1225"/>
      <c r="AI99" s="1225"/>
      <c r="AJ99" s="1225"/>
      <c r="AK99" s="1225"/>
    </row>
    <row r="100" spans="1:38" ht="13">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ht="13">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71</v>
      </c>
      <c r="E103" s="2"/>
      <c r="F103" s="2"/>
      <c r="G103" s="2" t="s">
        <v>72</v>
      </c>
      <c r="H103" s="2"/>
      <c r="I103" s="2"/>
      <c r="K103" s="2"/>
    </row>
    <row r="104" spans="1:38" ht="13">
      <c r="B104" s="2"/>
      <c r="C104" s="2"/>
      <c r="D104" s="2" t="s">
        <v>3</v>
      </c>
      <c r="E104" s="2" t="s">
        <v>73</v>
      </c>
      <c r="F104" s="2"/>
      <c r="G104" s="2"/>
      <c r="H104" s="2"/>
      <c r="I104" s="2"/>
      <c r="J104" s="2"/>
      <c r="K104" s="2"/>
      <c r="L104" s="2"/>
      <c r="M104" s="2"/>
    </row>
    <row r="105" spans="1:38" ht="13">
      <c r="B105" s="2"/>
      <c r="C105" s="2"/>
      <c r="E105" s="3" t="s">
        <v>18</v>
      </c>
      <c r="F105" s="73" t="s">
        <v>74</v>
      </c>
      <c r="G105" s="2"/>
      <c r="H105" s="2"/>
      <c r="I105" s="2"/>
      <c r="J105" s="2"/>
      <c r="K105" s="2"/>
    </row>
    <row r="106" spans="1:38">
      <c r="E106" s="3"/>
      <c r="F106" t="s">
        <v>75</v>
      </c>
    </row>
    <row r="107" spans="1:38">
      <c r="E107" s="3"/>
      <c r="F107" t="s">
        <v>76</v>
      </c>
    </row>
    <row r="108" spans="1:38">
      <c r="E108" s="3"/>
    </row>
    <row r="109" spans="1:38" ht="13">
      <c r="E109" s="3" t="s">
        <v>31</v>
      </c>
      <c r="F109" s="73" t="s">
        <v>77</v>
      </c>
      <c r="G109" s="2"/>
      <c r="H109" s="2"/>
      <c r="I109" s="2"/>
      <c r="J109" s="2"/>
    </row>
    <row r="110" spans="1:38">
      <c r="E110" s="3"/>
      <c r="F110" t="s">
        <v>78</v>
      </c>
    </row>
    <row r="111" spans="1:38">
      <c r="E111" s="3"/>
    </row>
    <row r="112" spans="1:38" ht="13">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ht="13">
      <c r="F117" s="3" t="s">
        <v>84</v>
      </c>
      <c r="G117" s="3"/>
    </row>
    <row r="118" spans="2:10" ht="13">
      <c r="F118" s="74" t="s">
        <v>85</v>
      </c>
      <c r="G118" s="74"/>
    </row>
    <row r="119" spans="2:10" ht="13">
      <c r="G119" s="74"/>
    </row>
    <row r="120" spans="2:10">
      <c r="E120" s="3" t="s">
        <v>86</v>
      </c>
      <c r="F120" s="73" t="s">
        <v>87</v>
      </c>
    </row>
    <row r="121" spans="2:10">
      <c r="E121" s="3"/>
      <c r="F121" s="3" t="s">
        <v>88</v>
      </c>
    </row>
    <row r="122" spans="2:10" ht="13">
      <c r="B122" s="2"/>
      <c r="C122" s="2"/>
      <c r="F122" s="2"/>
    </row>
    <row r="123" spans="2:10" ht="13">
      <c r="B123" s="2"/>
      <c r="C123" s="2" t="s">
        <v>89</v>
      </c>
      <c r="G123" s="2" t="s">
        <v>90</v>
      </c>
    </row>
    <row r="124" spans="2:10" ht="13">
      <c r="B124" s="2"/>
      <c r="C124" s="2"/>
      <c r="D124" s="2" t="s">
        <v>3</v>
      </c>
      <c r="E124" s="2" t="s">
        <v>91</v>
      </c>
      <c r="F124" s="2"/>
      <c r="G124" s="2"/>
      <c r="H124" s="2"/>
      <c r="I124" s="2"/>
      <c r="J124" s="2"/>
    </row>
    <row r="125" spans="2:10" ht="13">
      <c r="B125" s="2"/>
      <c r="C125" s="2"/>
      <c r="E125" s="3" t="s">
        <v>92</v>
      </c>
      <c r="F125" s="3"/>
    </row>
    <row r="126" spans="2:10"/>
    <row r="127" spans="2:10" ht="13">
      <c r="D127" s="2" t="s">
        <v>16</v>
      </c>
      <c r="E127" s="2" t="s">
        <v>93</v>
      </c>
    </row>
    <row r="128" spans="2:10">
      <c r="E128" s="3" t="s">
        <v>92</v>
      </c>
      <c r="F128" s="3"/>
    </row>
    <row r="129" spans="4:37"/>
    <row r="130" spans="4:37" ht="13">
      <c r="D130" s="2" t="s">
        <v>94</v>
      </c>
      <c r="E130" s="2" t="s">
        <v>95</v>
      </c>
      <c r="G130" s="2"/>
      <c r="H130" s="2"/>
      <c r="I130" s="2"/>
      <c r="J130" s="2"/>
      <c r="K130" s="2"/>
      <c r="L130" s="2"/>
      <c r="M130" s="2"/>
      <c r="N130" s="2"/>
    </row>
    <row r="131" spans="4:37" ht="13">
      <c r="D131" s="2"/>
      <c r="E131" s="85" t="s">
        <v>96</v>
      </c>
      <c r="G131" s="2"/>
      <c r="H131" s="2"/>
      <c r="I131" s="2"/>
      <c r="J131" s="2"/>
      <c r="K131" s="2"/>
      <c r="L131" s="2"/>
      <c r="M131" s="2"/>
      <c r="N131" s="2"/>
    </row>
    <row r="132" spans="4:37" ht="12.75" customHeight="1">
      <c r="E132" s="85" t="s">
        <v>97</v>
      </c>
      <c r="F132" s="356"/>
      <c r="G132" s="356"/>
      <c r="H132" s="356"/>
      <c r="I132" s="356"/>
      <c r="J132" s="356"/>
      <c r="K132" s="356"/>
      <c r="L132" s="356"/>
      <c r="M132" s="356"/>
      <c r="N132" s="356"/>
      <c r="O132" s="356"/>
      <c r="P132" s="356"/>
      <c r="Q132" s="356"/>
      <c r="R132" s="356"/>
      <c r="S132" s="356"/>
      <c r="T132" s="356"/>
      <c r="U132" s="356"/>
      <c r="V132" s="356"/>
      <c r="W132" s="356"/>
      <c r="X132" s="356"/>
      <c r="Y132" s="356"/>
      <c r="Z132" s="356"/>
      <c r="AA132" s="356"/>
      <c r="AB132" s="356"/>
      <c r="AC132" s="356"/>
      <c r="AD132" s="356"/>
      <c r="AE132" s="356"/>
      <c r="AF132" s="356"/>
      <c r="AG132" s="356"/>
      <c r="AH132" s="356"/>
      <c r="AI132" s="356"/>
      <c r="AJ132" s="356"/>
      <c r="AK132" s="356"/>
    </row>
    <row r="133" spans="4:37">
      <c r="E133" s="85" t="s">
        <v>98</v>
      </c>
      <c r="F133" s="356"/>
      <c r="G133" s="356"/>
      <c r="H133" s="356"/>
      <c r="I133" s="356"/>
      <c r="J133" s="356"/>
      <c r="K133" s="356"/>
      <c r="L133" s="356"/>
      <c r="M133" s="356"/>
      <c r="N133" s="356"/>
      <c r="O133" s="356"/>
      <c r="P133" s="356"/>
      <c r="Q133" s="356"/>
      <c r="R133" s="356"/>
      <c r="S133" s="356"/>
      <c r="T133" s="356"/>
      <c r="U133" s="356"/>
      <c r="V133" s="356"/>
      <c r="W133" s="356"/>
      <c r="X133" s="356"/>
      <c r="Y133" s="356"/>
      <c r="Z133" s="356"/>
      <c r="AA133" s="356"/>
      <c r="AB133" s="356"/>
      <c r="AC133" s="356"/>
      <c r="AD133" s="356"/>
      <c r="AE133" s="356"/>
      <c r="AF133" s="356"/>
      <c r="AG133" s="356"/>
      <c r="AH133" s="356"/>
      <c r="AI133" s="356"/>
      <c r="AJ133" s="356"/>
      <c r="AK133" s="356"/>
    </row>
    <row r="134" spans="4:37">
      <c r="F134" s="3"/>
    </row>
    <row r="135" spans="4:37" ht="13">
      <c r="D135" s="2" t="s">
        <v>99</v>
      </c>
      <c r="E135" s="2" t="s">
        <v>100</v>
      </c>
      <c r="F135" s="2"/>
    </row>
    <row r="136" spans="4:37">
      <c r="E136" s="3" t="s">
        <v>101</v>
      </c>
      <c r="F136" s="3"/>
    </row>
    <row r="137" spans="4:37">
      <c r="F137" s="3"/>
    </row>
    <row r="138" spans="4:37" ht="13">
      <c r="D138" s="2" t="s">
        <v>102</v>
      </c>
      <c r="E138" s="2" t="s">
        <v>103</v>
      </c>
      <c r="F138" s="2"/>
      <c r="G138" s="2"/>
      <c r="H138" s="2"/>
    </row>
    <row r="139" spans="4:37">
      <c r="E139" t="s">
        <v>18</v>
      </c>
      <c r="F139" t="s">
        <v>104</v>
      </c>
    </row>
    <row r="140" spans="4:37">
      <c r="E140" t="s">
        <v>31</v>
      </c>
      <c r="F140" t="s">
        <v>105</v>
      </c>
    </row>
    <row r="141" spans="4:37"/>
    <row r="142" spans="4:37" ht="13">
      <c r="D142" s="2" t="s">
        <v>106</v>
      </c>
      <c r="E142" s="2" t="s">
        <v>107</v>
      </c>
    </row>
    <row r="143" spans="4:37">
      <c r="E143" s="135" t="s">
        <v>108</v>
      </c>
      <c r="F143" s="135"/>
    </row>
    <row r="144" spans="4:37"/>
    <row r="145" spans="3:7" ht="13">
      <c r="C145" s="2" t="s">
        <v>109</v>
      </c>
      <c r="G145" s="2" t="s">
        <v>110</v>
      </c>
    </row>
    <row r="146" spans="3:7" ht="13">
      <c r="D146" s="2" t="s">
        <v>3</v>
      </c>
      <c r="E146" s="2" t="s">
        <v>111</v>
      </c>
    </row>
    <row r="147" spans="3:7">
      <c r="E147" t="s">
        <v>112</v>
      </c>
    </row>
    <row r="148" spans="3:7"/>
    <row r="149" spans="3:7" ht="13">
      <c r="D149" s="2" t="s">
        <v>16</v>
      </c>
      <c r="E149" s="2" t="s">
        <v>113</v>
      </c>
      <c r="F149" s="2"/>
    </row>
    <row r="150" spans="3:7">
      <c r="E150" s="3" t="s">
        <v>114</v>
      </c>
      <c r="F150" s="3"/>
    </row>
    <row r="151" spans="3:7"/>
    <row r="152" spans="3:7" ht="13">
      <c r="D152" s="2" t="s">
        <v>94</v>
      </c>
      <c r="E152" s="2" t="s">
        <v>115</v>
      </c>
    </row>
    <row r="153" spans="3:7">
      <c r="E153" s="3" t="s">
        <v>116</v>
      </c>
    </row>
    <row r="154" spans="3:7">
      <c r="E154" s="3" t="s">
        <v>117</v>
      </c>
      <c r="G154" s="3"/>
    </row>
    <row r="155" spans="3:7"/>
    <row r="156" spans="3:7" ht="13">
      <c r="D156" s="2" t="s">
        <v>99</v>
      </c>
      <c r="E156" s="2" t="s">
        <v>118</v>
      </c>
    </row>
    <row r="157" spans="3:7">
      <c r="E157" t="s">
        <v>18</v>
      </c>
      <c r="F157" s="3" t="s">
        <v>119</v>
      </c>
    </row>
    <row r="158" spans="3:7">
      <c r="E158" s="3" t="s">
        <v>31</v>
      </c>
      <c r="F158" s="3" t="s">
        <v>120</v>
      </c>
    </row>
    <row r="159" spans="3:7">
      <c r="E159" s="3" t="s">
        <v>39</v>
      </c>
      <c r="F159" t="s">
        <v>121</v>
      </c>
    </row>
    <row r="160" spans="3:7"/>
    <row r="161" spans="3:20" ht="13">
      <c r="D161" s="2" t="s">
        <v>102</v>
      </c>
      <c r="E161" s="2" t="s">
        <v>122</v>
      </c>
    </row>
    <row r="162" spans="3:20">
      <c r="E162" s="3" t="s">
        <v>123</v>
      </c>
      <c r="F162" s="3"/>
    </row>
    <row r="163" spans="3:20"/>
    <row r="164" spans="3:20" ht="13">
      <c r="D164" s="2" t="s">
        <v>106</v>
      </c>
      <c r="E164" s="2" t="s">
        <v>124</v>
      </c>
    </row>
    <row r="165" spans="3:20">
      <c r="E165" s="3" t="s">
        <v>125</v>
      </c>
    </row>
    <row r="166" spans="3:20">
      <c r="E166" s="3" t="s">
        <v>126</v>
      </c>
    </row>
    <row r="167" spans="3:20"/>
    <row r="168" spans="3:20" ht="13">
      <c r="D168" s="2" t="s">
        <v>127</v>
      </c>
      <c r="E168" s="2" t="s">
        <v>128</v>
      </c>
    </row>
    <row r="169" spans="3:20">
      <c r="E169" t="s">
        <v>18</v>
      </c>
      <c r="F169" t="s">
        <v>129</v>
      </c>
    </row>
    <row r="170" spans="3:20">
      <c r="E170" t="s">
        <v>31</v>
      </c>
      <c r="F170" t="s">
        <v>130</v>
      </c>
    </row>
    <row r="171" spans="3:20">
      <c r="F171" s="3"/>
    </row>
    <row r="172" spans="3:20" ht="13">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ht="13">
      <c r="C175" s="2" t="s">
        <v>134</v>
      </c>
      <c r="D175" s="2"/>
      <c r="F175" s="3"/>
      <c r="G175" s="2" t="s">
        <v>93</v>
      </c>
    </row>
    <row r="176" spans="3:20" ht="13">
      <c r="D176" s="2" t="s">
        <v>3</v>
      </c>
      <c r="E176" s="2" t="s">
        <v>135</v>
      </c>
      <c r="G176" s="3"/>
      <c r="H176" s="3"/>
      <c r="I176" s="3"/>
      <c r="J176" s="3"/>
      <c r="K176" s="3"/>
      <c r="L176" s="3"/>
      <c r="M176" s="3"/>
      <c r="N176" s="3"/>
    </row>
    <row r="177" spans="2:19">
      <c r="E177" t="s">
        <v>18</v>
      </c>
      <c r="F177" s="3" t="s">
        <v>136</v>
      </c>
    </row>
    <row r="178" spans="2:19" ht="13">
      <c r="F178" s="86" t="s">
        <v>137</v>
      </c>
      <c r="I178" s="86"/>
    </row>
    <row r="179" spans="2:19" ht="13">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ht="13">
      <c r="D183" s="2" t="s">
        <v>16</v>
      </c>
      <c r="E183" s="2" t="s">
        <v>140</v>
      </c>
    </row>
    <row r="184" spans="2:19">
      <c r="B184" s="3"/>
      <c r="C184" s="3"/>
      <c r="E184" s="3" t="s">
        <v>141</v>
      </c>
      <c r="F184" s="3"/>
      <c r="I184" s="3"/>
    </row>
    <row r="185" spans="2:19" ht="13">
      <c r="B185" s="3"/>
      <c r="C185" s="3"/>
      <c r="E185" s="3" t="s">
        <v>142</v>
      </c>
      <c r="F185" s="86"/>
      <c r="G185" s="3"/>
      <c r="I185" s="86"/>
    </row>
    <row r="186" spans="2:19" ht="13">
      <c r="B186" s="3"/>
      <c r="C186" s="3"/>
      <c r="F186" s="86"/>
      <c r="G186" s="3"/>
      <c r="I186" s="86"/>
    </row>
    <row r="187" spans="2:19" ht="13">
      <c r="B187" s="3"/>
      <c r="C187" s="3"/>
      <c r="D187" s="2" t="s">
        <v>94</v>
      </c>
      <c r="E187" s="2" t="s">
        <v>143</v>
      </c>
      <c r="F187" s="86"/>
      <c r="G187" s="3"/>
      <c r="I187" s="86"/>
    </row>
    <row r="188" spans="2:19" ht="13">
      <c r="B188" s="3"/>
      <c r="C188" s="3"/>
      <c r="D188" s="2"/>
      <c r="E188" s="3" t="s">
        <v>144</v>
      </c>
      <c r="F188" s="3"/>
      <c r="G188" s="3"/>
      <c r="I188" s="86"/>
    </row>
    <row r="189" spans="2:19" ht="13">
      <c r="B189" s="3"/>
      <c r="C189" s="3"/>
      <c r="F189" s="86"/>
      <c r="G189" s="3"/>
      <c r="I189" s="86"/>
    </row>
    <row r="190" spans="2:19" ht="13">
      <c r="D190" s="2" t="s">
        <v>99</v>
      </c>
      <c r="E190" s="2" t="s">
        <v>145</v>
      </c>
    </row>
    <row r="191" spans="2:19" ht="13">
      <c r="B191" s="3"/>
      <c r="C191" s="2"/>
      <c r="E191" t="s">
        <v>18</v>
      </c>
      <c r="F191" s="3" t="s">
        <v>146</v>
      </c>
      <c r="G191" s="3"/>
      <c r="H191" s="3"/>
      <c r="I191" s="3"/>
    </row>
    <row r="192" spans="2:19" ht="13">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ht="13">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ht="13">
      <c r="B199" s="3"/>
      <c r="C199" s="3"/>
      <c r="D199" s="2" t="s">
        <v>106</v>
      </c>
      <c r="E199" s="2" t="s">
        <v>152</v>
      </c>
      <c r="G199" s="3"/>
      <c r="H199" s="3"/>
      <c r="I199" s="3"/>
      <c r="J199" s="3"/>
      <c r="M199" s="3"/>
      <c r="N199" s="3"/>
      <c r="O199" s="3"/>
      <c r="P199" s="3"/>
      <c r="Q199" s="3"/>
      <c r="R199" s="3"/>
      <c r="S199" s="3"/>
    </row>
    <row r="200" spans="2:37" ht="13">
      <c r="B200" s="3"/>
      <c r="C200" s="3"/>
      <c r="D200" s="2"/>
      <c r="E200" s="3" t="s">
        <v>18</v>
      </c>
      <c r="F200" s="3" t="s">
        <v>153</v>
      </c>
      <c r="M200" s="3"/>
      <c r="N200" s="3"/>
      <c r="O200" s="3"/>
      <c r="P200" s="3"/>
      <c r="Q200" s="3"/>
      <c r="R200" s="3"/>
      <c r="S200" s="3"/>
    </row>
    <row r="201" spans="2:37" ht="13">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ht="13">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ht="13">
      <c r="B204" s="3"/>
      <c r="C204" s="3"/>
      <c r="D204" s="2"/>
      <c r="E204" s="3" t="s">
        <v>82</v>
      </c>
      <c r="F204" s="3" t="s">
        <v>157</v>
      </c>
      <c r="M204" s="3"/>
      <c r="N204" s="3"/>
      <c r="O204" s="3"/>
      <c r="P204" s="3"/>
      <c r="Q204" s="3"/>
      <c r="R204" s="3"/>
      <c r="S204" s="3"/>
    </row>
    <row r="205" spans="2:37" ht="13">
      <c r="B205" s="3"/>
      <c r="C205" s="3"/>
      <c r="D205" s="2"/>
      <c r="F205" t="s">
        <v>20</v>
      </c>
      <c r="G205" s="1221" t="s">
        <v>158</v>
      </c>
      <c r="H205" s="1221"/>
      <c r="I205" s="1221"/>
      <c r="J205" s="1221"/>
      <c r="K205" s="1221"/>
      <c r="L205" s="1221"/>
      <c r="M205" s="1221"/>
      <c r="N205" s="1221"/>
      <c r="O205" s="1221"/>
      <c r="P205" s="1221"/>
      <c r="Q205" s="1221"/>
      <c r="R205" s="1221"/>
      <c r="S205" s="1221"/>
      <c r="T205" s="1221"/>
      <c r="U205" s="1221"/>
      <c r="V205" s="1221"/>
      <c r="W205" s="1221"/>
      <c r="X205" s="1221"/>
      <c r="Y205" s="1221"/>
      <c r="Z205" s="1221"/>
      <c r="AA205" s="1221"/>
      <c r="AB205" s="1221"/>
      <c r="AC205" s="1221"/>
      <c r="AD205" s="1221"/>
      <c r="AE205" s="1221"/>
      <c r="AF205" s="1221"/>
      <c r="AG205" s="1221"/>
      <c r="AH205" s="1221"/>
      <c r="AI205" s="1221"/>
      <c r="AJ205" s="1221"/>
      <c r="AK205" s="1221"/>
    </row>
    <row r="206" spans="2:37" ht="13">
      <c r="B206" s="3"/>
      <c r="C206" s="3"/>
      <c r="D206" s="2"/>
      <c r="G206" s="1221"/>
      <c r="H206" s="1221"/>
      <c r="I206" s="1221"/>
      <c r="J206" s="1221"/>
      <c r="K206" s="1221"/>
      <c r="L206" s="1221"/>
      <c r="M206" s="1221"/>
      <c r="N206" s="1221"/>
      <c r="O206" s="1221"/>
      <c r="P206" s="1221"/>
      <c r="Q206" s="1221"/>
      <c r="R206" s="1221"/>
      <c r="S206" s="1221"/>
      <c r="T206" s="1221"/>
      <c r="U206" s="1221"/>
      <c r="V206" s="1221"/>
      <c r="W206" s="1221"/>
      <c r="X206" s="1221"/>
      <c r="Y206" s="1221"/>
      <c r="Z206" s="1221"/>
      <c r="AA206" s="1221"/>
      <c r="AB206" s="1221"/>
      <c r="AC206" s="1221"/>
      <c r="AD206" s="1221"/>
      <c r="AE206" s="1221"/>
      <c r="AF206" s="1221"/>
      <c r="AG206" s="1221"/>
      <c r="AH206" s="1221"/>
      <c r="AI206" s="1221"/>
      <c r="AJ206" s="1221"/>
      <c r="AK206" s="1221"/>
    </row>
    <row r="207" spans="2:37" ht="13">
      <c r="B207" s="3"/>
      <c r="C207" s="3"/>
      <c r="D207" s="2"/>
      <c r="M207" s="3"/>
      <c r="N207" s="3"/>
      <c r="O207" s="3"/>
      <c r="P207" s="3"/>
      <c r="Q207" s="3"/>
      <c r="R207" s="3"/>
      <c r="S207" s="3"/>
    </row>
    <row r="208" spans="2:37" ht="13">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ht="13">
      <c r="B211" s="3"/>
      <c r="C211" s="3"/>
      <c r="D211" s="2" t="s">
        <v>161</v>
      </c>
      <c r="E211" s="2" t="s">
        <v>162</v>
      </c>
      <c r="F211" s="3"/>
      <c r="G211" s="3"/>
      <c r="I211" s="3"/>
      <c r="J211" s="3"/>
      <c r="M211" s="3"/>
      <c r="N211" s="3"/>
      <c r="O211" s="3"/>
      <c r="P211" s="3"/>
      <c r="Q211" s="3"/>
      <c r="R211" s="3"/>
      <c r="S211" s="3"/>
      <c r="T211" s="3"/>
      <c r="U211" s="3"/>
      <c r="V211" s="3"/>
      <c r="W211" s="3"/>
    </row>
    <row r="212" spans="1:38" ht="13">
      <c r="B212" s="3"/>
      <c r="C212" s="3"/>
      <c r="D212" s="2"/>
      <c r="E212" s="3" t="s">
        <v>144</v>
      </c>
      <c r="F212" s="3"/>
      <c r="G212" s="3"/>
      <c r="I212" s="3"/>
      <c r="J212" s="3"/>
      <c r="M212" s="3"/>
      <c r="N212" s="3"/>
      <c r="O212" s="3"/>
      <c r="P212" s="3"/>
      <c r="Q212" s="3"/>
      <c r="R212" s="3"/>
      <c r="S212" s="3"/>
      <c r="T212" s="3"/>
      <c r="U212" s="3"/>
      <c r="V212" s="3"/>
      <c r="W212" s="3"/>
    </row>
    <row r="213" spans="1:38" ht="13">
      <c r="B213" s="3"/>
      <c r="C213" s="3"/>
      <c r="D213" s="2"/>
      <c r="M213" s="3"/>
      <c r="N213" s="3"/>
      <c r="O213" s="3"/>
      <c r="P213" s="3"/>
      <c r="Q213" s="3"/>
      <c r="R213" s="3"/>
      <c r="S213" s="3"/>
    </row>
    <row r="214" spans="1:38" ht="13">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ht="13">
      <c r="A221" s="5"/>
      <c r="B221" s="10" t="s">
        <v>170</v>
      </c>
      <c r="C221" s="10" t="s">
        <v>171</v>
      </c>
      <c r="D221" s="5"/>
      <c r="E221" s="1151"/>
      <c r="F221" s="1151"/>
      <c r="G221" s="1151"/>
      <c r="H221" s="1151"/>
      <c r="I221" s="1151"/>
      <c r="J221" s="1151"/>
      <c r="K221" s="5"/>
      <c r="L221" s="1151"/>
      <c r="M221" s="1151"/>
      <c r="N221" s="1151"/>
      <c r="O221" s="1151"/>
      <c r="P221" s="1151"/>
      <c r="Q221" s="1151"/>
      <c r="R221" s="1151"/>
      <c r="S221" s="1151"/>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3"/>
      <c r="F222" s="3"/>
      <c r="G222" s="3"/>
      <c r="H222" s="3"/>
      <c r="I222" s="3"/>
      <c r="J222" s="3"/>
      <c r="L222" s="3"/>
      <c r="M222" s="3"/>
      <c r="N222" s="3"/>
      <c r="O222" s="3"/>
      <c r="P222" s="3"/>
      <c r="Q222" s="3"/>
      <c r="R222" s="3"/>
      <c r="S222" s="3"/>
    </row>
    <row r="223" spans="1:38" ht="13">
      <c r="B223" s="3"/>
      <c r="C223" s="2" t="s">
        <v>71</v>
      </c>
      <c r="D223" s="3"/>
      <c r="E223" s="3"/>
      <c r="F223" s="3"/>
      <c r="G223" s="2" t="s">
        <v>172</v>
      </c>
      <c r="I223" s="3"/>
      <c r="J223" s="3"/>
      <c r="K223" s="3"/>
      <c r="M223" s="3"/>
      <c r="N223" s="3"/>
      <c r="O223" s="3"/>
      <c r="P223" s="3"/>
      <c r="Q223" s="3"/>
      <c r="R223" s="3"/>
      <c r="S223" s="3"/>
    </row>
    <row r="224" spans="1:38" ht="13">
      <c r="B224" s="2"/>
      <c r="E224" s="3" t="s">
        <v>18</v>
      </c>
      <c r="F224" s="3" t="s">
        <v>173</v>
      </c>
      <c r="G224" s="3"/>
      <c r="I224" s="3"/>
      <c r="J224" s="3"/>
      <c r="K224" s="3"/>
      <c r="L224" s="3"/>
      <c r="M224" s="3"/>
      <c r="N224" s="3"/>
      <c r="O224" s="3"/>
      <c r="P224" s="3"/>
      <c r="Q224" s="3"/>
      <c r="R224" s="3"/>
      <c r="S224" s="3"/>
    </row>
    <row r="225" spans="2:19" ht="13">
      <c r="B225" s="2"/>
      <c r="E225" s="3" t="s">
        <v>31</v>
      </c>
      <c r="F225" s="3" t="s">
        <v>174</v>
      </c>
      <c r="G225" s="3"/>
      <c r="I225" s="3"/>
      <c r="J225" s="3"/>
      <c r="K225" s="3"/>
      <c r="L225" s="3"/>
      <c r="M225" s="3"/>
      <c r="N225" s="3"/>
      <c r="O225" s="3"/>
      <c r="P225" s="3"/>
      <c r="Q225" s="3"/>
      <c r="R225" s="3"/>
      <c r="S225" s="3"/>
    </row>
    <row r="226" spans="2:19" ht="13">
      <c r="B226" s="2"/>
      <c r="E226" s="3"/>
      <c r="F226" s="3"/>
      <c r="G226" s="3"/>
      <c r="H226" s="3"/>
      <c r="I226" s="3"/>
      <c r="J226" s="3"/>
      <c r="K226" s="3"/>
      <c r="L226" s="3"/>
      <c r="M226" s="3"/>
      <c r="N226" s="3"/>
      <c r="O226" s="3"/>
      <c r="P226" s="3"/>
      <c r="Q226" s="3"/>
      <c r="R226" s="3"/>
      <c r="S226" s="3"/>
    </row>
    <row r="227" spans="2:19" ht="13">
      <c r="B227" s="2"/>
      <c r="C227" s="2" t="s">
        <v>89</v>
      </c>
      <c r="D227" s="3"/>
      <c r="E227" s="3"/>
      <c r="F227" s="3"/>
      <c r="G227" s="2" t="s">
        <v>175</v>
      </c>
      <c r="I227" s="3"/>
      <c r="J227" s="3"/>
      <c r="K227" s="3"/>
      <c r="L227" s="3"/>
      <c r="M227" s="3"/>
      <c r="N227" s="3"/>
      <c r="O227" s="3"/>
      <c r="P227" s="3"/>
      <c r="Q227" s="3"/>
      <c r="R227" s="3"/>
      <c r="S227" s="3"/>
    </row>
    <row r="228" spans="2:19" ht="13">
      <c r="B228" s="2"/>
      <c r="E228" s="3" t="s">
        <v>18</v>
      </c>
      <c r="F228" s="3" t="s">
        <v>176</v>
      </c>
      <c r="G228" s="3"/>
      <c r="I228" s="3"/>
      <c r="J228" s="3"/>
      <c r="K228" s="3"/>
      <c r="L228" s="3"/>
      <c r="M228" s="3"/>
      <c r="N228" s="3"/>
      <c r="O228" s="3"/>
      <c r="P228" s="3"/>
      <c r="Q228" s="3"/>
      <c r="R228" s="3"/>
      <c r="S228" s="3"/>
    </row>
    <row r="229" spans="2:19" ht="13">
      <c r="B229" s="2"/>
      <c r="E229" s="3"/>
      <c r="F229" s="3" t="s">
        <v>177</v>
      </c>
      <c r="G229" s="3"/>
      <c r="H229" s="3"/>
      <c r="I229" s="3"/>
      <c r="J229" s="3"/>
      <c r="K229" s="3"/>
      <c r="L229" s="3"/>
      <c r="M229" s="3"/>
      <c r="N229" s="3"/>
      <c r="O229" s="3"/>
      <c r="P229" s="3"/>
      <c r="Q229" s="3"/>
      <c r="R229" s="3"/>
      <c r="S229" s="3"/>
    </row>
    <row r="230" spans="2:19" ht="13">
      <c r="B230" s="2"/>
      <c r="D230" s="3"/>
      <c r="E230" s="3" t="s">
        <v>31</v>
      </c>
      <c r="F230" s="3" t="s">
        <v>174</v>
      </c>
      <c r="G230" s="3"/>
      <c r="I230" s="3"/>
      <c r="J230" s="3"/>
      <c r="K230" s="3"/>
      <c r="L230" s="3"/>
      <c r="M230" s="3"/>
      <c r="N230" s="3"/>
      <c r="O230" s="3"/>
      <c r="P230" s="3"/>
      <c r="Q230" s="3"/>
      <c r="R230" s="3"/>
      <c r="S230" s="3"/>
    </row>
    <row r="231" spans="2:19" ht="13">
      <c r="B231" s="2"/>
      <c r="E231" s="3" t="s">
        <v>39</v>
      </c>
      <c r="F231" s="73" t="s">
        <v>178</v>
      </c>
      <c r="G231" s="3"/>
      <c r="I231" s="3"/>
      <c r="J231" s="3"/>
      <c r="K231" s="3"/>
      <c r="L231" s="3"/>
      <c r="M231" s="3"/>
      <c r="N231" s="3"/>
      <c r="O231" s="3"/>
      <c r="P231" s="3"/>
      <c r="Q231" s="3"/>
      <c r="R231" s="3"/>
      <c r="S231" s="3"/>
    </row>
    <row r="232" spans="2:19" ht="13">
      <c r="B232" s="2"/>
      <c r="D232" s="3"/>
      <c r="E232" s="3"/>
      <c r="F232" s="3"/>
      <c r="G232" s="3"/>
      <c r="H232" s="3"/>
      <c r="I232" s="3"/>
      <c r="J232" s="3"/>
      <c r="K232" s="3"/>
      <c r="L232" s="3"/>
      <c r="M232" s="3"/>
      <c r="N232" s="3"/>
      <c r="O232" s="3"/>
      <c r="P232" s="3"/>
      <c r="Q232" s="3"/>
      <c r="R232" s="3"/>
      <c r="S232" s="3"/>
    </row>
    <row r="233" spans="2:19" ht="13">
      <c r="B233" s="3"/>
      <c r="C233" s="2"/>
      <c r="E233" s="2" t="s">
        <v>179</v>
      </c>
      <c r="F233" s="3"/>
      <c r="J233" s="3"/>
      <c r="K233" s="3"/>
      <c r="M233" s="3"/>
      <c r="N233" s="3"/>
      <c r="O233" s="3"/>
      <c r="P233" s="3"/>
      <c r="Q233" s="3"/>
      <c r="R233" s="3"/>
      <c r="S233" s="3"/>
    </row>
    <row r="234" spans="2:19" ht="13">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ht="13">
      <c r="B237" s="3"/>
      <c r="C237" s="3"/>
      <c r="E237" t="s">
        <v>31</v>
      </c>
      <c r="F237" s="925"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5" t="s">
        <v>185</v>
      </c>
      <c r="I240" s="3"/>
      <c r="M240" s="3"/>
      <c r="N240" s="3"/>
      <c r="O240" s="3"/>
      <c r="P240" s="3"/>
      <c r="Q240" s="3"/>
      <c r="R240" s="3"/>
      <c r="S240" s="3"/>
    </row>
    <row r="241" spans="2:21">
      <c r="B241" s="3"/>
      <c r="C241" s="3"/>
      <c r="E241" t="s">
        <v>39</v>
      </c>
      <c r="F241" s="3" t="s">
        <v>20</v>
      </c>
      <c r="G241" s="925" t="s">
        <v>186</v>
      </c>
      <c r="I241" s="3"/>
      <c r="M241" s="3"/>
      <c r="N241" s="3"/>
      <c r="O241" s="3"/>
      <c r="P241" s="3"/>
      <c r="Q241" s="3"/>
      <c r="R241" s="3"/>
      <c r="S241" s="3"/>
    </row>
    <row r="242" spans="2:21">
      <c r="B242" s="3"/>
      <c r="C242" s="3"/>
      <c r="F242" s="3" t="s">
        <v>24</v>
      </c>
      <c r="G242" s="925" t="s">
        <v>187</v>
      </c>
      <c r="I242" s="3"/>
      <c r="M242" s="3"/>
      <c r="N242" s="3"/>
      <c r="O242" s="3"/>
      <c r="P242" s="3"/>
      <c r="Q242" s="3"/>
      <c r="R242" s="3"/>
      <c r="S242" s="3"/>
    </row>
    <row r="243" spans="2:21">
      <c r="B243" s="3"/>
      <c r="C243" s="3"/>
      <c r="F243" s="3" t="s">
        <v>29</v>
      </c>
      <c r="G243" s="925" t="s">
        <v>188</v>
      </c>
      <c r="I243" s="3"/>
      <c r="M243" s="3"/>
      <c r="N243" s="3"/>
      <c r="O243" s="3"/>
      <c r="P243" s="3"/>
      <c r="Q243" s="3"/>
      <c r="R243" s="3"/>
      <c r="S243" s="3"/>
    </row>
    <row r="244" spans="2:21">
      <c r="B244" s="3"/>
      <c r="C244" s="3"/>
      <c r="F244" s="3"/>
      <c r="G244" s="925" t="s">
        <v>189</v>
      </c>
      <c r="I244" s="3"/>
      <c r="M244" s="3"/>
      <c r="N244" s="3"/>
      <c r="O244" s="3"/>
      <c r="P244" s="3"/>
      <c r="Q244" s="3"/>
      <c r="R244" s="3"/>
      <c r="S244" s="3"/>
    </row>
    <row r="245" spans="2:21" ht="13">
      <c r="B245" s="3"/>
      <c r="C245" s="3"/>
      <c r="D245" s="2"/>
      <c r="E245" s="3" t="s">
        <v>39</v>
      </c>
      <c r="F245" s="3" t="s">
        <v>190</v>
      </c>
      <c r="H245" s="3"/>
      <c r="I245" s="3"/>
      <c r="M245" s="3"/>
      <c r="N245" s="3"/>
      <c r="O245" s="3"/>
      <c r="P245" s="3"/>
      <c r="Q245" s="3"/>
      <c r="R245" s="3"/>
      <c r="S245" s="3"/>
    </row>
    <row r="246" spans="2:21" ht="13">
      <c r="B246" s="3"/>
      <c r="C246" s="3"/>
      <c r="D246" s="2"/>
      <c r="E246" s="2"/>
      <c r="F246" t="s">
        <v>20</v>
      </c>
      <c r="G246" s="3" t="s">
        <v>191</v>
      </c>
      <c r="I246" s="3"/>
      <c r="M246" s="3"/>
      <c r="N246" s="3"/>
      <c r="O246" s="3"/>
      <c r="P246" s="3"/>
      <c r="Q246" s="3"/>
      <c r="R246" s="3"/>
      <c r="S246" s="3"/>
    </row>
    <row r="247" spans="2:21" ht="13">
      <c r="B247" s="3"/>
      <c r="C247" s="3"/>
      <c r="D247" s="2"/>
      <c r="E247" s="2"/>
      <c r="F247" s="3"/>
      <c r="G247" s="3" t="s">
        <v>192</v>
      </c>
      <c r="I247" s="3"/>
      <c r="M247" s="3"/>
      <c r="N247" s="3"/>
      <c r="O247" s="3"/>
      <c r="P247" s="3"/>
      <c r="Q247" s="3"/>
      <c r="R247" s="3"/>
      <c r="S247" s="3"/>
    </row>
    <row r="248" spans="2:21" ht="13">
      <c r="B248" s="3"/>
      <c r="C248" s="3"/>
      <c r="D248" s="2"/>
      <c r="E248" s="2"/>
      <c r="F248" s="3"/>
      <c r="G248" s="3"/>
      <c r="I248" s="3"/>
      <c r="M248" s="3"/>
      <c r="N248" s="3"/>
      <c r="O248" s="3"/>
      <c r="P248" s="3"/>
      <c r="Q248" s="3"/>
      <c r="R248" s="3"/>
      <c r="S248" s="3"/>
    </row>
    <row r="249" spans="2:21" ht="13">
      <c r="B249" s="2"/>
      <c r="C249" s="2" t="s">
        <v>109</v>
      </c>
      <c r="E249" s="3"/>
      <c r="F249" s="3"/>
      <c r="G249" s="2" t="s">
        <v>193</v>
      </c>
      <c r="I249" s="3"/>
      <c r="J249" s="3"/>
      <c r="K249" s="3"/>
      <c r="L249" s="3"/>
      <c r="M249" s="3"/>
      <c r="N249" s="3"/>
      <c r="O249" s="3"/>
      <c r="P249" s="3"/>
      <c r="Q249" s="3"/>
      <c r="R249" s="3"/>
      <c r="S249" s="3"/>
    </row>
    <row r="250" spans="2:21" ht="13">
      <c r="B250" s="2"/>
      <c r="C250" s="2"/>
      <c r="E250" s="3" t="s">
        <v>18</v>
      </c>
      <c r="F250" s="3" t="s">
        <v>194</v>
      </c>
      <c r="G250" s="3"/>
      <c r="I250" s="3"/>
      <c r="J250" s="3"/>
      <c r="K250" s="3"/>
      <c r="L250" s="3"/>
      <c r="M250" s="3"/>
      <c r="N250" s="3"/>
      <c r="O250" s="3"/>
      <c r="P250" s="3"/>
      <c r="Q250" s="3"/>
      <c r="R250" s="3"/>
      <c r="S250" s="3"/>
      <c r="T250" s="3"/>
      <c r="U250" s="3"/>
    </row>
    <row r="251" spans="2:21" ht="13">
      <c r="B251" s="2"/>
      <c r="C251" s="2"/>
      <c r="E251" s="3"/>
      <c r="F251" s="86" t="s">
        <v>195</v>
      </c>
      <c r="G251" s="3"/>
      <c r="I251" s="86"/>
      <c r="J251" s="3"/>
      <c r="K251" s="3"/>
      <c r="L251" s="3"/>
      <c r="M251" s="3"/>
      <c r="N251" s="3"/>
      <c r="O251" s="3"/>
      <c r="P251" s="3"/>
      <c r="Q251" s="3"/>
      <c r="R251" s="3"/>
      <c r="S251" s="3"/>
      <c r="T251" s="3"/>
      <c r="U251" s="3"/>
    </row>
    <row r="252" spans="2:21" ht="13">
      <c r="B252" s="2"/>
      <c r="C252" s="2"/>
      <c r="E252" s="3" t="s">
        <v>31</v>
      </c>
      <c r="F252" s="3" t="s">
        <v>196</v>
      </c>
      <c r="I252" s="3"/>
      <c r="J252" s="3"/>
      <c r="K252" s="3"/>
      <c r="L252" s="3"/>
      <c r="M252" s="3"/>
      <c r="N252" s="3"/>
      <c r="O252" s="3"/>
      <c r="P252" s="3"/>
      <c r="Q252" s="3"/>
      <c r="R252" s="3"/>
      <c r="S252" s="3"/>
      <c r="T252" s="3"/>
      <c r="U252" s="3"/>
    </row>
    <row r="253" spans="2:21" ht="13">
      <c r="B253" s="2"/>
      <c r="C253" s="2"/>
      <c r="E253" s="3"/>
      <c r="F253" s="135" t="s">
        <v>20</v>
      </c>
      <c r="G253" s="135" t="s">
        <v>197</v>
      </c>
      <c r="I253" s="3"/>
      <c r="K253" s="3"/>
      <c r="L253" s="3"/>
      <c r="M253" s="3"/>
      <c r="N253" s="3"/>
      <c r="O253" s="3"/>
      <c r="Q253" s="3"/>
      <c r="R253" s="3"/>
      <c r="S253" s="3"/>
      <c r="T253" s="3"/>
      <c r="U253" s="3"/>
    </row>
    <row r="254" spans="2:21" ht="13">
      <c r="B254" s="2"/>
      <c r="C254" s="2"/>
      <c r="E254" s="3"/>
      <c r="F254" s="135"/>
      <c r="G254" s="135" t="s">
        <v>198</v>
      </c>
      <c r="I254" s="3"/>
      <c r="K254" s="3"/>
      <c r="L254" s="3"/>
      <c r="M254" s="3"/>
      <c r="N254" s="3"/>
      <c r="O254" s="3"/>
      <c r="P254" s="3"/>
    </row>
    <row r="255" spans="2:21" ht="13">
      <c r="B255" s="2"/>
      <c r="C255" s="2"/>
      <c r="E255" s="3"/>
      <c r="F255" s="135" t="s">
        <v>24</v>
      </c>
      <c r="G255" s="135" t="s">
        <v>199</v>
      </c>
      <c r="I255" s="3"/>
      <c r="K255" s="3"/>
      <c r="L255" s="3"/>
      <c r="M255" s="3"/>
      <c r="N255" s="3"/>
      <c r="O255" s="3"/>
      <c r="P255" s="3"/>
    </row>
    <row r="256" spans="2:21" ht="13">
      <c r="B256" s="2"/>
      <c r="C256" s="2"/>
      <c r="E256" s="3"/>
      <c r="F256" s="135"/>
      <c r="G256" s="135" t="s">
        <v>200</v>
      </c>
      <c r="I256" s="3"/>
      <c r="K256" s="3"/>
      <c r="L256" s="3"/>
      <c r="M256" s="3"/>
      <c r="N256" s="3"/>
      <c r="O256" s="3"/>
      <c r="P256" s="3"/>
      <c r="Q256" s="3"/>
      <c r="R256" s="3"/>
      <c r="S256" s="3"/>
      <c r="T256" s="3"/>
      <c r="U256" s="3"/>
    </row>
    <row r="257" spans="2:21" ht="13">
      <c r="B257" s="2"/>
      <c r="C257" s="2"/>
      <c r="E257" s="3"/>
      <c r="G257" s="3"/>
      <c r="I257" s="3"/>
      <c r="K257" s="3"/>
      <c r="L257" s="3"/>
      <c r="M257" s="3"/>
      <c r="N257" s="3"/>
      <c r="O257" s="3"/>
      <c r="P257" s="3"/>
      <c r="Q257" s="3"/>
      <c r="R257" s="3"/>
      <c r="S257" s="3"/>
      <c r="T257" s="3"/>
      <c r="U257" s="3"/>
    </row>
    <row r="258" spans="2:21" ht="13">
      <c r="B258" s="2"/>
      <c r="C258" s="2"/>
      <c r="D258" s="2" t="s">
        <v>3</v>
      </c>
      <c r="E258" s="2" t="s">
        <v>201</v>
      </c>
      <c r="G258" s="3"/>
      <c r="H258" s="3"/>
      <c r="I258" s="3"/>
      <c r="J258" s="3"/>
      <c r="K258" s="3"/>
      <c r="L258" s="3"/>
      <c r="M258" s="3"/>
      <c r="N258" s="3"/>
      <c r="O258" s="3"/>
      <c r="P258" s="3"/>
      <c r="Q258" s="3"/>
      <c r="R258" s="3"/>
      <c r="S258" s="3"/>
    </row>
    <row r="259" spans="2:21" ht="13">
      <c r="B259" s="2"/>
      <c r="C259" s="2"/>
      <c r="E259" s="3" t="s">
        <v>18</v>
      </c>
      <c r="F259" s="3" t="s">
        <v>202</v>
      </c>
      <c r="G259" s="3"/>
      <c r="I259" s="3"/>
      <c r="J259" s="3"/>
      <c r="K259" s="3"/>
      <c r="L259" s="3"/>
      <c r="M259" s="3"/>
      <c r="N259" s="3"/>
      <c r="O259" s="3"/>
      <c r="P259" s="3"/>
      <c r="Q259" s="3"/>
      <c r="R259" s="3"/>
      <c r="S259" s="3"/>
    </row>
    <row r="260" spans="2:21" ht="13">
      <c r="B260" s="2"/>
      <c r="C260" s="2"/>
      <c r="E260" s="3" t="s">
        <v>31</v>
      </c>
      <c r="F260" s="3" t="s">
        <v>203</v>
      </c>
      <c r="G260" s="3"/>
      <c r="I260" s="3"/>
      <c r="J260" s="3"/>
      <c r="K260" s="3"/>
      <c r="L260" s="3"/>
      <c r="M260" s="3"/>
      <c r="N260" s="3"/>
      <c r="O260" s="3"/>
      <c r="P260" s="3"/>
      <c r="Q260" s="3"/>
      <c r="R260" s="3"/>
      <c r="S260" s="3"/>
    </row>
    <row r="261" spans="2:21" ht="13">
      <c r="B261" s="2"/>
      <c r="C261" s="2"/>
      <c r="E261" s="3" t="s">
        <v>39</v>
      </c>
      <c r="F261" s="3" t="s">
        <v>204</v>
      </c>
      <c r="I261" s="3"/>
      <c r="J261" s="3"/>
      <c r="K261" s="3"/>
      <c r="L261" s="3"/>
      <c r="M261" s="3"/>
      <c r="N261" s="3"/>
      <c r="O261" s="3"/>
      <c r="P261" s="3"/>
      <c r="Q261" s="3"/>
      <c r="R261" s="3"/>
      <c r="S261" s="3"/>
    </row>
    <row r="262" spans="2:21" ht="13">
      <c r="B262" s="2"/>
      <c r="C262" s="2"/>
      <c r="E262" s="2"/>
      <c r="F262" s="3" t="s">
        <v>205</v>
      </c>
      <c r="I262" s="3"/>
      <c r="J262" s="3"/>
      <c r="K262" s="3"/>
      <c r="L262" s="3"/>
      <c r="M262" s="3"/>
      <c r="N262" s="3"/>
      <c r="O262" s="3"/>
      <c r="P262" s="3"/>
      <c r="Q262" s="3"/>
      <c r="R262" s="3"/>
      <c r="S262" s="3"/>
    </row>
    <row r="263" spans="2:21" ht="13">
      <c r="B263" s="2"/>
      <c r="C263" s="2"/>
      <c r="E263" s="3" t="s">
        <v>82</v>
      </c>
      <c r="F263" s="135" t="s">
        <v>206</v>
      </c>
      <c r="I263" s="3"/>
      <c r="J263" s="3"/>
      <c r="K263" s="3"/>
      <c r="L263" s="3"/>
      <c r="M263" s="3"/>
      <c r="N263" s="3"/>
      <c r="O263" s="3"/>
      <c r="P263" s="3"/>
      <c r="Q263" s="3"/>
      <c r="R263" s="3"/>
      <c r="S263" s="3"/>
    </row>
    <row r="264" spans="2:21" ht="13">
      <c r="B264" s="2"/>
      <c r="C264" s="2"/>
      <c r="E264" s="2"/>
      <c r="F264" s="3"/>
      <c r="H264" s="3"/>
      <c r="I264" s="3"/>
      <c r="J264" s="3"/>
      <c r="K264" s="3"/>
      <c r="L264" s="3"/>
      <c r="M264" s="3"/>
      <c r="N264" s="3"/>
      <c r="O264" s="3"/>
      <c r="P264" s="3"/>
      <c r="Q264" s="3"/>
      <c r="R264" s="3"/>
      <c r="S264" s="3"/>
    </row>
    <row r="265" spans="2:21" ht="13">
      <c r="B265" s="2"/>
      <c r="C265" s="2"/>
      <c r="D265" s="2" t="s">
        <v>16</v>
      </c>
      <c r="E265" s="2" t="s">
        <v>207</v>
      </c>
      <c r="G265" s="3"/>
      <c r="H265" s="3"/>
      <c r="I265" s="3"/>
      <c r="J265" s="3"/>
      <c r="K265" s="3"/>
      <c r="L265" s="3"/>
      <c r="M265" s="3"/>
      <c r="N265" s="3"/>
      <c r="O265" s="3"/>
      <c r="P265" s="3"/>
      <c r="Q265" s="3"/>
      <c r="R265" s="3"/>
      <c r="S265" s="3"/>
    </row>
    <row r="266" spans="2:21" ht="13">
      <c r="B266" s="2"/>
      <c r="C266" s="2"/>
      <c r="E266" s="3" t="s">
        <v>208</v>
      </c>
      <c r="F266" s="3"/>
      <c r="G266" s="3"/>
      <c r="O266" s="3"/>
      <c r="P266" s="3"/>
      <c r="Q266" s="3"/>
      <c r="R266" s="3"/>
      <c r="S266" s="3"/>
    </row>
    <row r="267" spans="2:21" ht="13">
      <c r="B267" s="2"/>
      <c r="C267" s="2"/>
      <c r="E267" s="2"/>
      <c r="G267" s="3"/>
      <c r="H267" s="3"/>
      <c r="O267" s="3"/>
      <c r="P267" s="3"/>
      <c r="Q267" s="3"/>
      <c r="R267" s="3"/>
      <c r="S267" s="3"/>
    </row>
    <row r="268" spans="2:21" ht="13">
      <c r="B268" s="2"/>
      <c r="C268" s="2"/>
      <c r="D268" s="2" t="s">
        <v>94</v>
      </c>
      <c r="E268" s="2" t="s">
        <v>209</v>
      </c>
      <c r="G268" s="3"/>
    </row>
    <row r="269" spans="2:21" ht="13">
      <c r="B269" s="2"/>
      <c r="C269" s="2"/>
      <c r="E269" s="3" t="s">
        <v>210</v>
      </c>
      <c r="F269" s="3"/>
      <c r="G269" s="3"/>
      <c r="J269" s="3"/>
      <c r="K269" s="3"/>
      <c r="L269" s="3"/>
      <c r="M269" s="3"/>
      <c r="N269" s="3"/>
    </row>
    <row r="270" spans="2:21" ht="13">
      <c r="B270" s="2"/>
      <c r="C270" s="2"/>
      <c r="E270" s="3" t="s">
        <v>211</v>
      </c>
      <c r="F270" s="3"/>
      <c r="G270" s="3"/>
      <c r="J270" s="3"/>
      <c r="K270" s="3"/>
      <c r="L270" s="3"/>
      <c r="M270" s="3"/>
      <c r="N270" s="3"/>
    </row>
    <row r="271" spans="2:21" ht="13">
      <c r="B271" s="2"/>
      <c r="C271" s="2"/>
      <c r="E271" s="2"/>
      <c r="G271" s="3"/>
      <c r="H271" s="3"/>
      <c r="J271" s="3"/>
      <c r="K271" s="3"/>
      <c r="L271" s="3"/>
      <c r="M271" s="3"/>
      <c r="N271" s="3"/>
      <c r="O271" s="3"/>
      <c r="P271" s="3"/>
      <c r="Q271" s="3"/>
      <c r="R271" s="3"/>
      <c r="S271" s="3"/>
      <c r="T271" s="3"/>
      <c r="U271" s="3"/>
    </row>
    <row r="272" spans="2:21" ht="13">
      <c r="B272" s="2"/>
      <c r="D272" s="2" t="s">
        <v>99</v>
      </c>
      <c r="E272" s="2" t="s">
        <v>212</v>
      </c>
      <c r="G272" s="3"/>
      <c r="H272" s="3"/>
      <c r="J272" s="3"/>
      <c r="K272" s="3"/>
      <c r="L272" s="3"/>
      <c r="M272" s="3"/>
      <c r="N272" s="3"/>
      <c r="O272" s="3"/>
      <c r="P272" s="3"/>
      <c r="Q272" s="3"/>
      <c r="R272" s="3"/>
      <c r="S272" s="3"/>
      <c r="T272" s="3"/>
      <c r="U272" s="3"/>
    </row>
    <row r="273" spans="2:23" ht="13">
      <c r="B273" s="2"/>
      <c r="D273" s="3"/>
      <c r="E273" s="3" t="s">
        <v>213</v>
      </c>
      <c r="J273" s="3"/>
      <c r="K273" s="3"/>
      <c r="L273" s="3"/>
      <c r="M273" s="3"/>
      <c r="N273" s="3"/>
      <c r="O273" s="3"/>
      <c r="P273" s="3"/>
      <c r="Q273" s="3"/>
      <c r="R273" s="3"/>
      <c r="S273" s="3"/>
      <c r="T273" s="3"/>
      <c r="U273" s="3"/>
    </row>
    <row r="274" spans="2:23" ht="13">
      <c r="B274" s="2"/>
      <c r="D274" s="3"/>
      <c r="E274" s="3" t="s">
        <v>214</v>
      </c>
      <c r="J274" s="3"/>
      <c r="K274" s="3"/>
      <c r="L274" s="3"/>
      <c r="M274" s="3"/>
      <c r="N274" s="3"/>
      <c r="O274" s="3"/>
      <c r="P274" s="3"/>
      <c r="Q274" s="3"/>
      <c r="R274" s="3"/>
      <c r="S274" s="3"/>
      <c r="T274" s="3"/>
      <c r="U274" s="3"/>
    </row>
    <row r="275" spans="2:23" ht="13">
      <c r="B275" s="2"/>
      <c r="D275" s="3"/>
      <c r="E275" s="3"/>
      <c r="J275" s="3"/>
      <c r="K275" s="3"/>
      <c r="L275" s="3"/>
      <c r="M275" s="3"/>
      <c r="N275" s="3"/>
      <c r="O275" s="3"/>
      <c r="P275" s="3"/>
      <c r="Q275" s="3"/>
      <c r="R275" s="3"/>
      <c r="S275" s="3"/>
      <c r="T275" s="3"/>
      <c r="U275" s="3"/>
    </row>
    <row r="276" spans="2:23" ht="13">
      <c r="B276" s="2"/>
      <c r="D276" s="2" t="s">
        <v>102</v>
      </c>
      <c r="E276" s="2" t="s">
        <v>215</v>
      </c>
      <c r="K276" s="3"/>
      <c r="L276" s="3"/>
      <c r="M276" s="3"/>
      <c r="N276" s="3"/>
      <c r="O276" s="3"/>
      <c r="P276" s="3"/>
      <c r="Q276" s="3"/>
      <c r="R276" s="3"/>
      <c r="S276" s="3"/>
      <c r="T276" s="3"/>
      <c r="U276" s="3"/>
    </row>
    <row r="277" spans="2:23" ht="13">
      <c r="B277" s="2"/>
      <c r="D277" s="2"/>
      <c r="E277" t="s">
        <v>216</v>
      </c>
      <c r="K277" s="3"/>
      <c r="L277" s="3"/>
      <c r="M277" s="3"/>
      <c r="N277" s="3"/>
      <c r="O277" s="3"/>
      <c r="P277" s="3"/>
      <c r="Q277" s="3"/>
      <c r="R277" s="3"/>
      <c r="S277" s="3"/>
    </row>
    <row r="278" spans="2:23" ht="13">
      <c r="B278" s="2"/>
      <c r="D278" s="3"/>
      <c r="E278" s="3" t="s">
        <v>217</v>
      </c>
      <c r="I278" s="3"/>
      <c r="J278" s="3"/>
      <c r="K278" s="3"/>
      <c r="L278" s="3"/>
      <c r="M278" s="3"/>
      <c r="N278" s="3"/>
      <c r="O278" s="3"/>
      <c r="P278" s="3"/>
      <c r="Q278" s="3"/>
      <c r="R278" s="3"/>
      <c r="S278" s="3"/>
    </row>
    <row r="279" spans="2:23" ht="13">
      <c r="B279" s="2"/>
      <c r="D279" s="3"/>
      <c r="E279" s="3"/>
      <c r="I279" s="3"/>
      <c r="J279" s="3"/>
      <c r="K279" s="3"/>
      <c r="L279" s="3"/>
      <c r="M279" s="3"/>
      <c r="N279" s="3"/>
      <c r="O279" s="3"/>
      <c r="P279" s="3"/>
      <c r="Q279" s="3"/>
      <c r="R279" s="3"/>
      <c r="S279" s="3"/>
    </row>
    <row r="280" spans="2:23" ht="13">
      <c r="B280" s="2"/>
      <c r="D280" s="2" t="s">
        <v>106</v>
      </c>
      <c r="E280" s="2" t="s">
        <v>218</v>
      </c>
      <c r="G280" s="3"/>
      <c r="H280" s="3"/>
      <c r="I280" s="3"/>
      <c r="J280" s="3"/>
      <c r="K280" s="3"/>
      <c r="L280" s="3"/>
      <c r="M280" s="3"/>
      <c r="O280" s="3"/>
      <c r="P280" s="3"/>
      <c r="Q280" s="3"/>
      <c r="R280" s="3"/>
      <c r="S280" s="3"/>
    </row>
    <row r="281" spans="2:23" ht="13">
      <c r="B281" s="2"/>
      <c r="D281" s="2"/>
      <c r="E281" t="s">
        <v>219</v>
      </c>
      <c r="G281" s="3"/>
      <c r="H281" s="3"/>
      <c r="I281" s="3"/>
      <c r="J281" s="3"/>
      <c r="K281" s="3"/>
      <c r="L281" s="3"/>
      <c r="M281" s="3"/>
      <c r="P281" s="3"/>
      <c r="Q281" s="3"/>
      <c r="R281" s="3"/>
      <c r="S281" s="3"/>
    </row>
    <row r="282" spans="2:23" ht="13">
      <c r="B282" s="2"/>
      <c r="D282" s="2"/>
      <c r="E282" t="s">
        <v>220</v>
      </c>
      <c r="G282" s="3"/>
      <c r="H282" s="3"/>
      <c r="I282" s="3"/>
      <c r="J282" s="3"/>
      <c r="K282" s="3"/>
      <c r="L282" s="3"/>
      <c r="M282" s="3"/>
      <c r="P282" s="3"/>
      <c r="Q282" s="3"/>
      <c r="R282" s="3"/>
      <c r="S282" s="3"/>
    </row>
    <row r="283" spans="2:23" ht="13">
      <c r="B283" s="2"/>
      <c r="D283" s="2"/>
      <c r="E283" s="86" t="s">
        <v>221</v>
      </c>
      <c r="F283" s="86"/>
      <c r="G283" s="3"/>
      <c r="H283" s="86"/>
      <c r="I283" s="86"/>
      <c r="J283" s="3"/>
      <c r="K283" s="3"/>
      <c r="L283" s="3"/>
      <c r="M283" s="3"/>
      <c r="P283" s="3"/>
      <c r="Q283" s="3"/>
      <c r="R283" s="3"/>
      <c r="S283" s="3"/>
    </row>
    <row r="284" spans="2:23" ht="13">
      <c r="B284" s="2"/>
      <c r="D284" s="2"/>
      <c r="E284" s="350" t="s">
        <v>222</v>
      </c>
      <c r="G284" s="3"/>
      <c r="H284" s="86"/>
      <c r="I284" s="86"/>
      <c r="J284" s="3"/>
      <c r="K284" s="3"/>
      <c r="L284" s="3"/>
      <c r="M284" s="3"/>
      <c r="O284" s="3"/>
      <c r="P284" s="3"/>
      <c r="Q284" s="3"/>
      <c r="R284" s="3"/>
      <c r="S284" s="3"/>
    </row>
    <row r="285" spans="2:23" ht="13">
      <c r="B285" s="2"/>
      <c r="D285" s="2"/>
      <c r="E285" s="3"/>
      <c r="F285" s="3"/>
      <c r="G285" s="3"/>
      <c r="H285" s="3"/>
      <c r="I285" s="3"/>
      <c r="J285" s="3"/>
      <c r="K285" s="3"/>
      <c r="L285" s="3"/>
      <c r="M285" s="3"/>
    </row>
    <row r="286" spans="2:23" ht="13">
      <c r="B286" s="2"/>
      <c r="D286" s="2" t="s">
        <v>127</v>
      </c>
      <c r="E286" s="2" t="s">
        <v>223</v>
      </c>
      <c r="K286" s="3"/>
      <c r="L286" s="3"/>
      <c r="M286" s="3"/>
      <c r="N286" s="3"/>
    </row>
    <row r="287" spans="2:23" ht="13">
      <c r="B287" s="2"/>
      <c r="D287" s="3"/>
      <c r="E287" s="3" t="s">
        <v>18</v>
      </c>
      <c r="F287" s="3" t="s">
        <v>224</v>
      </c>
      <c r="G287" s="3"/>
      <c r="O287" s="3"/>
      <c r="P287" s="3"/>
      <c r="Q287" s="3"/>
      <c r="R287" s="3"/>
      <c r="S287" s="3"/>
      <c r="T287" s="3"/>
      <c r="U287" s="3"/>
      <c r="V287" s="3"/>
      <c r="W287" s="3"/>
    </row>
    <row r="288" spans="2:23" ht="13">
      <c r="B288" s="2"/>
      <c r="D288" s="3"/>
      <c r="E288" s="3"/>
      <c r="F288" s="86" t="s">
        <v>225</v>
      </c>
      <c r="G288" s="86"/>
      <c r="H288" s="86"/>
      <c r="I288" s="86"/>
      <c r="J288" s="86"/>
      <c r="K288" s="86"/>
      <c r="L288" s="86"/>
      <c r="M288" s="86"/>
      <c r="N288" s="86"/>
      <c r="O288" s="3"/>
      <c r="P288" s="3"/>
      <c r="Q288" s="3"/>
      <c r="R288" s="3"/>
      <c r="S288" s="3"/>
      <c r="T288" s="3"/>
      <c r="U288" s="3"/>
      <c r="V288" s="3"/>
      <c r="W288" s="3"/>
    </row>
    <row r="289" spans="2:23" ht="13">
      <c r="B289" s="2"/>
      <c r="D289" s="3"/>
      <c r="E289" s="3" t="s">
        <v>31</v>
      </c>
      <c r="F289" s="3" t="s">
        <v>226</v>
      </c>
      <c r="G289" s="3"/>
      <c r="L289" s="3"/>
      <c r="M289" s="3"/>
      <c r="N289" s="3"/>
      <c r="O289" s="3"/>
      <c r="P289" s="3"/>
      <c r="Q289" s="3"/>
      <c r="R289" s="3"/>
      <c r="S289" s="3"/>
      <c r="T289" s="3"/>
      <c r="U289" s="3"/>
      <c r="V289" s="3"/>
      <c r="W289" s="3"/>
    </row>
    <row r="290" spans="2:23" ht="13">
      <c r="B290" s="2"/>
      <c r="D290" s="3"/>
      <c r="E290" s="3" t="s">
        <v>39</v>
      </c>
      <c r="F290" s="3" t="s">
        <v>227</v>
      </c>
      <c r="G290" s="3"/>
      <c r="H290" s="3"/>
      <c r="K290" s="3"/>
      <c r="L290" s="3"/>
      <c r="M290" s="3"/>
      <c r="N290" s="3"/>
      <c r="O290" s="3"/>
      <c r="P290" s="3"/>
      <c r="Q290" s="3"/>
      <c r="R290" s="3"/>
      <c r="S290" s="3"/>
      <c r="T290" s="3"/>
      <c r="U290" s="3"/>
      <c r="V290" s="3"/>
      <c r="W290" s="3"/>
    </row>
    <row r="291" spans="2:23" ht="13">
      <c r="B291" s="2"/>
      <c r="D291" s="3"/>
      <c r="E291" s="3"/>
      <c r="F291" s="3" t="s">
        <v>20</v>
      </c>
      <c r="G291" s="3" t="s">
        <v>228</v>
      </c>
      <c r="K291" s="3"/>
      <c r="L291" s="3"/>
      <c r="M291" s="3"/>
      <c r="N291" s="3"/>
      <c r="O291" s="3"/>
      <c r="P291" s="3"/>
      <c r="Q291" s="3"/>
      <c r="R291" s="3"/>
      <c r="S291" s="3"/>
      <c r="T291" s="3"/>
      <c r="U291" s="3"/>
      <c r="V291" s="3"/>
      <c r="W291" s="3"/>
    </row>
    <row r="292" spans="2:23" ht="13">
      <c r="B292" s="2"/>
      <c r="D292" s="3"/>
      <c r="E292" s="3"/>
      <c r="F292" s="3" t="s">
        <v>24</v>
      </c>
      <c r="G292" s="3" t="s">
        <v>229</v>
      </c>
      <c r="H292" s="3"/>
      <c r="K292" s="3"/>
      <c r="L292" s="3"/>
      <c r="M292" s="3"/>
      <c r="N292" s="3"/>
      <c r="O292" s="3"/>
      <c r="P292" s="3"/>
      <c r="Q292" s="3"/>
      <c r="R292" s="3"/>
      <c r="S292" s="3"/>
      <c r="T292" s="3"/>
      <c r="U292" s="3"/>
      <c r="V292" s="3"/>
      <c r="W292" s="3"/>
    </row>
    <row r="293" spans="2:23" ht="13">
      <c r="B293" s="2"/>
      <c r="D293" s="3"/>
      <c r="E293" s="3"/>
      <c r="F293" s="3" t="s">
        <v>29</v>
      </c>
      <c r="G293" s="3" t="s">
        <v>230</v>
      </c>
      <c r="K293" s="3"/>
      <c r="L293" s="3"/>
      <c r="M293" s="3"/>
      <c r="N293" s="3"/>
      <c r="O293" s="3"/>
      <c r="P293" s="3"/>
      <c r="Q293" s="3"/>
      <c r="R293" s="3"/>
      <c r="S293" s="3"/>
      <c r="T293" s="3"/>
      <c r="U293" s="3"/>
      <c r="V293" s="3"/>
      <c r="W293" s="3"/>
    </row>
    <row r="294" spans="2:23" ht="13">
      <c r="B294" s="2"/>
      <c r="D294" s="3"/>
      <c r="E294" s="3"/>
      <c r="F294" s="3" t="s">
        <v>57</v>
      </c>
      <c r="G294" s="3" t="s">
        <v>231</v>
      </c>
      <c r="H294" s="3"/>
      <c r="K294" s="3"/>
      <c r="L294" s="3"/>
      <c r="M294" s="3"/>
      <c r="N294" s="3"/>
      <c r="O294" s="3"/>
      <c r="P294" s="3"/>
      <c r="Q294" s="3"/>
      <c r="R294" s="3"/>
      <c r="S294" s="3"/>
      <c r="T294" s="3"/>
      <c r="U294" s="3"/>
      <c r="V294" s="3"/>
      <c r="W294" s="3"/>
    </row>
    <row r="295" spans="2:23" ht="13">
      <c r="B295" s="2"/>
      <c r="D295" s="3"/>
      <c r="E295" s="3"/>
      <c r="F295" s="3" t="s">
        <v>60</v>
      </c>
      <c r="G295" s="3" t="s">
        <v>232</v>
      </c>
      <c r="K295" s="3"/>
      <c r="L295" s="3"/>
      <c r="M295" s="3"/>
      <c r="N295" s="3"/>
      <c r="O295" s="3"/>
      <c r="P295" s="3"/>
      <c r="Q295" s="3"/>
      <c r="R295" s="3"/>
      <c r="S295" s="3"/>
      <c r="T295" s="3"/>
      <c r="U295" s="3"/>
      <c r="V295" s="3"/>
      <c r="W295" s="3"/>
    </row>
    <row r="296" spans="2:23" ht="13">
      <c r="B296" s="2"/>
      <c r="D296" s="3"/>
      <c r="E296" s="3"/>
      <c r="F296" s="3" t="s">
        <v>63</v>
      </c>
      <c r="G296" s="3" t="s">
        <v>233</v>
      </c>
      <c r="H296" s="3"/>
      <c r="K296" s="3"/>
      <c r="L296" s="3"/>
      <c r="M296" s="3"/>
      <c r="N296" s="3"/>
      <c r="O296" s="3"/>
      <c r="P296" s="3"/>
      <c r="Q296" s="3"/>
      <c r="R296" s="3"/>
      <c r="S296" s="3"/>
      <c r="T296" s="3"/>
      <c r="U296" s="3"/>
      <c r="V296" s="3"/>
      <c r="W296" s="3"/>
    </row>
    <row r="297" spans="2:23" ht="13">
      <c r="B297" s="2"/>
      <c r="D297" s="3"/>
      <c r="E297" s="3" t="s">
        <v>82</v>
      </c>
      <c r="F297" s="3" t="s">
        <v>234</v>
      </c>
      <c r="G297" s="3"/>
      <c r="K297" s="3"/>
      <c r="L297" s="3"/>
      <c r="M297" s="3"/>
      <c r="N297" s="3"/>
      <c r="O297" s="3"/>
      <c r="P297" s="3"/>
      <c r="Q297" s="3"/>
      <c r="R297" s="3"/>
      <c r="S297" s="3"/>
      <c r="T297" s="3"/>
      <c r="U297" s="3"/>
      <c r="V297" s="3"/>
      <c r="W297" s="3"/>
    </row>
    <row r="298" spans="2:23" ht="13">
      <c r="B298" s="2"/>
      <c r="D298" s="3"/>
      <c r="E298" s="3" t="s">
        <v>86</v>
      </c>
      <c r="F298" s="3" t="s">
        <v>235</v>
      </c>
      <c r="G298" s="3"/>
      <c r="K298" s="3"/>
      <c r="L298" s="3"/>
      <c r="M298" s="3"/>
      <c r="N298" s="3"/>
      <c r="O298" s="3"/>
      <c r="P298" s="3"/>
      <c r="Q298" s="3"/>
      <c r="R298" s="3"/>
      <c r="S298" s="3"/>
      <c r="T298" s="3"/>
      <c r="U298" s="3"/>
      <c r="V298" s="3"/>
      <c r="W298" s="3"/>
    </row>
    <row r="299" spans="2:23" ht="13">
      <c r="B299" s="2"/>
      <c r="D299" s="3"/>
      <c r="E299" s="3"/>
      <c r="F299" s="86" t="s">
        <v>236</v>
      </c>
      <c r="G299" s="86"/>
      <c r="H299" s="86"/>
      <c r="I299" s="86"/>
      <c r="J299" s="86"/>
      <c r="K299" s="86"/>
      <c r="L299" s="86"/>
      <c r="M299" s="3"/>
      <c r="N299" s="3"/>
      <c r="O299" s="3"/>
      <c r="P299" s="3"/>
      <c r="Q299" s="3"/>
      <c r="R299" s="3"/>
      <c r="S299" s="3"/>
      <c r="T299" s="3"/>
      <c r="U299" s="3"/>
      <c r="V299" s="3"/>
      <c r="W299" s="3"/>
    </row>
    <row r="300" spans="2:23" ht="13">
      <c r="B300" s="2"/>
      <c r="D300" s="3"/>
      <c r="E300" s="3"/>
      <c r="F300" s="86" t="s">
        <v>237</v>
      </c>
      <c r="G300" s="86"/>
      <c r="H300" s="86"/>
      <c r="I300" s="86"/>
      <c r="J300" s="86"/>
      <c r="K300" s="86"/>
      <c r="L300" s="86"/>
      <c r="M300" s="3"/>
      <c r="N300" s="3"/>
      <c r="O300" s="3"/>
      <c r="P300" s="3"/>
      <c r="Q300" s="3"/>
      <c r="R300" s="3"/>
      <c r="S300" s="3"/>
      <c r="T300" s="3"/>
      <c r="U300" s="3"/>
      <c r="V300" s="3"/>
      <c r="W300" s="3"/>
    </row>
    <row r="301" spans="2:23" ht="13">
      <c r="B301" s="2"/>
      <c r="D301" s="3"/>
      <c r="E301" s="3"/>
      <c r="F301" s="86" t="s">
        <v>238</v>
      </c>
      <c r="G301" s="86"/>
      <c r="H301" s="86"/>
      <c r="I301" s="86"/>
      <c r="J301" s="86"/>
      <c r="K301" s="86"/>
      <c r="L301" s="86"/>
      <c r="M301" s="3"/>
      <c r="N301" s="3"/>
      <c r="O301" s="3"/>
      <c r="P301" s="3"/>
      <c r="Q301" s="3"/>
      <c r="R301" s="3"/>
      <c r="S301" s="3"/>
      <c r="T301" s="3"/>
      <c r="U301" s="3"/>
      <c r="V301" s="3"/>
      <c r="W301" s="3"/>
    </row>
    <row r="302" spans="2:23" ht="13">
      <c r="B302" s="2"/>
      <c r="D302" s="3"/>
      <c r="E302" s="3"/>
      <c r="F302" s="86"/>
      <c r="G302" s="86"/>
      <c r="H302" s="86"/>
      <c r="I302" s="86"/>
      <c r="J302" s="86"/>
      <c r="K302" s="86"/>
      <c r="L302" s="86"/>
      <c r="M302" s="3"/>
      <c r="N302" s="3"/>
      <c r="O302" s="3"/>
      <c r="P302" s="3"/>
      <c r="Q302" s="3"/>
      <c r="R302" s="3"/>
      <c r="S302" s="3"/>
      <c r="T302" s="3"/>
      <c r="U302" s="3"/>
      <c r="V302" s="3"/>
      <c r="W302" s="3"/>
    </row>
    <row r="303" spans="2:23" ht="13">
      <c r="B303" s="2"/>
      <c r="D303" s="2" t="s">
        <v>161</v>
      </c>
      <c r="E303" s="2" t="s">
        <v>239</v>
      </c>
      <c r="G303" s="3"/>
      <c r="H303" s="3"/>
      <c r="I303" s="3"/>
      <c r="J303" s="3"/>
      <c r="K303" s="3"/>
      <c r="L303" s="3"/>
      <c r="M303" s="3"/>
      <c r="N303" s="3"/>
      <c r="O303" s="3"/>
      <c r="P303" s="3"/>
      <c r="Q303" s="3"/>
      <c r="R303" s="3"/>
      <c r="S303" s="3"/>
      <c r="T303" s="3"/>
      <c r="U303" s="3"/>
      <c r="V303" s="3"/>
      <c r="W303" s="3"/>
    </row>
    <row r="304" spans="2:23" ht="13">
      <c r="B304" s="2"/>
      <c r="D304" s="2"/>
      <c r="E304" s="3" t="s">
        <v>240</v>
      </c>
      <c r="F304" s="3"/>
      <c r="K304" s="3"/>
      <c r="L304" s="3"/>
      <c r="M304" s="3"/>
      <c r="N304" s="3"/>
      <c r="O304" s="3"/>
      <c r="P304" s="3"/>
      <c r="Q304" s="3"/>
      <c r="R304" s="3"/>
      <c r="S304" s="3"/>
      <c r="T304" s="3"/>
      <c r="U304" s="3"/>
      <c r="V304" s="3"/>
      <c r="W304" s="3"/>
    </row>
    <row r="305" spans="2:23" ht="13">
      <c r="B305" s="2"/>
      <c r="D305" s="2"/>
      <c r="E305" s="3" t="s">
        <v>217</v>
      </c>
      <c r="F305" s="3"/>
      <c r="I305" s="3"/>
      <c r="J305" s="3"/>
      <c r="K305" s="3"/>
      <c r="L305" s="3"/>
      <c r="M305" s="3"/>
      <c r="N305" s="3"/>
      <c r="O305" s="3"/>
      <c r="P305" s="3"/>
      <c r="Q305" s="3"/>
      <c r="R305" s="3"/>
      <c r="S305" s="3"/>
      <c r="T305" s="3"/>
      <c r="U305" s="3"/>
      <c r="V305" s="3"/>
      <c r="W305" s="3"/>
    </row>
    <row r="306" spans="2:23" ht="13">
      <c r="B306" s="2"/>
      <c r="D306" s="3"/>
      <c r="E306" s="3"/>
      <c r="F306" s="86"/>
      <c r="G306" s="86"/>
      <c r="H306" s="86"/>
      <c r="I306" s="86"/>
      <c r="J306" s="86"/>
      <c r="K306" s="86"/>
      <c r="L306" s="86"/>
      <c r="M306" s="3"/>
      <c r="N306" s="3"/>
      <c r="O306" s="3"/>
      <c r="P306" s="3"/>
      <c r="Q306" s="3"/>
      <c r="R306" s="3"/>
      <c r="S306" s="3"/>
      <c r="T306" s="3"/>
      <c r="U306" s="3"/>
      <c r="V306" s="3"/>
      <c r="W306" s="3"/>
    </row>
    <row r="307" spans="2:23" ht="13">
      <c r="B307" s="2"/>
      <c r="C307" s="2" t="s">
        <v>131</v>
      </c>
      <c r="D307" s="2"/>
      <c r="F307" s="2"/>
      <c r="G307" s="2" t="s">
        <v>241</v>
      </c>
      <c r="I307" s="3"/>
      <c r="J307" s="3"/>
      <c r="K307" s="3"/>
      <c r="L307" s="3"/>
      <c r="M307" s="3"/>
      <c r="N307" s="3"/>
      <c r="O307" s="3"/>
      <c r="P307" s="3"/>
    </row>
    <row r="308" spans="2:23" ht="13">
      <c r="B308" s="2"/>
      <c r="D308" s="2" t="s">
        <v>3</v>
      </c>
      <c r="E308" s="2" t="s">
        <v>242</v>
      </c>
      <c r="G308" s="2"/>
      <c r="H308" s="2"/>
      <c r="I308" s="2"/>
      <c r="J308" s="2"/>
      <c r="K308" s="2"/>
      <c r="L308" s="2"/>
      <c r="M308" s="2"/>
      <c r="N308" s="2"/>
      <c r="O308" s="2"/>
      <c r="P308" s="2"/>
      <c r="Q308" s="2"/>
      <c r="R308" s="2"/>
    </row>
    <row r="309" spans="2:23" ht="13">
      <c r="B309" s="2"/>
      <c r="D309" s="2"/>
      <c r="E309" t="s">
        <v>243</v>
      </c>
      <c r="G309" s="3"/>
      <c r="I309" s="3"/>
      <c r="K309" s="3"/>
    </row>
    <row r="310" spans="2:23" ht="13">
      <c r="B310" s="2"/>
      <c r="D310" s="2"/>
      <c r="E310" s="3" t="s">
        <v>244</v>
      </c>
      <c r="F310" s="3"/>
      <c r="G310" s="3"/>
      <c r="I310" s="3"/>
      <c r="K310" s="3"/>
    </row>
    <row r="311" spans="2:23" ht="13">
      <c r="B311" s="2"/>
      <c r="D311" s="2"/>
      <c r="E311" s="3" t="s">
        <v>245</v>
      </c>
      <c r="F311" s="3"/>
      <c r="G311" s="3"/>
      <c r="I311" s="3"/>
      <c r="K311" s="3"/>
    </row>
    <row r="312" spans="2:23" ht="13">
      <c r="B312" s="2"/>
      <c r="D312" s="2"/>
      <c r="E312" s="3" t="s">
        <v>246</v>
      </c>
      <c r="F312" s="3"/>
      <c r="G312" s="3"/>
      <c r="I312" s="3"/>
      <c r="K312" s="3"/>
    </row>
    <row r="313" spans="2:23" ht="13">
      <c r="B313" s="2"/>
      <c r="D313" s="2"/>
      <c r="G313" s="3"/>
      <c r="I313" s="3"/>
      <c r="K313" s="3"/>
    </row>
    <row r="314" spans="2:23" ht="13">
      <c r="B314" s="2"/>
      <c r="D314" s="2" t="s">
        <v>16</v>
      </c>
      <c r="E314" s="2" t="s">
        <v>247</v>
      </c>
      <c r="G314" s="3"/>
      <c r="H314" s="3"/>
      <c r="I314" s="3"/>
      <c r="J314" s="3"/>
      <c r="K314" s="3"/>
      <c r="P314" s="3"/>
      <c r="Q314" s="3"/>
      <c r="R314" s="3"/>
      <c r="S314" s="3"/>
    </row>
    <row r="315" spans="2:23" ht="13">
      <c r="B315" s="2"/>
      <c r="D315" s="2"/>
      <c r="E315" t="s">
        <v>248</v>
      </c>
      <c r="G315" s="3"/>
      <c r="I315" s="3"/>
      <c r="J315" s="3"/>
      <c r="K315" s="3"/>
      <c r="L315" s="3"/>
      <c r="M315" s="3"/>
      <c r="N315" s="3"/>
      <c r="O315" s="3"/>
      <c r="P315" s="3"/>
      <c r="Q315" s="3"/>
      <c r="R315" s="3"/>
      <c r="S315" s="3"/>
    </row>
    <row r="316" spans="2:23" ht="13">
      <c r="B316" s="2"/>
      <c r="D316" s="2"/>
      <c r="G316" s="3"/>
      <c r="I316" s="3"/>
      <c r="J316" s="3"/>
      <c r="K316" s="3"/>
      <c r="L316" s="3"/>
      <c r="M316" s="3"/>
      <c r="N316" s="3"/>
      <c r="O316" s="3"/>
      <c r="P316" s="3"/>
      <c r="Q316" s="3"/>
      <c r="R316" s="3"/>
      <c r="S316" s="3"/>
    </row>
    <row r="317" spans="2:23" ht="13">
      <c r="B317" s="2"/>
      <c r="D317" s="2" t="s">
        <v>94</v>
      </c>
      <c r="E317" s="2" t="s">
        <v>249</v>
      </c>
      <c r="F317" s="3"/>
      <c r="G317" s="3"/>
      <c r="H317" s="3"/>
      <c r="I317" s="3"/>
      <c r="J317" s="3"/>
      <c r="K317" s="3"/>
      <c r="L317" s="3"/>
      <c r="M317" s="3"/>
      <c r="N317" s="3"/>
      <c r="O317" s="3"/>
      <c r="P317" s="3"/>
      <c r="Q317" s="3"/>
      <c r="R317" s="3"/>
      <c r="S317" s="3"/>
    </row>
    <row r="318" spans="2:23" ht="13">
      <c r="B318" s="2"/>
      <c r="E318" t="s">
        <v>250</v>
      </c>
      <c r="I318" s="3"/>
      <c r="J318" s="3"/>
      <c r="K318" s="3"/>
      <c r="L318" s="3"/>
      <c r="M318" s="3"/>
      <c r="N318" s="3"/>
      <c r="O318" s="3"/>
      <c r="P318" s="3"/>
      <c r="Q318" s="3"/>
      <c r="R318" s="3"/>
      <c r="S318" s="3"/>
    </row>
    <row r="319" spans="2:23" ht="13">
      <c r="B319" s="2"/>
      <c r="E319" t="s">
        <v>251</v>
      </c>
      <c r="I319" s="3"/>
      <c r="J319" s="3"/>
      <c r="K319" s="3"/>
      <c r="L319" s="3"/>
      <c r="M319" s="3"/>
      <c r="N319" s="3"/>
      <c r="O319" s="3"/>
      <c r="P319" s="3"/>
      <c r="Q319" s="3"/>
      <c r="R319" s="3"/>
      <c r="S319" s="3"/>
    </row>
    <row r="320" spans="2:23" ht="13">
      <c r="B320" s="2"/>
      <c r="E320" t="s">
        <v>252</v>
      </c>
      <c r="I320" s="3"/>
      <c r="J320" s="3"/>
      <c r="K320" s="3"/>
      <c r="L320" s="3"/>
      <c r="M320" s="3"/>
      <c r="N320" s="3"/>
      <c r="O320" s="3"/>
      <c r="P320" s="3"/>
      <c r="Q320" s="3"/>
      <c r="R320" s="3"/>
      <c r="S320" s="3"/>
    </row>
    <row r="321" spans="1:38" ht="13">
      <c r="B321" s="2"/>
      <c r="I321" s="3"/>
      <c r="J321" s="3"/>
      <c r="K321" s="3"/>
      <c r="L321" s="3"/>
      <c r="M321" s="3"/>
      <c r="N321" s="3"/>
      <c r="O321" s="3"/>
      <c r="P321" s="3"/>
      <c r="Q321" s="3"/>
      <c r="R321" s="3"/>
      <c r="S321" s="3"/>
    </row>
    <row r="322" spans="1:38" ht="13">
      <c r="B322" s="2"/>
      <c r="C322" s="2" t="s">
        <v>134</v>
      </c>
      <c r="G322" s="2" t="s">
        <v>253</v>
      </c>
      <c r="I322" s="3"/>
      <c r="J322" s="3"/>
      <c r="K322" s="3"/>
      <c r="L322" s="3"/>
      <c r="M322" s="3"/>
      <c r="N322" s="3"/>
      <c r="O322" s="3"/>
      <c r="P322" s="3"/>
      <c r="Q322" s="3"/>
      <c r="R322" s="3"/>
      <c r="S322" s="3"/>
    </row>
    <row r="323" spans="1:38" ht="13">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ht="13">
      <c r="F326" s="86" t="s">
        <v>257</v>
      </c>
      <c r="I326" s="86"/>
      <c r="J326" s="3"/>
      <c r="K326" s="3"/>
      <c r="L326" s="3"/>
      <c r="M326" s="3"/>
      <c r="N326" s="3"/>
      <c r="O326" s="3"/>
      <c r="P326" s="3"/>
      <c r="Q326" s="3"/>
      <c r="R326" s="3"/>
      <c r="S326" s="3"/>
    </row>
    <row r="327" spans="1:38" ht="13">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ht="13">
      <c r="A329" s="5"/>
      <c r="B329" s="10" t="s">
        <v>259</v>
      </c>
      <c r="C329" s="10" t="s">
        <v>55</v>
      </c>
      <c r="D329" s="5"/>
      <c r="E329" s="10"/>
      <c r="F329" s="10"/>
      <c r="G329" s="10"/>
      <c r="H329" s="10"/>
      <c r="I329" s="10"/>
      <c r="J329" s="1151"/>
      <c r="K329" s="1151"/>
      <c r="L329" s="1151"/>
      <c r="M329" s="1151"/>
      <c r="N329" s="1151"/>
      <c r="O329" s="1151"/>
      <c r="P329" s="1151"/>
      <c r="Q329" s="1151"/>
      <c r="R329" s="1151"/>
      <c r="S329" s="1151"/>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3"/>
      <c r="K330" s="3"/>
      <c r="L330" s="3"/>
      <c r="M330" s="3"/>
      <c r="N330" s="3"/>
      <c r="O330" s="3"/>
      <c r="P330" s="3"/>
      <c r="Q330" s="3"/>
      <c r="R330" s="3"/>
      <c r="S330" s="3"/>
    </row>
    <row r="331" spans="1:38" ht="13">
      <c r="B331" s="2"/>
      <c r="C331" s="2" t="s">
        <v>71</v>
      </c>
      <c r="G331" s="2" t="s">
        <v>55</v>
      </c>
      <c r="I331" s="2"/>
      <c r="J331" s="3"/>
      <c r="K331" s="3"/>
      <c r="L331" s="3"/>
      <c r="M331" s="3"/>
      <c r="N331" s="3"/>
      <c r="O331" s="3"/>
      <c r="P331" s="3"/>
      <c r="Q331" s="3"/>
      <c r="R331" s="3"/>
      <c r="S331" s="3"/>
    </row>
    <row r="332" spans="1:38" ht="13">
      <c r="B332" s="2"/>
      <c r="C332" s="2"/>
      <c r="D332" s="2" t="s">
        <v>3</v>
      </c>
      <c r="E332" s="2" t="s">
        <v>55</v>
      </c>
      <c r="G332" s="2"/>
      <c r="I332" s="2"/>
      <c r="J332" s="3"/>
      <c r="K332" s="3"/>
      <c r="L332" s="3"/>
      <c r="M332" s="3"/>
      <c r="N332" s="3"/>
      <c r="O332" s="3"/>
      <c r="P332" s="3"/>
      <c r="Q332" s="3"/>
      <c r="R332" s="3"/>
      <c r="S332" s="3"/>
    </row>
    <row r="333" spans="1:38" ht="13">
      <c r="B333" s="2"/>
      <c r="E333" t="s">
        <v>18</v>
      </c>
      <c r="F333" t="s">
        <v>260</v>
      </c>
      <c r="J333" s="3"/>
      <c r="K333" s="3"/>
      <c r="L333" s="3"/>
      <c r="M333" s="3"/>
      <c r="N333" s="3"/>
      <c r="O333" s="3"/>
      <c r="P333" s="3"/>
      <c r="Q333" s="3"/>
      <c r="R333" s="3"/>
      <c r="S333" s="3"/>
    </row>
    <row r="334" spans="1:38" ht="13">
      <c r="B334" s="2"/>
      <c r="E334" s="3"/>
      <c r="F334" s="3" t="s">
        <v>261</v>
      </c>
      <c r="J334" s="3"/>
      <c r="K334" s="3"/>
      <c r="L334" s="3"/>
      <c r="M334" s="3"/>
      <c r="N334" s="3"/>
      <c r="O334" s="3"/>
      <c r="P334" s="3"/>
      <c r="Q334" s="3"/>
      <c r="R334" s="3"/>
      <c r="S334" s="3"/>
    </row>
    <row r="335" spans="1:38" ht="13">
      <c r="B335" s="2"/>
      <c r="E335" s="3"/>
      <c r="F335" s="3" t="s">
        <v>262</v>
      </c>
      <c r="I335" s="3"/>
      <c r="J335" s="3"/>
      <c r="K335" s="3"/>
      <c r="L335" s="3"/>
      <c r="M335" s="3"/>
      <c r="N335" s="3"/>
      <c r="O335" s="3"/>
      <c r="P335" s="3"/>
      <c r="Q335" s="3"/>
      <c r="R335" s="3"/>
      <c r="S335" s="3"/>
    </row>
    <row r="336" spans="1:38" ht="13">
      <c r="B336" s="2"/>
      <c r="E336" s="3" t="s">
        <v>31</v>
      </c>
      <c r="F336" s="1221" t="s">
        <v>263</v>
      </c>
      <c r="G336" s="1221"/>
      <c r="H336" s="1221"/>
      <c r="I336" s="1221"/>
      <c r="J336" s="1221"/>
      <c r="K336" s="1221"/>
      <c r="L336" s="1221"/>
      <c r="M336" s="1221"/>
      <c r="N336" s="1221"/>
      <c r="O336" s="1221"/>
      <c r="P336" s="1221"/>
      <c r="Q336" s="1221"/>
      <c r="R336" s="1221"/>
      <c r="S336" s="1221"/>
      <c r="T336" s="1221"/>
      <c r="U336" s="1221"/>
      <c r="V336" s="1221"/>
      <c r="W336" s="1221"/>
      <c r="X336" s="1221"/>
      <c r="Y336" s="1221"/>
      <c r="Z336" s="1221"/>
      <c r="AA336" s="1221"/>
      <c r="AB336" s="1221"/>
      <c r="AC336" s="1221"/>
      <c r="AD336" s="1221"/>
      <c r="AE336" s="1221"/>
      <c r="AF336" s="1221"/>
      <c r="AG336" s="1221"/>
      <c r="AH336" s="1221"/>
      <c r="AI336" s="1221"/>
      <c r="AJ336" s="1221"/>
      <c r="AK336" s="1221"/>
    </row>
    <row r="337" spans="2:37" ht="13">
      <c r="B337" s="2"/>
      <c r="E337" s="3"/>
      <c r="F337" s="1221"/>
      <c r="G337" s="1221"/>
      <c r="H337" s="1221"/>
      <c r="I337" s="1221"/>
      <c r="J337" s="1221"/>
      <c r="K337" s="1221"/>
      <c r="L337" s="1221"/>
      <c r="M337" s="1221"/>
      <c r="N337" s="1221"/>
      <c r="O337" s="1221"/>
      <c r="P337" s="1221"/>
      <c r="Q337" s="1221"/>
      <c r="R337" s="1221"/>
      <c r="S337" s="1221"/>
      <c r="T337" s="1221"/>
      <c r="U337" s="1221"/>
      <c r="V337" s="1221"/>
      <c r="W337" s="1221"/>
      <c r="X337" s="1221"/>
      <c r="Y337" s="1221"/>
      <c r="Z337" s="1221"/>
      <c r="AA337" s="1221"/>
      <c r="AB337" s="1221"/>
      <c r="AC337" s="1221"/>
      <c r="AD337" s="1221"/>
      <c r="AE337" s="1221"/>
      <c r="AF337" s="1221"/>
      <c r="AG337" s="1221"/>
      <c r="AH337" s="1221"/>
      <c r="AI337" s="1221"/>
      <c r="AJ337" s="1221"/>
      <c r="AK337" s="1221"/>
    </row>
    <row r="338" spans="2:37" ht="13">
      <c r="B338" s="2"/>
      <c r="E338" s="3"/>
      <c r="F338" s="1221"/>
      <c r="G338" s="1221"/>
      <c r="H338" s="1221"/>
      <c r="I338" s="1221"/>
      <c r="J338" s="1221"/>
      <c r="K338" s="1221"/>
      <c r="L338" s="1221"/>
      <c r="M338" s="1221"/>
      <c r="N338" s="1221"/>
      <c r="O338" s="1221"/>
      <c r="P338" s="1221"/>
      <c r="Q338" s="1221"/>
      <c r="R338" s="1221"/>
      <c r="S338" s="1221"/>
      <c r="T338" s="1221"/>
      <c r="U338" s="1221"/>
      <c r="V338" s="1221"/>
      <c r="W338" s="1221"/>
      <c r="X338" s="1221"/>
      <c r="Y338" s="1221"/>
      <c r="Z338" s="1221"/>
      <c r="AA338" s="1221"/>
      <c r="AB338" s="1221"/>
      <c r="AC338" s="1221"/>
      <c r="AD338" s="1221"/>
      <c r="AE338" s="1221"/>
      <c r="AF338" s="1221"/>
      <c r="AG338" s="1221"/>
      <c r="AH338" s="1221"/>
      <c r="AI338" s="1221"/>
      <c r="AJ338" s="1221"/>
      <c r="AK338" s="1221"/>
    </row>
    <row r="339" spans="2:37" ht="13">
      <c r="B339" s="2"/>
      <c r="F339" s="3"/>
      <c r="H339" s="3"/>
      <c r="I339" s="3"/>
      <c r="J339" s="3"/>
      <c r="K339" s="3"/>
      <c r="L339" s="3"/>
      <c r="M339" s="3"/>
      <c r="N339" s="3"/>
      <c r="O339" s="3"/>
      <c r="P339" s="3"/>
      <c r="Q339" s="3"/>
      <c r="R339" s="3"/>
      <c r="S339" s="3"/>
    </row>
    <row r="340" spans="2:37" ht="13">
      <c r="B340" s="2"/>
      <c r="C340" s="2" t="s">
        <v>89</v>
      </c>
      <c r="G340" s="2" t="s">
        <v>264</v>
      </c>
      <c r="I340" s="2"/>
      <c r="J340" s="3"/>
      <c r="K340" s="3"/>
      <c r="L340" s="3"/>
      <c r="M340" s="3"/>
      <c r="N340" s="3"/>
      <c r="O340" s="3"/>
      <c r="P340" s="3"/>
      <c r="Q340" s="3"/>
      <c r="R340" s="3"/>
      <c r="S340" s="3"/>
    </row>
    <row r="341" spans="2:37" ht="13.25" customHeight="1">
      <c r="B341" s="2"/>
      <c r="E341" s="1226" t="s">
        <v>265</v>
      </c>
      <c r="F341" s="1226"/>
      <c r="G341" s="1226"/>
      <c r="H341" s="1226"/>
      <c r="I341" s="1226"/>
      <c r="J341" s="1226"/>
      <c r="K341" s="1226"/>
      <c r="L341" s="1226"/>
      <c r="M341" s="1226"/>
      <c r="N341" s="1226"/>
      <c r="O341" s="1226"/>
      <c r="P341" s="1226"/>
      <c r="Q341" s="1226"/>
      <c r="R341" s="1226"/>
      <c r="S341" s="1226"/>
      <c r="T341" s="1226"/>
      <c r="U341" s="1226"/>
      <c r="V341" s="1226"/>
      <c r="W341" s="1226"/>
      <c r="X341" s="1226"/>
      <c r="Y341" s="1226"/>
      <c r="Z341" s="1226"/>
      <c r="AA341" s="1226"/>
      <c r="AB341" s="1226"/>
      <c r="AC341" s="1226"/>
      <c r="AD341" s="1226"/>
      <c r="AE341" s="1226"/>
      <c r="AF341" s="1226"/>
      <c r="AG341" s="1226"/>
      <c r="AH341" s="1226"/>
      <c r="AI341" s="1226"/>
      <c r="AJ341" s="1226"/>
      <c r="AK341" s="1226"/>
    </row>
    <row r="342" spans="2:37" ht="13">
      <c r="B342" s="2"/>
      <c r="E342" s="1226"/>
      <c r="F342" s="1226"/>
      <c r="G342" s="1226"/>
      <c r="H342" s="1226"/>
      <c r="I342" s="1226"/>
      <c r="J342" s="1226"/>
      <c r="K342" s="1226"/>
      <c r="L342" s="1226"/>
      <c r="M342" s="1226"/>
      <c r="N342" s="1226"/>
      <c r="O342" s="1226"/>
      <c r="P342" s="1226"/>
      <c r="Q342" s="1226"/>
      <c r="R342" s="1226"/>
      <c r="S342" s="1226"/>
      <c r="T342" s="1226"/>
      <c r="U342" s="1226"/>
      <c r="V342" s="1226"/>
      <c r="W342" s="1226"/>
      <c r="X342" s="1226"/>
      <c r="Y342" s="1226"/>
      <c r="Z342" s="1226"/>
      <c r="AA342" s="1226"/>
      <c r="AB342" s="1226"/>
      <c r="AC342" s="1226"/>
      <c r="AD342" s="1226"/>
      <c r="AE342" s="1226"/>
      <c r="AF342" s="1226"/>
      <c r="AG342" s="1226"/>
      <c r="AH342" s="1226"/>
      <c r="AI342" s="1226"/>
      <c r="AJ342" s="1226"/>
      <c r="AK342" s="1226"/>
    </row>
    <row r="343" spans="2:37" ht="13">
      <c r="B343" s="2"/>
      <c r="E343" s="1226"/>
      <c r="F343" s="1226"/>
      <c r="G343" s="1226"/>
      <c r="H343" s="1226"/>
      <c r="I343" s="1226"/>
      <c r="J343" s="1226"/>
      <c r="K343" s="1226"/>
      <c r="L343" s="1226"/>
      <c r="M343" s="1226"/>
      <c r="N343" s="1226"/>
      <c r="O343" s="1226"/>
      <c r="P343" s="1226"/>
      <c r="Q343" s="1226"/>
      <c r="R343" s="1226"/>
      <c r="S343" s="1226"/>
      <c r="T343" s="1226"/>
      <c r="U343" s="1226"/>
      <c r="V343" s="1226"/>
      <c r="W343" s="1226"/>
      <c r="X343" s="1226"/>
      <c r="Y343" s="1226"/>
      <c r="Z343" s="1226"/>
      <c r="AA343" s="1226"/>
      <c r="AB343" s="1226"/>
      <c r="AC343" s="1226"/>
      <c r="AD343" s="1226"/>
      <c r="AE343" s="1226"/>
      <c r="AF343" s="1226"/>
      <c r="AG343" s="1226"/>
      <c r="AH343" s="1226"/>
      <c r="AI343" s="1226"/>
      <c r="AJ343" s="1226"/>
      <c r="AK343" s="1226"/>
    </row>
    <row r="344" spans="2:37" ht="13">
      <c r="B344" s="2"/>
      <c r="E344" s="1226"/>
      <c r="F344" s="1226"/>
      <c r="G344" s="1226"/>
      <c r="H344" s="1226"/>
      <c r="I344" s="1226"/>
      <c r="J344" s="1226"/>
      <c r="K344" s="1226"/>
      <c r="L344" s="1226"/>
      <c r="M344" s="1226"/>
      <c r="N344" s="1226"/>
      <c r="O344" s="1226"/>
      <c r="P344" s="1226"/>
      <c r="Q344" s="1226"/>
      <c r="R344" s="1226"/>
      <c r="S344" s="1226"/>
      <c r="T344" s="1226"/>
      <c r="U344" s="1226"/>
      <c r="V344" s="1226"/>
      <c r="W344" s="1226"/>
      <c r="X344" s="1226"/>
      <c r="Y344" s="1226"/>
      <c r="Z344" s="1226"/>
      <c r="AA344" s="1226"/>
      <c r="AB344" s="1226"/>
      <c r="AC344" s="1226"/>
      <c r="AD344" s="1226"/>
      <c r="AE344" s="1226"/>
      <c r="AF344" s="1226"/>
      <c r="AG344" s="1226"/>
      <c r="AH344" s="1226"/>
      <c r="AI344" s="1226"/>
      <c r="AJ344" s="1226"/>
      <c r="AK344" s="1226"/>
    </row>
    <row r="345" spans="2:37" ht="13">
      <c r="B345" s="2"/>
      <c r="E345" s="1226"/>
      <c r="F345" s="1226"/>
      <c r="G345" s="1226"/>
      <c r="H345" s="1226"/>
      <c r="I345" s="1226"/>
      <c r="J345" s="1226"/>
      <c r="K345" s="1226"/>
      <c r="L345" s="1226"/>
      <c r="M345" s="1226"/>
      <c r="N345" s="1226"/>
      <c r="O345" s="1226"/>
      <c r="P345" s="1226"/>
      <c r="Q345" s="1226"/>
      <c r="R345" s="1226"/>
      <c r="S345" s="1226"/>
      <c r="T345" s="1226"/>
      <c r="U345" s="1226"/>
      <c r="V345" s="1226"/>
      <c r="W345" s="1226"/>
      <c r="X345" s="1226"/>
      <c r="Y345" s="1226"/>
      <c r="Z345" s="1226"/>
      <c r="AA345" s="1226"/>
      <c r="AB345" s="1226"/>
      <c r="AC345" s="1226"/>
      <c r="AD345" s="1226"/>
      <c r="AE345" s="1226"/>
      <c r="AF345" s="1226"/>
      <c r="AG345" s="1226"/>
      <c r="AH345" s="1226"/>
      <c r="AI345" s="1226"/>
      <c r="AJ345" s="1226"/>
      <c r="AK345" s="1226"/>
    </row>
    <row r="346" spans="2:37" ht="13">
      <c r="B346" s="2"/>
      <c r="E346" s="3" t="s">
        <v>18</v>
      </c>
      <c r="F346" s="1221" t="s">
        <v>266</v>
      </c>
      <c r="G346" s="1221"/>
      <c r="H346" s="1221"/>
      <c r="I346" s="1221"/>
      <c r="J346" s="1221"/>
      <c r="K346" s="1221"/>
      <c r="L346" s="1221"/>
      <c r="M346" s="1221"/>
      <c r="N346" s="1221"/>
      <c r="O346" s="1221"/>
      <c r="P346" s="1221"/>
      <c r="Q346" s="1221"/>
      <c r="R346" s="1221"/>
      <c r="S346" s="1221"/>
      <c r="T346" s="1221"/>
      <c r="U346" s="1221"/>
      <c r="V346" s="1221"/>
      <c r="W346" s="1221"/>
      <c r="X346" s="1221"/>
      <c r="Y346" s="1221"/>
      <c r="Z346" s="1221"/>
      <c r="AA346" s="1221"/>
      <c r="AB346" s="1221"/>
      <c r="AC346" s="1221"/>
      <c r="AD346" s="1221"/>
      <c r="AE346" s="1221"/>
      <c r="AF346" s="1221"/>
      <c r="AG346" s="1221"/>
      <c r="AH346" s="1221"/>
      <c r="AI346" s="1221"/>
      <c r="AJ346" s="1221"/>
      <c r="AK346" s="1221"/>
    </row>
    <row r="347" spans="2:37" ht="13">
      <c r="B347" s="2"/>
      <c r="E347" s="3"/>
      <c r="F347" s="1221"/>
      <c r="G347" s="1221"/>
      <c r="H347" s="1221"/>
      <c r="I347" s="1221"/>
      <c r="J347" s="1221"/>
      <c r="K347" s="1221"/>
      <c r="L347" s="1221"/>
      <c r="M347" s="1221"/>
      <c r="N347" s="1221"/>
      <c r="O347" s="1221"/>
      <c r="P347" s="1221"/>
      <c r="Q347" s="1221"/>
      <c r="R347" s="1221"/>
      <c r="S347" s="1221"/>
      <c r="T347" s="1221"/>
      <c r="U347" s="1221"/>
      <c r="V347" s="1221"/>
      <c r="W347" s="1221"/>
      <c r="X347" s="1221"/>
      <c r="Y347" s="1221"/>
      <c r="Z347" s="1221"/>
      <c r="AA347" s="1221"/>
      <c r="AB347" s="1221"/>
      <c r="AC347" s="1221"/>
      <c r="AD347" s="1221"/>
      <c r="AE347" s="1221"/>
      <c r="AF347" s="1221"/>
      <c r="AG347" s="1221"/>
      <c r="AH347" s="1221"/>
      <c r="AI347" s="1221"/>
      <c r="AJ347" s="1221"/>
      <c r="AK347" s="1221"/>
    </row>
    <row r="348" spans="2:37" ht="13">
      <c r="B348" s="2"/>
      <c r="E348" s="3"/>
      <c r="F348" s="1221"/>
      <c r="G348" s="1221"/>
      <c r="H348" s="1221"/>
      <c r="I348" s="1221"/>
      <c r="J348" s="1221"/>
      <c r="K348" s="1221"/>
      <c r="L348" s="1221"/>
      <c r="M348" s="1221"/>
      <c r="N348" s="1221"/>
      <c r="O348" s="1221"/>
      <c r="P348" s="1221"/>
      <c r="Q348" s="1221"/>
      <c r="R348" s="1221"/>
      <c r="S348" s="1221"/>
      <c r="T348" s="1221"/>
      <c r="U348" s="1221"/>
      <c r="V348" s="1221"/>
      <c r="W348" s="1221"/>
      <c r="X348" s="1221"/>
      <c r="Y348" s="1221"/>
      <c r="Z348" s="1221"/>
      <c r="AA348" s="1221"/>
      <c r="AB348" s="1221"/>
      <c r="AC348" s="1221"/>
      <c r="AD348" s="1221"/>
      <c r="AE348" s="1221"/>
      <c r="AF348" s="1221"/>
      <c r="AG348" s="1221"/>
      <c r="AH348" s="1221"/>
      <c r="AI348" s="1221"/>
      <c r="AJ348" s="1221"/>
      <c r="AK348" s="1221"/>
    </row>
    <row r="349" spans="2:37" ht="13">
      <c r="B349" s="2"/>
      <c r="E349" s="3"/>
      <c r="F349" s="1221"/>
      <c r="G349" s="1221"/>
      <c r="H349" s="1221"/>
      <c r="I349" s="1221"/>
      <c r="J349" s="1221"/>
      <c r="K349" s="1221"/>
      <c r="L349" s="1221"/>
      <c r="M349" s="1221"/>
      <c r="N349" s="1221"/>
      <c r="O349" s="1221"/>
      <c r="P349" s="1221"/>
      <c r="Q349" s="1221"/>
      <c r="R349" s="1221"/>
      <c r="S349" s="1221"/>
      <c r="T349" s="1221"/>
      <c r="U349" s="1221"/>
      <c r="V349" s="1221"/>
      <c r="W349" s="1221"/>
      <c r="X349" s="1221"/>
      <c r="Y349" s="1221"/>
      <c r="Z349" s="1221"/>
      <c r="AA349" s="1221"/>
      <c r="AB349" s="1221"/>
      <c r="AC349" s="1221"/>
      <c r="AD349" s="1221"/>
      <c r="AE349" s="1221"/>
      <c r="AF349" s="1221"/>
      <c r="AG349" s="1221"/>
      <c r="AH349" s="1221"/>
      <c r="AI349" s="1221"/>
      <c r="AJ349" s="1221"/>
      <c r="AK349" s="1221"/>
    </row>
    <row r="350" spans="2:37" ht="13">
      <c r="B350" s="2"/>
      <c r="E350" s="3" t="s">
        <v>31</v>
      </c>
      <c r="F350" s="1221" t="s">
        <v>267</v>
      </c>
      <c r="G350" s="1221"/>
      <c r="H350" s="1221"/>
      <c r="I350" s="1221"/>
      <c r="J350" s="1221"/>
      <c r="K350" s="1221"/>
      <c r="L350" s="1221"/>
      <c r="M350" s="1221"/>
      <c r="N350" s="1221"/>
      <c r="O350" s="1221"/>
      <c r="P350" s="1221"/>
      <c r="Q350" s="1221"/>
      <c r="R350" s="1221"/>
      <c r="S350" s="1221"/>
      <c r="T350" s="1221"/>
      <c r="U350" s="1221"/>
      <c r="V350" s="1221"/>
      <c r="W350" s="1221"/>
      <c r="X350" s="1221"/>
      <c r="Y350" s="1221"/>
      <c r="Z350" s="1221"/>
      <c r="AA350" s="1221"/>
      <c r="AB350" s="1221"/>
      <c r="AC350" s="1221"/>
      <c r="AD350" s="1221"/>
      <c r="AE350" s="1221"/>
      <c r="AF350" s="1221"/>
      <c r="AG350" s="1221"/>
      <c r="AH350" s="1221"/>
      <c r="AI350" s="1221"/>
      <c r="AJ350" s="1221"/>
      <c r="AK350" s="1221"/>
    </row>
    <row r="351" spans="2:37" ht="13">
      <c r="B351" s="2"/>
      <c r="F351" s="1221"/>
      <c r="G351" s="1221"/>
      <c r="H351" s="1221"/>
      <c r="I351" s="1221"/>
      <c r="J351" s="1221"/>
      <c r="K351" s="1221"/>
      <c r="L351" s="1221"/>
      <c r="M351" s="1221"/>
      <c r="N351" s="1221"/>
      <c r="O351" s="1221"/>
      <c r="P351" s="1221"/>
      <c r="Q351" s="1221"/>
      <c r="R351" s="1221"/>
      <c r="S351" s="1221"/>
      <c r="T351" s="1221"/>
      <c r="U351" s="1221"/>
      <c r="V351" s="1221"/>
      <c r="W351" s="1221"/>
      <c r="X351" s="1221"/>
      <c r="Y351" s="1221"/>
      <c r="Z351" s="1221"/>
      <c r="AA351" s="1221"/>
      <c r="AB351" s="1221"/>
      <c r="AC351" s="1221"/>
      <c r="AD351" s="1221"/>
      <c r="AE351" s="1221"/>
      <c r="AF351" s="1221"/>
      <c r="AG351" s="1221"/>
      <c r="AH351" s="1221"/>
      <c r="AI351" s="1221"/>
      <c r="AJ351" s="1221"/>
      <c r="AK351" s="1221"/>
    </row>
    <row r="352" spans="2:37" ht="13">
      <c r="B352" s="2"/>
      <c r="F352" s="1221"/>
      <c r="G352" s="1221"/>
      <c r="H352" s="1221"/>
      <c r="I352" s="1221"/>
      <c r="J352" s="1221"/>
      <c r="K352" s="1221"/>
      <c r="L352" s="1221"/>
      <c r="M352" s="1221"/>
      <c r="N352" s="1221"/>
      <c r="O352" s="1221"/>
      <c r="P352" s="1221"/>
      <c r="Q352" s="1221"/>
      <c r="R352" s="1221"/>
      <c r="S352" s="1221"/>
      <c r="T352" s="1221"/>
      <c r="U352" s="1221"/>
      <c r="V352" s="1221"/>
      <c r="W352" s="1221"/>
      <c r="X352" s="1221"/>
      <c r="Y352" s="1221"/>
      <c r="Z352" s="1221"/>
      <c r="AA352" s="1221"/>
      <c r="AB352" s="1221"/>
      <c r="AC352" s="1221"/>
      <c r="AD352" s="1221"/>
      <c r="AE352" s="1221"/>
      <c r="AF352" s="1221"/>
      <c r="AG352" s="1221"/>
      <c r="AH352" s="1221"/>
      <c r="AI352" s="1221"/>
      <c r="AJ352" s="1221"/>
      <c r="AK352" s="1221"/>
    </row>
    <row r="353" spans="1:38" ht="13">
      <c r="B353" s="2"/>
      <c r="F353" s="3"/>
      <c r="H353" s="3"/>
      <c r="I353" s="3"/>
      <c r="J353" s="3"/>
      <c r="K353" s="3"/>
      <c r="L353" s="3"/>
      <c r="M353" s="3"/>
      <c r="N353" s="3"/>
      <c r="O353" s="3"/>
      <c r="P353" s="3"/>
      <c r="Q353" s="3"/>
      <c r="R353" s="3"/>
      <c r="S353" s="3"/>
    </row>
    <row r="354" spans="1:38" ht="13">
      <c r="A354" s="5"/>
      <c r="B354" s="10" t="s">
        <v>268</v>
      </c>
      <c r="C354" s="10" t="s">
        <v>58</v>
      </c>
      <c r="D354" s="5"/>
      <c r="E354" s="10"/>
      <c r="F354" s="5"/>
      <c r="G354" s="5"/>
      <c r="H354" s="5"/>
      <c r="I354" s="5"/>
      <c r="J354" s="5"/>
      <c r="K354" s="5"/>
      <c r="L354" s="5"/>
      <c r="M354" s="1151"/>
      <c r="N354" s="1151"/>
      <c r="O354" s="1151"/>
      <c r="P354" s="1151"/>
      <c r="Q354" s="1151"/>
      <c r="R354" s="1151"/>
      <c r="S354" s="1151"/>
      <c r="T354" s="1151"/>
      <c r="U354" s="5"/>
      <c r="V354" s="5"/>
      <c r="W354" s="5"/>
      <c r="X354" s="5"/>
      <c r="Y354" s="5"/>
      <c r="Z354" s="5"/>
      <c r="AA354" s="5"/>
      <c r="AB354" s="5"/>
      <c r="AC354" s="5"/>
      <c r="AD354" s="5"/>
      <c r="AE354" s="5"/>
      <c r="AF354" s="5"/>
      <c r="AG354" s="5"/>
      <c r="AH354" s="5"/>
      <c r="AI354" s="5"/>
      <c r="AJ354" s="5"/>
      <c r="AK354" s="5"/>
      <c r="AL354" s="5"/>
    </row>
    <row r="355" spans="1:38" ht="13">
      <c r="B355" s="2"/>
      <c r="D355" s="411"/>
      <c r="E355" s="2"/>
      <c r="M355" s="3"/>
      <c r="N355" s="3"/>
      <c r="O355" s="3"/>
      <c r="P355" s="3"/>
      <c r="Q355" s="3"/>
      <c r="R355" s="3"/>
      <c r="S355" s="3"/>
      <c r="T355" s="3"/>
    </row>
    <row r="356" spans="1:38" ht="13.25" customHeight="1">
      <c r="B356" s="2"/>
      <c r="C356" s="10" t="s">
        <v>269</v>
      </c>
      <c r="D356" s="5"/>
      <c r="E356" s="5"/>
      <c r="F356" s="5"/>
      <c r="G356" s="5"/>
      <c r="H356" s="5"/>
      <c r="I356" s="353"/>
      <c r="J356" s="353"/>
      <c r="K356" s="353"/>
      <c r="L356" s="353"/>
      <c r="M356" s="353"/>
      <c r="N356" s="353"/>
      <c r="O356" s="353"/>
      <c r="P356" s="353"/>
      <c r="Q356" s="353"/>
      <c r="R356" s="353"/>
      <c r="S356" s="353"/>
      <c r="T356" s="353"/>
      <c r="U356" s="353"/>
      <c r="V356" s="353"/>
      <c r="W356" s="353"/>
      <c r="X356" s="353"/>
      <c r="Y356" s="353"/>
      <c r="Z356" s="353"/>
      <c r="AA356" s="353"/>
      <c r="AB356" s="353"/>
      <c r="AC356" s="353"/>
      <c r="AD356" s="353"/>
      <c r="AE356" s="353"/>
      <c r="AF356" s="353"/>
      <c r="AG356" s="353"/>
      <c r="AH356" s="353"/>
      <c r="AI356" s="353"/>
      <c r="AJ356" s="353"/>
      <c r="AK356" s="353"/>
    </row>
    <row r="357" spans="1:38" ht="13.25" customHeight="1">
      <c r="B357" s="2"/>
      <c r="C357" s="2"/>
      <c r="E357" s="354"/>
      <c r="F357" s="354"/>
      <c r="G357" s="354"/>
      <c r="H357" s="354"/>
      <c r="I357" s="354"/>
      <c r="J357" s="354"/>
      <c r="K357" s="354"/>
      <c r="L357" s="354"/>
      <c r="M357" s="354"/>
      <c r="N357" s="354"/>
      <c r="O357" s="354"/>
      <c r="P357" s="354"/>
      <c r="Q357" s="354"/>
      <c r="R357" s="354"/>
      <c r="S357" s="354"/>
      <c r="T357" s="354"/>
      <c r="U357" s="354"/>
      <c r="V357" s="354"/>
      <c r="W357" s="354"/>
      <c r="X357" s="354"/>
      <c r="Y357" s="354"/>
      <c r="Z357" s="354"/>
      <c r="AA357" s="354"/>
      <c r="AB357" s="354"/>
      <c r="AC357" s="354"/>
      <c r="AD357" s="354"/>
      <c r="AE357" s="354"/>
      <c r="AF357" s="354"/>
      <c r="AG357" s="354"/>
      <c r="AH357" s="354"/>
      <c r="AI357" s="354"/>
      <c r="AJ357" s="354"/>
      <c r="AK357" s="354"/>
    </row>
    <row r="358" spans="1:38" ht="13">
      <c r="B358" s="2"/>
      <c r="D358" s="2" t="s">
        <v>3</v>
      </c>
      <c r="E358" s="2" t="s">
        <v>270</v>
      </c>
      <c r="I358" s="3"/>
      <c r="J358" s="3"/>
      <c r="K358" s="3"/>
      <c r="L358" s="3"/>
      <c r="M358" s="3"/>
      <c r="N358" s="3"/>
      <c r="O358" s="3"/>
      <c r="P358" s="3"/>
      <c r="Q358" s="3"/>
      <c r="R358" s="3"/>
      <c r="S358" s="3"/>
    </row>
    <row r="359" spans="1:38" ht="13">
      <c r="B359" s="2"/>
      <c r="E359" t="s">
        <v>18</v>
      </c>
      <c r="F359" s="3" t="s">
        <v>271</v>
      </c>
      <c r="I359" s="3"/>
      <c r="J359" s="3"/>
      <c r="K359" s="3"/>
      <c r="L359" s="3"/>
      <c r="M359" s="3"/>
      <c r="N359" s="3"/>
      <c r="O359" s="3"/>
      <c r="P359" s="3"/>
      <c r="Q359" s="3"/>
      <c r="R359" s="3"/>
      <c r="S359" s="3"/>
    </row>
    <row r="360" spans="1:38" ht="13">
      <c r="B360" s="2"/>
      <c r="F360" s="3" t="s">
        <v>272</v>
      </c>
      <c r="I360" s="3"/>
      <c r="J360" s="3"/>
      <c r="K360" s="3"/>
      <c r="L360" s="3"/>
      <c r="M360" s="3"/>
      <c r="N360" s="3"/>
      <c r="O360" s="3"/>
      <c r="P360" s="3"/>
      <c r="Q360" s="3"/>
      <c r="R360" s="3"/>
      <c r="S360" s="3"/>
    </row>
    <row r="361" spans="1:38" ht="13">
      <c r="B361" s="2"/>
      <c r="F361" s="3" t="s">
        <v>273</v>
      </c>
      <c r="G361" s="3"/>
      <c r="K361" s="3"/>
      <c r="L361" s="3"/>
      <c r="M361" s="3"/>
      <c r="N361" s="3"/>
      <c r="O361" s="3"/>
      <c r="P361" s="3"/>
      <c r="Q361" s="3"/>
      <c r="R361" s="3"/>
      <c r="S361" s="3"/>
    </row>
    <row r="362" spans="1:38" ht="13">
      <c r="B362" s="2"/>
      <c r="E362" t="s">
        <v>31</v>
      </c>
      <c r="F362" s="3" t="s">
        <v>274</v>
      </c>
      <c r="I362" s="3"/>
      <c r="J362" s="3"/>
      <c r="K362" s="3"/>
      <c r="L362" s="3"/>
      <c r="M362" s="3"/>
      <c r="N362" s="3"/>
      <c r="O362" s="3"/>
      <c r="P362" s="3"/>
      <c r="Q362" s="3"/>
      <c r="R362" s="3"/>
      <c r="S362" s="3"/>
    </row>
    <row r="363" spans="1:38" ht="13">
      <c r="B363" s="2"/>
      <c r="E363" t="s">
        <v>39</v>
      </c>
      <c r="F363" s="3" t="s">
        <v>275</v>
      </c>
      <c r="I363" s="3"/>
      <c r="J363" s="3"/>
      <c r="K363" s="3"/>
      <c r="L363" s="3"/>
      <c r="M363" s="3"/>
      <c r="N363" s="3"/>
      <c r="O363" s="3"/>
      <c r="P363" s="3"/>
      <c r="Q363" s="3"/>
      <c r="R363" s="3"/>
      <c r="S363" s="3"/>
    </row>
    <row r="364" spans="1:38" ht="13">
      <c r="B364" s="2"/>
      <c r="F364" s="3" t="s">
        <v>276</v>
      </c>
      <c r="J364" s="3"/>
      <c r="K364" s="3"/>
      <c r="L364" s="3"/>
      <c r="M364" s="3"/>
      <c r="N364" s="3"/>
      <c r="O364" s="3"/>
      <c r="P364" s="3"/>
      <c r="Q364" s="3"/>
      <c r="R364" s="3"/>
      <c r="S364" s="3"/>
    </row>
    <row r="365" spans="1:38" ht="13">
      <c r="B365" s="2"/>
      <c r="E365" s="1229" t="s">
        <v>277</v>
      </c>
      <c r="F365" s="1229"/>
      <c r="G365" s="1229"/>
      <c r="H365" s="1229"/>
      <c r="I365" s="1229"/>
      <c r="J365" s="1229"/>
      <c r="K365" s="1229"/>
      <c r="L365" s="1229"/>
      <c r="M365" s="1229"/>
      <c r="N365" s="1229"/>
      <c r="O365" s="1229"/>
      <c r="P365" s="1229"/>
      <c r="Q365" s="1229"/>
      <c r="R365" s="1229"/>
      <c r="S365" s="1229"/>
      <c r="T365" s="1229"/>
      <c r="U365" s="1229"/>
      <c r="V365" s="1229"/>
      <c r="W365" s="1229"/>
      <c r="X365" s="1229"/>
      <c r="Y365" s="1229"/>
      <c r="Z365" s="1229"/>
      <c r="AA365" s="1229"/>
      <c r="AB365" s="1229"/>
      <c r="AC365" s="1229"/>
      <c r="AD365" s="1229"/>
      <c r="AE365" s="1229"/>
      <c r="AF365" s="1229"/>
      <c r="AG365" s="1229"/>
      <c r="AH365" s="1229"/>
      <c r="AI365" s="1229"/>
      <c r="AJ365" s="1229"/>
      <c r="AK365" s="1229"/>
      <c r="AL365" s="1229"/>
    </row>
    <row r="366" spans="1:38" ht="13">
      <c r="B366" s="2"/>
      <c r="E366" s="1229"/>
      <c r="F366" s="1229"/>
      <c r="G366" s="1229"/>
      <c r="H366" s="1229"/>
      <c r="I366" s="1229"/>
      <c r="J366" s="1229"/>
      <c r="K366" s="1229"/>
      <c r="L366" s="1229"/>
      <c r="M366" s="1229"/>
      <c r="N366" s="1229"/>
      <c r="O366" s="1229"/>
      <c r="P366" s="1229"/>
      <c r="Q366" s="1229"/>
      <c r="R366" s="1229"/>
      <c r="S366" s="1229"/>
      <c r="T366" s="1229"/>
      <c r="U366" s="1229"/>
      <c r="V366" s="1229"/>
      <c r="W366" s="1229"/>
      <c r="X366" s="1229"/>
      <c r="Y366" s="1229"/>
      <c r="Z366" s="1229"/>
      <c r="AA366" s="1229"/>
      <c r="AB366" s="1229"/>
      <c r="AC366" s="1229"/>
      <c r="AD366" s="1229"/>
      <c r="AE366" s="1229"/>
      <c r="AF366" s="1229"/>
      <c r="AG366" s="1229"/>
      <c r="AH366" s="1229"/>
      <c r="AI366" s="1229"/>
      <c r="AJ366" s="1229"/>
      <c r="AK366" s="1229"/>
      <c r="AL366" s="1229"/>
    </row>
    <row r="367" spans="1:38" s="1230" customFormat="1" ht="13">
      <c r="A367"/>
      <c r="B367" s="2"/>
      <c r="C367"/>
      <c r="D367"/>
      <c r="E367" s="1227" t="s">
        <v>278</v>
      </c>
      <c r="F367" s="1227"/>
      <c r="G367" s="1227"/>
      <c r="H367" s="1227"/>
      <c r="I367" s="1227"/>
      <c r="J367" s="1227"/>
      <c r="K367" s="1227"/>
      <c r="L367" s="1227"/>
      <c r="M367" s="1227"/>
      <c r="N367" s="1227"/>
      <c r="O367" s="1227"/>
      <c r="P367" s="1227"/>
      <c r="Q367" s="1227"/>
      <c r="R367" s="1227"/>
      <c r="S367" s="1227"/>
      <c r="T367" s="1227"/>
      <c r="U367" s="1227"/>
      <c r="V367" s="1227"/>
      <c r="W367" s="1227"/>
      <c r="X367" s="1227"/>
      <c r="Y367" s="1227"/>
      <c r="Z367" s="1227"/>
      <c r="AA367" s="1227"/>
      <c r="AB367" s="1227"/>
      <c r="AC367" s="1227"/>
      <c r="AD367" s="1227"/>
      <c r="AE367" s="1227"/>
      <c r="AF367" s="1227"/>
      <c r="AG367" s="1227"/>
      <c r="AH367" s="1227"/>
      <c r="AI367" s="1227"/>
      <c r="AJ367" s="1227"/>
      <c r="AK367" s="1227"/>
      <c r="AL367" s="1227"/>
    </row>
    <row r="368" spans="1:38" s="1230" customFormat="1" ht="13">
      <c r="A368"/>
      <c r="B368" s="2"/>
      <c r="C368" s="2"/>
      <c r="D368"/>
      <c r="E368" s="1227"/>
      <c r="F368" s="1227"/>
      <c r="G368" s="1227"/>
      <c r="H368" s="1227"/>
      <c r="I368" s="1227"/>
      <c r="J368" s="1227"/>
      <c r="K368" s="1227"/>
      <c r="L368" s="1227"/>
      <c r="M368" s="1227"/>
      <c r="N368" s="1227"/>
      <c r="O368" s="1227"/>
      <c r="P368" s="1227"/>
      <c r="Q368" s="1227"/>
      <c r="R368" s="1227"/>
      <c r="S368" s="1227"/>
      <c r="T368" s="1227"/>
      <c r="U368" s="1227"/>
      <c r="V368" s="1227"/>
      <c r="W368" s="1227"/>
      <c r="X368" s="1227"/>
      <c r="Y368" s="1227"/>
      <c r="Z368" s="1227"/>
      <c r="AA368" s="1227"/>
      <c r="AB368" s="1227"/>
      <c r="AC368" s="1227"/>
      <c r="AD368" s="1227"/>
      <c r="AE368" s="1227"/>
      <c r="AF368" s="1227"/>
      <c r="AG368" s="1227"/>
      <c r="AH368" s="1227"/>
      <c r="AI368" s="1227"/>
      <c r="AJ368" s="1227"/>
      <c r="AK368" s="1227"/>
      <c r="AL368" s="1227"/>
    </row>
    <row r="369" spans="1:38" ht="13">
      <c r="B369" s="2"/>
      <c r="E369" s="3"/>
      <c r="F369" s="356"/>
      <c r="G369" s="356"/>
      <c r="H369" s="356"/>
      <c r="I369" s="356"/>
      <c r="J369" s="356"/>
      <c r="K369" s="356"/>
      <c r="L369" s="356"/>
      <c r="M369" s="356"/>
      <c r="N369" s="356"/>
      <c r="O369" s="356"/>
      <c r="P369" s="356"/>
      <c r="Q369" s="356"/>
      <c r="R369" s="356"/>
      <c r="S369" s="356"/>
      <c r="T369" s="356"/>
      <c r="U369" s="356"/>
      <c r="V369" s="356"/>
      <c r="W369" s="356"/>
      <c r="X369" s="356"/>
      <c r="Y369" s="356"/>
      <c r="Z369" s="356"/>
      <c r="AA369" s="356"/>
      <c r="AB369" s="356"/>
      <c r="AC369" s="356"/>
      <c r="AD369" s="356"/>
      <c r="AE369" s="356"/>
      <c r="AF369" s="356"/>
      <c r="AG369" s="356"/>
      <c r="AH369" s="356"/>
      <c r="AI369" s="356"/>
      <c r="AJ369" s="356"/>
      <c r="AK369" s="356"/>
    </row>
    <row r="370" spans="1:38" ht="13">
      <c r="B370" s="2"/>
      <c r="D370" s="2" t="s">
        <v>16</v>
      </c>
      <c r="E370" s="2" t="s">
        <v>279</v>
      </c>
      <c r="J370" s="3"/>
      <c r="K370" s="3"/>
      <c r="L370" s="3"/>
      <c r="M370" s="3"/>
      <c r="N370" s="3"/>
      <c r="O370" s="3"/>
      <c r="P370" s="3"/>
      <c r="Q370" s="3"/>
      <c r="R370" s="3"/>
      <c r="S370" s="3"/>
    </row>
    <row r="371" spans="1:38" ht="13">
      <c r="B371" s="2"/>
      <c r="E371" s="3" t="s">
        <v>280</v>
      </c>
      <c r="F371" s="3"/>
      <c r="G371" s="3"/>
      <c r="H371" s="3"/>
      <c r="I371" s="3"/>
      <c r="J371" s="3"/>
      <c r="K371" s="3"/>
      <c r="L371" s="3"/>
      <c r="M371" s="3"/>
      <c r="N371" s="3"/>
      <c r="O371" s="3"/>
      <c r="P371" s="3"/>
      <c r="Q371" s="3"/>
      <c r="R371" s="3"/>
      <c r="S371" s="3"/>
    </row>
    <row r="372" spans="1:38" ht="13">
      <c r="B372" s="2"/>
      <c r="E372" s="3" t="s">
        <v>281</v>
      </c>
      <c r="F372" s="3"/>
      <c r="G372" s="3"/>
      <c r="H372" s="3"/>
      <c r="I372" s="3"/>
      <c r="J372" s="3"/>
      <c r="K372" s="3"/>
      <c r="L372" s="3"/>
      <c r="M372" s="3"/>
      <c r="N372" s="3"/>
      <c r="O372" s="3"/>
      <c r="P372" s="3"/>
      <c r="Q372" s="3"/>
      <c r="R372" s="3"/>
      <c r="S372" s="3"/>
    </row>
    <row r="373" spans="1:38" ht="13">
      <c r="B373" s="2"/>
      <c r="E373" s="3"/>
      <c r="F373" s="3"/>
      <c r="G373" s="3"/>
      <c r="H373" s="3"/>
      <c r="I373" s="3"/>
      <c r="J373" s="3"/>
      <c r="K373" s="3"/>
      <c r="L373" s="3"/>
      <c r="M373" s="3"/>
      <c r="N373" s="3"/>
      <c r="O373" s="3"/>
      <c r="P373" s="3"/>
      <c r="Q373" s="3"/>
      <c r="R373" s="3"/>
      <c r="S373" s="3"/>
    </row>
    <row r="374" spans="1:38" ht="13">
      <c r="B374" s="2"/>
      <c r="D374" s="2" t="s">
        <v>94</v>
      </c>
      <c r="E374" s="2" t="s">
        <v>282</v>
      </c>
      <c r="J374" s="3"/>
      <c r="K374" s="3"/>
      <c r="L374" s="3"/>
      <c r="M374" s="3"/>
      <c r="N374" s="3"/>
      <c r="O374" s="3"/>
      <c r="P374" s="3"/>
      <c r="Q374" s="3"/>
      <c r="R374" s="3"/>
      <c r="S374" s="3"/>
    </row>
    <row r="375" spans="1:38" ht="13">
      <c r="B375" s="2"/>
      <c r="E375" s="3" t="s">
        <v>18</v>
      </c>
      <c r="F375" s="3" t="s">
        <v>283</v>
      </c>
      <c r="G375" s="3"/>
      <c r="I375" s="3"/>
      <c r="J375" s="3"/>
      <c r="K375" s="3"/>
      <c r="L375" s="3"/>
      <c r="M375" s="3"/>
      <c r="N375" s="3"/>
      <c r="O375" s="3"/>
      <c r="P375" s="3"/>
      <c r="Q375" s="3"/>
      <c r="R375" s="3"/>
      <c r="S375" s="3"/>
    </row>
    <row r="376" spans="1:38" ht="13">
      <c r="B376" s="2"/>
      <c r="E376" s="3"/>
      <c r="F376" s="86" t="s">
        <v>284</v>
      </c>
      <c r="G376" s="3"/>
      <c r="I376" s="86"/>
      <c r="J376" s="3"/>
      <c r="K376" s="3"/>
      <c r="L376" s="3"/>
      <c r="M376" s="3"/>
      <c r="N376" s="3"/>
      <c r="O376" s="3"/>
      <c r="P376" s="3"/>
      <c r="Q376" s="3"/>
      <c r="R376" s="3"/>
      <c r="S376" s="3"/>
    </row>
    <row r="377" spans="1:38" ht="13">
      <c r="B377" s="2"/>
      <c r="E377" s="3" t="s">
        <v>31</v>
      </c>
      <c r="F377" s="3" t="s">
        <v>285</v>
      </c>
      <c r="G377" s="3"/>
      <c r="I377" s="86"/>
      <c r="J377" s="3"/>
      <c r="K377" s="3"/>
      <c r="L377" s="3"/>
      <c r="M377" s="3"/>
      <c r="N377" s="3"/>
      <c r="O377" s="3"/>
      <c r="P377" s="3"/>
      <c r="Q377" s="3"/>
      <c r="R377" s="3"/>
      <c r="S377" s="3"/>
    </row>
    <row r="378" spans="1:38" ht="13">
      <c r="B378" s="2"/>
      <c r="E378" s="3"/>
      <c r="F378" s="3"/>
      <c r="G378" s="3"/>
      <c r="I378" s="86"/>
      <c r="J378" s="3"/>
      <c r="K378" s="3"/>
      <c r="L378" s="3"/>
      <c r="M378" s="3"/>
      <c r="N378" s="3"/>
      <c r="O378" s="3"/>
      <c r="P378" s="3"/>
      <c r="Q378" s="3"/>
      <c r="R378" s="3"/>
      <c r="S378" s="3"/>
    </row>
    <row r="379" spans="1:38" ht="13">
      <c r="B379" s="2"/>
      <c r="D379" s="2" t="s">
        <v>99</v>
      </c>
      <c r="E379" s="2" t="s">
        <v>286</v>
      </c>
      <c r="J379" s="3"/>
      <c r="K379" s="3"/>
      <c r="L379" s="3"/>
      <c r="M379" s="3"/>
      <c r="N379" s="3"/>
      <c r="O379" s="3"/>
      <c r="P379" s="3"/>
      <c r="Q379" s="3"/>
      <c r="R379" s="3"/>
      <c r="S379" s="3"/>
    </row>
    <row r="380" spans="1:38" ht="13">
      <c r="B380" s="2"/>
      <c r="D380" s="2"/>
      <c r="E380" s="3" t="s">
        <v>280</v>
      </c>
      <c r="F380" s="3"/>
      <c r="G380" s="3"/>
      <c r="J380" s="3"/>
      <c r="K380" s="3"/>
      <c r="L380" s="3"/>
      <c r="M380" s="3"/>
      <c r="N380" s="3"/>
      <c r="O380" s="3"/>
      <c r="P380" s="3"/>
      <c r="Q380" s="3"/>
      <c r="R380" s="3"/>
      <c r="S380" s="3"/>
    </row>
    <row r="381" spans="1:38" ht="13">
      <c r="B381" s="2"/>
      <c r="D381" s="2"/>
      <c r="E381" s="3" t="s">
        <v>287</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18" customFormat="1" ht="13">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ht="13">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ht="13">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31</v>
      </c>
      <c r="F386" s="1221" t="s">
        <v>290</v>
      </c>
      <c r="G386" s="1221"/>
      <c r="H386" s="1221"/>
      <c r="I386" s="1221"/>
      <c r="J386" s="1221"/>
      <c r="K386" s="1221"/>
      <c r="L386" s="1221"/>
      <c r="M386" s="1221"/>
      <c r="N386" s="1221"/>
      <c r="O386" s="1221"/>
      <c r="P386" s="1221"/>
      <c r="Q386" s="1221"/>
      <c r="R386" s="1221"/>
      <c r="S386" s="1221"/>
      <c r="T386" s="1221"/>
      <c r="U386" s="1221"/>
      <c r="V386" s="1221"/>
      <c r="W386" s="1221"/>
      <c r="X386" s="1221"/>
      <c r="Y386" s="1221"/>
      <c r="Z386" s="1221"/>
      <c r="AA386" s="1221"/>
      <c r="AB386" s="1221"/>
      <c r="AC386" s="1221"/>
      <c r="AD386" s="1221"/>
      <c r="AE386" s="1221"/>
      <c r="AF386" s="1221"/>
      <c r="AG386" s="1221"/>
      <c r="AH386" s="1221"/>
      <c r="AI386" s="1221"/>
      <c r="AJ386" s="1221"/>
      <c r="AK386" s="1221"/>
    </row>
    <row r="387" spans="1:38" ht="13">
      <c r="B387" s="2"/>
      <c r="E387" s="3"/>
      <c r="F387" s="1221"/>
      <c r="G387" s="1221"/>
      <c r="H387" s="1221"/>
      <c r="I387" s="1221"/>
      <c r="J387" s="1221"/>
      <c r="K387" s="1221"/>
      <c r="L387" s="1221"/>
      <c r="M387" s="1221"/>
      <c r="N387" s="1221"/>
      <c r="O387" s="1221"/>
      <c r="P387" s="1221"/>
      <c r="Q387" s="1221"/>
      <c r="R387" s="1221"/>
      <c r="S387" s="1221"/>
      <c r="T387" s="1221"/>
      <c r="U387" s="1221"/>
      <c r="V387" s="1221"/>
      <c r="W387" s="1221"/>
      <c r="X387" s="1221"/>
      <c r="Y387" s="1221"/>
      <c r="Z387" s="1221"/>
      <c r="AA387" s="1221"/>
      <c r="AB387" s="1221"/>
      <c r="AC387" s="1221"/>
      <c r="AD387" s="1221"/>
      <c r="AE387" s="1221"/>
      <c r="AF387" s="1221"/>
      <c r="AG387" s="1221"/>
      <c r="AH387" s="1221"/>
      <c r="AI387" s="1221"/>
      <c r="AJ387" s="1221"/>
      <c r="AK387" s="1221"/>
    </row>
    <row r="388" spans="1:38" ht="13">
      <c r="B388" s="2"/>
      <c r="E388" s="3"/>
      <c r="F388" s="1221"/>
      <c r="G388" s="1221"/>
      <c r="H388" s="1221"/>
      <c r="I388" s="1221"/>
      <c r="J388" s="1221"/>
      <c r="K388" s="1221"/>
      <c r="L388" s="1221"/>
      <c r="M388" s="1221"/>
      <c r="N388" s="1221"/>
      <c r="O388" s="1221"/>
      <c r="P388" s="1221"/>
      <c r="Q388" s="1221"/>
      <c r="R388" s="1221"/>
      <c r="S388" s="1221"/>
      <c r="T388" s="1221"/>
      <c r="U388" s="1221"/>
      <c r="V388" s="1221"/>
      <c r="W388" s="1221"/>
      <c r="X388" s="1221"/>
      <c r="Y388" s="1221"/>
      <c r="Z388" s="1221"/>
      <c r="AA388" s="1221"/>
      <c r="AB388" s="1221"/>
      <c r="AC388" s="1221"/>
      <c r="AD388" s="1221"/>
      <c r="AE388" s="1221"/>
      <c r="AF388" s="1221"/>
      <c r="AG388" s="1221"/>
      <c r="AH388" s="1221"/>
      <c r="AI388" s="1221"/>
      <c r="AJ388" s="1221"/>
      <c r="AK388" s="1221"/>
    </row>
    <row r="389" spans="1:38" ht="13">
      <c r="B389" s="2"/>
      <c r="E389" s="3"/>
      <c r="F389" s="343"/>
      <c r="G389" s="343"/>
      <c r="H389" s="343"/>
      <c r="I389" s="343"/>
      <c r="J389" s="343"/>
      <c r="K389" s="343"/>
      <c r="L389" s="343"/>
      <c r="M389" s="343"/>
      <c r="N389" s="343"/>
      <c r="O389" s="343"/>
      <c r="P389" s="343"/>
      <c r="Q389" s="343"/>
      <c r="R389" s="343"/>
      <c r="S389" s="343"/>
      <c r="T389" s="343"/>
      <c r="U389" s="343"/>
      <c r="V389" s="343"/>
      <c r="W389" s="343"/>
      <c r="X389" s="343"/>
      <c r="Y389" s="343"/>
      <c r="Z389" s="343"/>
      <c r="AA389" s="343"/>
      <c r="AB389" s="343"/>
      <c r="AC389" s="343"/>
      <c r="AD389" s="343"/>
      <c r="AE389" s="343"/>
      <c r="AF389" s="343"/>
      <c r="AG389" s="343"/>
      <c r="AH389" s="343"/>
      <c r="AI389" s="343"/>
      <c r="AJ389" s="343"/>
      <c r="AK389" s="343"/>
      <c r="AL389" s="354"/>
    </row>
    <row r="390" spans="1:38" ht="13">
      <c r="B390" s="2"/>
      <c r="C390" s="2"/>
      <c r="D390" s="2" t="s">
        <v>106</v>
      </c>
      <c r="E390" s="2" t="s">
        <v>291</v>
      </c>
      <c r="F390" s="3"/>
      <c r="G390" s="2"/>
      <c r="I390" s="86"/>
      <c r="J390" s="3"/>
      <c r="K390" s="3"/>
      <c r="L390" s="3"/>
      <c r="M390" s="3"/>
      <c r="N390" s="3"/>
      <c r="O390" s="3"/>
      <c r="P390" s="3"/>
      <c r="Q390" s="3"/>
      <c r="R390" s="3"/>
      <c r="S390" s="3"/>
    </row>
    <row r="391" spans="1:38" ht="13.25" customHeight="1">
      <c r="B391" s="2"/>
      <c r="D391" s="2"/>
      <c r="E391" s="3" t="s">
        <v>292</v>
      </c>
      <c r="F391" s="356"/>
      <c r="G391" s="356"/>
      <c r="H391" s="356"/>
      <c r="I391" s="356"/>
      <c r="J391" s="356"/>
      <c r="K391" s="356"/>
      <c r="L391" s="356"/>
      <c r="M391" s="356"/>
      <c r="N391" s="356"/>
      <c r="O391" s="356"/>
      <c r="P391" s="356"/>
      <c r="Q391" s="356"/>
      <c r="R391" s="356"/>
      <c r="S391" s="356"/>
      <c r="T391" s="356"/>
      <c r="U391" s="356"/>
      <c r="V391" s="356"/>
      <c r="W391" s="356"/>
      <c r="X391" s="356"/>
      <c r="Y391" s="356"/>
      <c r="Z391" s="356"/>
      <c r="AA391" s="356"/>
      <c r="AB391" s="356"/>
      <c r="AC391" s="356"/>
      <c r="AD391" s="356"/>
      <c r="AE391" s="356"/>
      <c r="AF391" s="356"/>
      <c r="AG391" s="356"/>
      <c r="AH391" s="356"/>
      <c r="AI391" s="356"/>
      <c r="AJ391" s="356"/>
      <c r="AK391" s="356"/>
    </row>
    <row r="392" spans="1:38" ht="13">
      <c r="B392" s="2"/>
      <c r="E392" t="s">
        <v>287</v>
      </c>
      <c r="F392" s="353"/>
      <c r="G392" s="353"/>
      <c r="H392" s="353"/>
      <c r="I392" s="353"/>
      <c r="J392" s="353"/>
      <c r="K392" s="353"/>
      <c r="L392" s="353"/>
      <c r="M392" s="353"/>
      <c r="N392" s="353"/>
      <c r="O392" s="353"/>
      <c r="P392" s="353"/>
      <c r="Q392" s="353"/>
      <c r="R392" s="353"/>
      <c r="S392" s="353"/>
      <c r="T392" s="353"/>
      <c r="U392" s="353"/>
      <c r="V392" s="353"/>
      <c r="W392" s="353"/>
      <c r="X392" s="353"/>
      <c r="Y392" s="353"/>
      <c r="Z392" s="353"/>
      <c r="AA392" s="353"/>
      <c r="AB392" s="353"/>
      <c r="AC392" s="353"/>
      <c r="AD392" s="353"/>
      <c r="AE392" s="353"/>
      <c r="AF392" s="353"/>
      <c r="AG392" s="353"/>
      <c r="AH392" s="353"/>
      <c r="AI392" s="353"/>
      <c r="AJ392" s="353"/>
      <c r="AK392" s="353"/>
      <c r="AL392" s="353"/>
    </row>
    <row r="393" spans="1:38" s="118" customFormat="1" ht="13">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t="13"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t="13" hidden="1">
      <c r="B395" s="2"/>
      <c r="S395" s="3"/>
    </row>
    <row r="396" spans="1:38" ht="13" hidden="1">
      <c r="B396" s="2"/>
      <c r="S396" s="3"/>
    </row>
    <row r="397" spans="1:38" ht="13" hidden="1">
      <c r="B397" s="2"/>
      <c r="S397" s="3"/>
    </row>
    <row r="398" spans="1:38" ht="13" hidden="1">
      <c r="B398" s="2"/>
      <c r="S398" s="3"/>
    </row>
    <row r="399" spans="1:38" ht="13" hidden="1">
      <c r="B399" s="2"/>
      <c r="S399" s="3"/>
    </row>
    <row r="400" spans="1:38" ht="13" hidden="1">
      <c r="B400" s="2"/>
      <c r="S400" s="3"/>
    </row>
    <row r="401" spans="2:19" ht="13" hidden="1">
      <c r="B401" s="2"/>
      <c r="S401" s="3"/>
    </row>
    <row r="402" spans="2:19" ht="13" hidden="1">
      <c r="B402" s="2"/>
      <c r="S402" s="3"/>
    </row>
    <row r="403" spans="2:19" ht="13" hidden="1">
      <c r="B403" s="2"/>
      <c r="S403" s="3"/>
    </row>
    <row r="404" spans="2:19" ht="13" hidden="1">
      <c r="B404" s="2"/>
      <c r="S404" s="3"/>
    </row>
    <row r="405" spans="2:19" ht="13" hidden="1">
      <c r="B405" s="2"/>
      <c r="S405" s="3"/>
    </row>
    <row r="406" spans="2:19" ht="13" hidden="1">
      <c r="B406" s="2"/>
      <c r="D406" s="2"/>
      <c r="E406" s="3"/>
      <c r="F406" s="3"/>
      <c r="G406" s="3"/>
      <c r="H406" s="3"/>
      <c r="I406" s="3"/>
      <c r="J406" s="3"/>
      <c r="K406" s="3"/>
      <c r="L406" s="3"/>
      <c r="M406" s="3"/>
      <c r="N406" s="3"/>
      <c r="O406" s="3"/>
      <c r="P406" s="3"/>
      <c r="Q406" s="3"/>
      <c r="R406" s="3"/>
      <c r="S406" s="3"/>
    </row>
    <row r="407" spans="2:19" ht="13"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t="13" hidden="1">
      <c r="B419" s="2"/>
      <c r="D419" s="2"/>
      <c r="E419" s="3"/>
      <c r="F419" s="3"/>
      <c r="G419" s="3"/>
      <c r="H419" s="3"/>
      <c r="I419" s="3"/>
      <c r="J419" s="3"/>
      <c r="K419" s="3"/>
      <c r="L419" s="3"/>
      <c r="M419" s="3"/>
      <c r="N419" s="3"/>
      <c r="O419" s="3"/>
      <c r="P419" s="3"/>
      <c r="Q419" s="3"/>
      <c r="R419" s="3"/>
      <c r="S419" s="3"/>
    </row>
    <row r="420" spans="2:19" ht="13" hidden="1">
      <c r="B420" s="2"/>
      <c r="C420" s="2"/>
      <c r="D420" s="2"/>
      <c r="E420" s="3"/>
      <c r="F420" s="3"/>
      <c r="G420" s="3"/>
      <c r="H420" s="3"/>
      <c r="I420" s="3"/>
      <c r="J420" s="3"/>
      <c r="K420" s="3"/>
      <c r="L420" s="3"/>
      <c r="M420" s="3"/>
      <c r="N420" s="3"/>
      <c r="O420" s="3"/>
      <c r="P420" s="3"/>
      <c r="Q420" s="3"/>
      <c r="R420" s="3"/>
      <c r="S420" s="3"/>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5" customHeight="1" zeroHeight="1"/>
  <cols>
    <col min="1" max="10" width="10.6328125" style="304" customWidth="1"/>
    <col min="11" max="16384" width="8.81640625" style="304" hidden="1"/>
  </cols>
  <sheetData>
    <row r="1" spans="1:10" ht="15.5">
      <c r="A1" s="1235" t="s">
        <v>293</v>
      </c>
      <c r="B1" s="1236"/>
      <c r="C1" s="1236"/>
      <c r="D1" s="1236"/>
      <c r="E1" s="1236"/>
      <c r="F1" s="1236"/>
      <c r="G1" s="1236"/>
      <c r="H1" s="1236"/>
      <c r="I1" s="1236"/>
      <c r="J1" s="1236"/>
    </row>
    <row r="2" spans="1:10" ht="15.5">
      <c r="A2" s="1239" t="s">
        <v>294</v>
      </c>
      <c r="B2" s="1240"/>
      <c r="C2" s="1240"/>
      <c r="D2" s="1240"/>
      <c r="E2" s="1240"/>
      <c r="F2" s="1240"/>
      <c r="G2" s="1240"/>
      <c r="H2" s="1240"/>
      <c r="I2" s="1240"/>
      <c r="J2" s="1240"/>
    </row>
    <row r="3" spans="1:10"/>
    <row r="4" spans="1:10" ht="12.75" customHeight="1">
      <c r="A4" s="1237" t="s">
        <v>295</v>
      </c>
      <c r="B4" s="1237"/>
      <c r="C4" s="1237"/>
      <c r="D4" s="1237"/>
      <c r="E4" s="1237"/>
      <c r="F4" s="1237"/>
      <c r="G4" s="1237"/>
      <c r="H4" s="1237"/>
      <c r="I4" s="1237"/>
      <c r="J4" s="1237"/>
    </row>
    <row r="5" spans="1:10">
      <c r="A5" s="1237"/>
      <c r="B5" s="1237"/>
      <c r="C5" s="1237"/>
      <c r="D5" s="1237"/>
      <c r="E5" s="1237"/>
      <c r="F5" s="1237"/>
      <c r="G5" s="1237"/>
      <c r="H5" s="1237"/>
      <c r="I5" s="1237"/>
      <c r="J5" s="1237"/>
    </row>
    <row r="6" spans="1:10" ht="30" customHeight="1">
      <c r="A6" s="1237"/>
      <c r="B6" s="1237"/>
      <c r="C6" s="1237"/>
      <c r="D6" s="1237"/>
      <c r="E6" s="1237"/>
      <c r="F6" s="1237"/>
      <c r="G6" s="1237"/>
      <c r="H6" s="1237"/>
      <c r="I6" s="1237"/>
      <c r="J6" s="1237"/>
    </row>
    <row r="7" spans="1:10">
      <c r="A7" s="318"/>
      <c r="B7" s="318"/>
      <c r="C7" s="318"/>
      <c r="D7" s="318"/>
      <c r="E7" s="318"/>
      <c r="F7" s="318"/>
      <c r="G7" s="318"/>
      <c r="H7" s="318"/>
      <c r="I7" s="318"/>
      <c r="J7" s="318"/>
    </row>
    <row r="8" spans="1:10" ht="12.75" customHeight="1">
      <c r="A8" s="304" t="s">
        <v>296</v>
      </c>
      <c r="B8" s="318"/>
      <c r="C8" s="318"/>
      <c r="D8" s="318"/>
      <c r="E8" s="318"/>
      <c r="F8" s="318"/>
      <c r="G8" s="318"/>
      <c r="H8" s="318"/>
      <c r="I8" s="318"/>
      <c r="J8" s="318"/>
    </row>
    <row r="9" spans="1:10"/>
    <row r="10" spans="1:10" ht="12.75" customHeight="1">
      <c r="A10" s="1241" t="s">
        <v>297</v>
      </c>
      <c r="B10" s="1241"/>
      <c r="C10" s="1241"/>
      <c r="D10" s="1241"/>
      <c r="E10" s="1241"/>
      <c r="F10" s="1241"/>
      <c r="G10" s="1241"/>
      <c r="H10" s="1241"/>
      <c r="I10" s="1241"/>
      <c r="J10" s="1241"/>
    </row>
    <row r="11" spans="1:10">
      <c r="A11" s="1241"/>
      <c r="B11" s="1241"/>
      <c r="C11" s="1241"/>
      <c r="D11" s="1241"/>
      <c r="E11" s="1241"/>
      <c r="F11" s="1241"/>
      <c r="G11" s="1241"/>
      <c r="H11" s="1241"/>
      <c r="I11" s="1241"/>
      <c r="J11" s="1241"/>
    </row>
    <row r="12" spans="1:10">
      <c r="A12" s="1241"/>
      <c r="B12" s="1241"/>
      <c r="C12" s="1241"/>
      <c r="D12" s="1241"/>
      <c r="E12" s="1241"/>
      <c r="F12" s="1241"/>
      <c r="G12" s="1241"/>
      <c r="H12" s="1241"/>
      <c r="I12" s="1241"/>
      <c r="J12" s="1241"/>
    </row>
    <row r="13" spans="1:10">
      <c r="A13" s="1241"/>
      <c r="B13" s="1241"/>
      <c r="C13" s="1241"/>
      <c r="D13" s="1241"/>
      <c r="E13" s="1241"/>
      <c r="F13" s="1241"/>
      <c r="G13" s="1241"/>
      <c r="H13" s="1241"/>
      <c r="I13" s="1241"/>
      <c r="J13" s="1241"/>
    </row>
    <row r="14" spans="1:10">
      <c r="A14" s="1241"/>
      <c r="B14" s="1241"/>
      <c r="C14" s="1241"/>
      <c r="D14" s="1241"/>
      <c r="E14" s="1241"/>
      <c r="F14" s="1241"/>
      <c r="G14" s="1241"/>
      <c r="H14" s="1241"/>
      <c r="I14" s="1241"/>
      <c r="J14" s="1241"/>
    </row>
    <row r="15" spans="1:10">
      <c r="A15" s="1241"/>
      <c r="B15" s="1241"/>
      <c r="C15" s="1241"/>
      <c r="D15" s="1241"/>
      <c r="E15" s="1241"/>
      <c r="F15" s="1241"/>
      <c r="G15" s="1241"/>
      <c r="H15" s="1241"/>
      <c r="I15" s="1241"/>
      <c r="J15" s="1241"/>
    </row>
    <row r="16" spans="1:10">
      <c r="A16" s="423"/>
      <c r="B16" s="423"/>
      <c r="C16" s="423"/>
      <c r="D16" s="423"/>
      <c r="E16" s="423"/>
      <c r="F16" s="423"/>
      <c r="G16" s="423"/>
      <c r="H16" s="423"/>
      <c r="I16" s="423"/>
      <c r="J16" s="423"/>
    </row>
    <row r="17" spans="1:10">
      <c r="A17" s="376" t="s">
        <v>298</v>
      </c>
      <c r="B17" s="318"/>
      <c r="C17" s="318"/>
      <c r="D17" s="318"/>
      <c r="E17" s="318"/>
      <c r="F17" s="318"/>
      <c r="G17" s="318"/>
      <c r="H17" s="318"/>
      <c r="I17" s="318"/>
      <c r="J17" s="318"/>
    </row>
    <row r="18" spans="1:10">
      <c r="A18" s="318" t="s">
        <v>254</v>
      </c>
      <c r="B18" s="318"/>
      <c r="C18" s="318"/>
      <c r="D18" s="318"/>
      <c r="E18" s="318"/>
      <c r="F18" s="318"/>
      <c r="G18" s="318"/>
      <c r="H18" s="318"/>
      <c r="I18" s="318"/>
      <c r="J18" s="318"/>
    </row>
    <row r="19" spans="1:10">
      <c r="A19" s="1240" t="s">
        <v>299</v>
      </c>
      <c r="B19" s="1240"/>
      <c r="C19" s="1240"/>
      <c r="D19" s="1240"/>
      <c r="E19" s="1240"/>
    </row>
    <row r="20" spans="1:10"/>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c r="A56" s="1237" t="s">
        <v>300</v>
      </c>
      <c r="B56" s="1237"/>
      <c r="C56" s="1237"/>
      <c r="D56" s="1237"/>
      <c r="E56" s="1237"/>
      <c r="F56" s="1237"/>
      <c r="G56" s="1237"/>
      <c r="H56" s="1237"/>
      <c r="I56" s="1237"/>
      <c r="J56" s="1237"/>
    </row>
    <row r="57" spans="1:10">
      <c r="A57" s="1237"/>
      <c r="B57" s="1237"/>
      <c r="C57" s="1237"/>
      <c r="D57" s="1237"/>
      <c r="E57" s="1237"/>
      <c r="F57" s="1237"/>
      <c r="G57" s="1237"/>
      <c r="H57" s="1237"/>
      <c r="I57" s="1237"/>
      <c r="J57" s="1237"/>
    </row>
    <row r="58" spans="1:10">
      <c r="A58" s="1237"/>
      <c r="B58" s="1237"/>
      <c r="C58" s="1237"/>
      <c r="D58" s="1237"/>
      <c r="E58" s="1237"/>
      <c r="F58" s="1237"/>
      <c r="G58" s="1237"/>
      <c r="H58" s="1237"/>
      <c r="I58" s="1237"/>
      <c r="J58" s="1237"/>
    </row>
    <row r="59" spans="1:10"/>
    <row r="60" spans="1:10">
      <c r="A60" s="304" t="s">
        <v>299</v>
      </c>
    </row>
    <row r="61" spans="1:10"/>
    <row r="62" spans="1:10"/>
    <row r="63" spans="1:10"/>
    <row r="64" spans="1:10"/>
    <row r="65" spans="1:9"/>
    <row r="66" spans="1:9"/>
    <row r="67" spans="1:9"/>
    <row r="68" spans="1:9"/>
    <row r="69" spans="1:9"/>
    <row r="70" spans="1:9"/>
    <row r="71" spans="1:9" ht="13">
      <c r="A71" s="1238" t="s">
        <v>301</v>
      </c>
      <c r="B71" s="1238"/>
      <c r="C71" s="1238"/>
      <c r="D71" s="1238"/>
      <c r="E71" s="1238"/>
      <c r="F71" s="1238"/>
      <c r="G71" s="1238"/>
      <c r="H71" s="1238"/>
      <c r="I71" s="1238"/>
    </row>
    <row r="72" spans="1:9">
      <c r="A72" s="1228" t="s">
        <v>14</v>
      </c>
      <c r="B72" s="1228"/>
      <c r="C72" s="1228"/>
      <c r="D72" s="1228"/>
      <c r="E72" s="1228"/>
    </row>
    <row r="73" spans="1:9">
      <c r="A73" s="1228" t="s">
        <v>15</v>
      </c>
      <c r="B73" s="1228"/>
      <c r="C73" s="1228"/>
      <c r="D73" s="1228"/>
      <c r="E73" s="1228"/>
    </row>
    <row r="74" spans="1:9">
      <c r="A74" s="1228" t="s">
        <v>302</v>
      </c>
      <c r="B74" s="1228"/>
      <c r="C74" s="1228"/>
      <c r="D74" s="1228"/>
      <c r="E74" s="1228"/>
    </row>
    <row r="75" spans="1:9"/>
    <row r="76" spans="1:9"/>
    <row r="77" spans="1:9"/>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abSelected="1" workbookViewId="0">
      <selection activeCell="B1126" sqref="B1126"/>
    </sheetView>
  </sheetViews>
  <sheetFormatPr defaultColWidth="0" defaultRowHeight="13" zeroHeight="1"/>
  <cols>
    <col min="1" max="1" width="3.453125" style="380" customWidth="1"/>
    <col min="2" max="2" width="13.453125" style="380" customWidth="1"/>
    <col min="3" max="3" width="2.453125" style="380" customWidth="1"/>
    <col min="4" max="5" width="3.453125" style="304" customWidth="1"/>
    <col min="6" max="6" width="65.453125" style="304" customWidth="1"/>
    <col min="7" max="7" width="1.453125" style="304" customWidth="1"/>
    <col min="8" max="8" width="3.453125" style="304" customWidth="1"/>
    <col min="9" max="9" width="9.1796875" style="306" customWidth="1"/>
    <col min="10" max="10" width="8.81640625" style="304" hidden="1" customWidth="1"/>
    <col min="11" max="16384" width="8.81640625" style="304" hidden="1"/>
  </cols>
  <sheetData>
    <row r="1" spans="1:13"/>
    <row r="2" spans="1:13">
      <c r="A2" s="1242" t="s">
        <v>303</v>
      </c>
      <c r="B2" s="1242"/>
      <c r="C2" s="1242"/>
      <c r="D2" s="1242"/>
      <c r="E2" s="1242"/>
      <c r="F2" s="1242"/>
      <c r="G2" s="1242"/>
      <c r="H2" s="1242"/>
      <c r="I2" s="1242"/>
    </row>
    <row r="3" spans="1:13">
      <c r="A3" s="1243" t="s">
        <v>304</v>
      </c>
      <c r="B3" s="1243"/>
      <c r="C3" s="1243"/>
      <c r="D3" s="1243"/>
      <c r="E3" s="1243"/>
      <c r="F3" s="1243"/>
      <c r="G3" s="1243"/>
      <c r="H3" s="1243"/>
      <c r="I3" s="1243"/>
    </row>
    <row r="4" spans="1:13">
      <c r="A4" s="1243"/>
      <c r="B4" s="1243"/>
      <c r="C4" s="1240"/>
      <c r="D4" s="1240"/>
      <c r="E4" s="1240"/>
      <c r="F4" s="1240"/>
      <c r="G4" s="1240"/>
    </row>
    <row r="5" spans="1:13">
      <c r="A5" s="1243"/>
      <c r="B5" s="1243"/>
      <c r="C5" s="1240"/>
      <c r="D5" s="1240"/>
      <c r="E5" s="1240"/>
      <c r="F5" s="1240"/>
      <c r="G5" s="1240"/>
    </row>
    <row r="6" spans="1:13" ht="12.75" customHeight="1">
      <c r="A6" s="1267" t="s">
        <v>305</v>
      </c>
      <c r="B6" s="1267"/>
      <c r="C6" s="1267"/>
      <c r="D6" s="1267"/>
      <c r="E6" s="1267"/>
      <c r="F6" s="1267"/>
      <c r="G6" s="1267"/>
      <c r="I6" s="390"/>
    </row>
    <row r="7" spans="1:13">
      <c r="A7" s="1267"/>
      <c r="B7" s="1267"/>
      <c r="C7" s="1267"/>
      <c r="D7" s="1267"/>
      <c r="E7" s="1267"/>
      <c r="F7" s="1267"/>
      <c r="G7" s="1267"/>
      <c r="I7" s="390"/>
    </row>
    <row r="8" spans="1:13">
      <c r="A8" s="381"/>
      <c r="B8" s="381"/>
      <c r="C8" s="382"/>
      <c r="D8" s="382"/>
      <c r="E8" s="382"/>
      <c r="F8" s="382"/>
    </row>
    <row r="9" spans="1:13">
      <c r="A9" s="1247" t="s">
        <v>306</v>
      </c>
      <c r="B9" s="1247"/>
      <c r="C9" s="1247"/>
      <c r="D9" s="1247"/>
      <c r="E9" s="1247"/>
      <c r="F9" s="1247"/>
      <c r="G9" s="1247"/>
      <c r="H9" s="918"/>
      <c r="I9" s="919"/>
    </row>
    <row r="10" spans="1:13">
      <c r="A10" s="382"/>
      <c r="B10" s="382"/>
      <c r="E10" s="306"/>
    </row>
    <row r="11" spans="1:13" ht="13.75" customHeight="1">
      <c r="C11" s="382"/>
      <c r="D11" s="1266" t="s">
        <v>307</v>
      </c>
      <c r="E11" s="1266"/>
      <c r="F11" s="1266"/>
    </row>
    <row r="12" spans="1:13">
      <c r="C12" s="382"/>
      <c r="D12" s="1266"/>
      <c r="E12" s="1266"/>
      <c r="F12" s="1266"/>
    </row>
    <row r="13" spans="1:13">
      <c r="A13" s="383"/>
      <c r="B13" s="383"/>
      <c r="C13" s="383"/>
      <c r="D13" s="1245" t="s">
        <v>308</v>
      </c>
      <c r="E13" s="1245"/>
      <c r="F13" s="1245"/>
      <c r="M13" s="71"/>
    </row>
    <row r="14" spans="1:13">
      <c r="A14" s="383"/>
      <c r="B14" s="383"/>
      <c r="C14" s="383"/>
      <c r="D14" s="376"/>
      <c r="L14" s="218"/>
    </row>
    <row r="15" spans="1:13">
      <c r="A15" s="384"/>
      <c r="B15" s="385" t="s">
        <v>2764</v>
      </c>
      <c r="C15" s="383"/>
      <c r="D15" s="1244" t="s">
        <v>310</v>
      </c>
      <c r="E15" s="1244"/>
      <c r="F15" s="1244"/>
      <c r="I15" s="390"/>
    </row>
    <row r="16" spans="1:13">
      <c r="A16" s="383"/>
      <c r="B16" s="383"/>
      <c r="C16" s="383"/>
      <c r="D16" s="1244"/>
      <c r="E16" s="1244"/>
      <c r="F16" s="1244"/>
      <c r="I16" s="390"/>
    </row>
    <row r="17" spans="1:9">
      <c r="A17" s="383"/>
      <c r="B17" s="383"/>
      <c r="C17" s="383"/>
      <c r="D17" s="1244"/>
      <c r="E17" s="1244"/>
      <c r="F17" s="1244"/>
      <c r="I17" s="390"/>
    </row>
    <row r="18" spans="1:9">
      <c r="A18" s="383"/>
      <c r="B18" s="383"/>
      <c r="C18" s="383"/>
      <c r="D18" s="346"/>
      <c r="E18" s="218" t="s">
        <v>311</v>
      </c>
      <c r="F18" s="346"/>
      <c r="I18" s="390"/>
    </row>
    <row r="19" spans="1:9">
      <c r="A19" s="383"/>
      <c r="B19" s="383"/>
      <c r="C19" s="383"/>
      <c r="I19" s="390"/>
    </row>
    <row r="20" spans="1:9">
      <c r="A20" s="384"/>
      <c r="B20" s="385" t="s">
        <v>2764</v>
      </c>
      <c r="D20" s="1244" t="s">
        <v>312</v>
      </c>
      <c r="E20" s="1244"/>
      <c r="F20" s="1244"/>
      <c r="I20" s="390"/>
    </row>
    <row r="21" spans="1:9">
      <c r="A21" s="384"/>
      <c r="D21" s="1244"/>
      <c r="E21" s="1244"/>
      <c r="F21" s="1244"/>
      <c r="I21" s="390"/>
    </row>
    <row r="22" spans="1:9">
      <c r="A22" s="384"/>
      <c r="D22" s="294"/>
      <c r="E22" s="71" t="s">
        <v>313</v>
      </c>
      <c r="F22" s="294"/>
      <c r="I22" s="390"/>
    </row>
    <row r="23" spans="1:9">
      <c r="A23" s="384"/>
      <c r="B23" s="384"/>
      <c r="D23" s="347"/>
      <c r="I23" s="390"/>
    </row>
    <row r="24" spans="1:9">
      <c r="A24" s="384"/>
      <c r="B24" s="385" t="s">
        <v>2765</v>
      </c>
      <c r="D24" s="1244" t="s">
        <v>314</v>
      </c>
      <c r="E24" s="1244"/>
      <c r="F24" s="1244"/>
      <c r="I24" s="390"/>
    </row>
    <row r="25" spans="1:9">
      <c r="A25" s="384"/>
      <c r="B25" s="384"/>
      <c r="D25" s="1244"/>
      <c r="E25" s="1244"/>
      <c r="F25" s="1244"/>
      <c r="I25" s="390"/>
    </row>
    <row r="26" spans="1:9">
      <c r="I26" s="390"/>
    </row>
    <row r="27" spans="1:9">
      <c r="A27" s="384"/>
      <c r="B27" s="385" t="s">
        <v>2764</v>
      </c>
      <c r="D27" s="1244" t="s">
        <v>315</v>
      </c>
      <c r="E27" s="1244"/>
      <c r="F27" s="1244"/>
      <c r="I27" s="390"/>
    </row>
    <row r="28" spans="1:9">
      <c r="D28" s="1244"/>
      <c r="E28" s="1244"/>
      <c r="F28" s="1244"/>
      <c r="I28" s="390"/>
    </row>
    <row r="29" spans="1:9">
      <c r="D29" s="1244"/>
      <c r="E29" s="1244"/>
      <c r="F29" s="1244"/>
      <c r="I29" s="390"/>
    </row>
    <row r="30" spans="1:9">
      <c r="D30" s="1244"/>
      <c r="E30" s="1244"/>
      <c r="F30" s="1244"/>
      <c r="I30" s="390"/>
    </row>
    <row r="31" spans="1:9">
      <c r="D31" s="1244"/>
      <c r="E31" s="1244"/>
      <c r="F31" s="1244"/>
      <c r="I31" s="390"/>
    </row>
    <row r="32" spans="1:9">
      <c r="D32" s="348"/>
      <c r="I32" s="390"/>
    </row>
    <row r="33" spans="1:9">
      <c r="B33" s="385" t="s">
        <v>2764</v>
      </c>
      <c r="D33" s="1244" t="s">
        <v>316</v>
      </c>
      <c r="E33" s="1244"/>
      <c r="F33" s="1244"/>
      <c r="I33" s="390"/>
    </row>
    <row r="34" spans="1:9">
      <c r="D34" s="1244"/>
      <c r="E34" s="1244"/>
      <c r="F34" s="1244"/>
      <c r="I34" s="390"/>
    </row>
    <row r="35" spans="1:9">
      <c r="A35" s="384"/>
      <c r="B35" s="384"/>
      <c r="D35" s="348"/>
      <c r="I35" s="390"/>
    </row>
    <row r="36" spans="1:9" ht="14.5" customHeight="1">
      <c r="A36" s="384"/>
      <c r="B36" s="385" t="s">
        <v>2764</v>
      </c>
      <c r="D36" s="1244" t="s">
        <v>317</v>
      </c>
      <c r="E36" s="1244"/>
      <c r="F36" s="1244"/>
      <c r="I36" s="390"/>
    </row>
    <row r="37" spans="1:9">
      <c r="A37" s="384"/>
      <c r="B37" s="384"/>
      <c r="D37" s="1244"/>
      <c r="E37" s="1244"/>
      <c r="F37" s="1244"/>
      <c r="I37" s="390"/>
    </row>
    <row r="38" spans="1:9">
      <c r="A38" s="384"/>
      <c r="B38" s="384"/>
      <c r="D38" s="1244"/>
      <c r="E38" s="1244"/>
      <c r="F38" s="1244"/>
      <c r="I38" s="390"/>
    </row>
    <row r="39" spans="1:9">
      <c r="A39" s="384"/>
      <c r="B39" s="384"/>
      <c r="D39" s="1244"/>
      <c r="E39" s="1244"/>
      <c r="F39" s="1244"/>
      <c r="I39" s="390"/>
    </row>
    <row r="40" spans="1:9">
      <c r="A40" s="384"/>
      <c r="B40" s="384"/>
      <c r="I40" s="390"/>
    </row>
    <row r="41" spans="1:9">
      <c r="A41" s="384"/>
      <c r="B41" s="385" t="s">
        <v>2765</v>
      </c>
      <c r="D41" s="1244" t="s">
        <v>318</v>
      </c>
      <c r="E41" s="1244"/>
      <c r="F41" s="1244"/>
      <c r="I41" s="390"/>
    </row>
    <row r="42" spans="1:9">
      <c r="A42" s="384"/>
      <c r="B42" s="384"/>
      <c r="D42" s="1244"/>
      <c r="E42" s="1244"/>
      <c r="F42" s="1244"/>
      <c r="I42" s="390"/>
    </row>
    <row r="43" spans="1:9">
      <c r="A43" s="384"/>
      <c r="B43" s="384"/>
      <c r="D43" s="1244"/>
      <c r="E43" s="1244"/>
      <c r="F43" s="1244"/>
      <c r="I43" s="390"/>
    </row>
    <row r="44" spans="1:9">
      <c r="A44" s="384"/>
      <c r="B44" s="384"/>
      <c r="D44" s="1244"/>
      <c r="E44" s="1244"/>
      <c r="F44" s="1244"/>
      <c r="I44" s="390"/>
    </row>
    <row r="45" spans="1:9">
      <c r="A45" s="384"/>
      <c r="B45" s="384"/>
      <c r="D45" s="1244"/>
      <c r="E45" s="1244"/>
      <c r="F45" s="1244"/>
      <c r="I45" s="390"/>
    </row>
    <row r="46" spans="1:9">
      <c r="A46" s="384"/>
      <c r="B46" s="384"/>
      <c r="D46" s="346"/>
      <c r="E46" s="346"/>
      <c r="F46" s="346"/>
      <c r="I46" s="390"/>
    </row>
    <row r="47" spans="1:9">
      <c r="A47" s="384"/>
      <c r="B47" s="385" t="s">
        <v>2765</v>
      </c>
      <c r="D47" s="1244" t="s">
        <v>319</v>
      </c>
      <c r="E47" s="1244"/>
      <c r="F47" s="1244"/>
      <c r="I47" s="390"/>
    </row>
    <row r="48" spans="1:9">
      <c r="A48" s="384"/>
      <c r="B48" s="384"/>
      <c r="D48" s="1244"/>
      <c r="E48" s="1244"/>
      <c r="F48" s="1244"/>
      <c r="I48" s="390"/>
    </row>
    <row r="49" spans="1:9">
      <c r="A49" s="384"/>
      <c r="B49" s="384"/>
      <c r="D49" s="1244"/>
      <c r="E49" s="1244"/>
      <c r="F49" s="1244"/>
      <c r="I49" s="390"/>
    </row>
    <row r="50" spans="1:9" ht="23.25" customHeight="1">
      <c r="A50" s="384"/>
      <c r="B50" s="384"/>
      <c r="D50" s="1244"/>
      <c r="E50" s="1244"/>
      <c r="F50" s="1244"/>
      <c r="I50" s="390"/>
    </row>
    <row r="51" spans="1:9">
      <c r="A51" s="384"/>
      <c r="B51" s="384"/>
      <c r="D51" s="347"/>
      <c r="I51" s="390"/>
    </row>
    <row r="52" spans="1:9" ht="14.5" customHeight="1">
      <c r="A52" s="384"/>
      <c r="B52" s="385" t="s">
        <v>2764</v>
      </c>
      <c r="D52" s="1244" t="s">
        <v>320</v>
      </c>
      <c r="E52" s="1244"/>
      <c r="F52" s="1244"/>
      <c r="I52" s="390"/>
    </row>
    <row r="53" spans="1:9">
      <c r="A53" s="384"/>
      <c r="B53" s="384"/>
      <c r="D53" s="1244"/>
      <c r="E53" s="1244"/>
      <c r="F53" s="1244"/>
      <c r="I53" s="390"/>
    </row>
    <row r="54" spans="1:9">
      <c r="A54" s="384"/>
      <c r="B54" s="384"/>
      <c r="D54" s="1244"/>
      <c r="E54" s="1244"/>
      <c r="F54" s="1244"/>
      <c r="I54" s="390"/>
    </row>
    <row r="55" spans="1:9">
      <c r="A55" s="384"/>
      <c r="B55" s="384"/>
      <c r="I55" s="390"/>
    </row>
    <row r="56" spans="1:9">
      <c r="A56" s="384"/>
      <c r="B56" s="385" t="s">
        <v>2764</v>
      </c>
      <c r="D56" s="1268" t="s">
        <v>321</v>
      </c>
      <c r="E56" s="1268"/>
      <c r="F56" s="1268"/>
      <c r="I56" s="390"/>
    </row>
    <row r="57" spans="1:9">
      <c r="A57" s="384"/>
      <c r="B57" s="384"/>
      <c r="D57" s="1268"/>
      <c r="E57" s="1268"/>
      <c r="F57" s="1268"/>
      <c r="I57" s="390"/>
    </row>
    <row r="58" spans="1:9">
      <c r="A58" s="384"/>
      <c r="B58" s="384"/>
      <c r="D58" s="294" t="s">
        <v>322</v>
      </c>
      <c r="E58" s="346"/>
      <c r="F58" s="346"/>
      <c r="I58" s="390"/>
    </row>
    <row r="59" spans="1:9">
      <c r="A59" s="384"/>
      <c r="B59" s="384"/>
      <c r="D59" s="346"/>
      <c r="E59" s="218" t="s">
        <v>311</v>
      </c>
      <c r="F59" s="346"/>
      <c r="I59" s="390"/>
    </row>
    <row r="60" spans="1:9">
      <c r="D60" s="348"/>
      <c r="I60" s="390"/>
    </row>
    <row r="61" spans="1:9">
      <c r="A61" s="384"/>
      <c r="B61" s="385" t="s">
        <v>2765</v>
      </c>
      <c r="D61" s="1244" t="s">
        <v>323</v>
      </c>
      <c r="E61" s="1244"/>
      <c r="F61" s="1244"/>
      <c r="I61" s="390"/>
    </row>
    <row r="62" spans="1:9">
      <c r="D62" s="1244"/>
      <c r="E62" s="1244"/>
      <c r="F62" s="1244"/>
      <c r="I62" s="390"/>
    </row>
    <row r="63" spans="1:9">
      <c r="D63" s="1244"/>
      <c r="E63" s="1244"/>
      <c r="F63" s="1244"/>
      <c r="I63" s="390"/>
    </row>
    <row r="64" spans="1:9">
      <c r="I64" s="390"/>
    </row>
    <row r="65" spans="1:9">
      <c r="A65" s="384"/>
      <c r="B65" s="385" t="s">
        <v>2765</v>
      </c>
      <c r="D65" s="1244" t="s">
        <v>324</v>
      </c>
      <c r="E65" s="1244"/>
      <c r="F65" s="1244"/>
      <c r="I65" s="390"/>
    </row>
    <row r="66" spans="1:9">
      <c r="D66" s="1244"/>
      <c r="E66" s="1244"/>
      <c r="F66" s="1244"/>
      <c r="I66" s="390"/>
    </row>
    <row r="67" spans="1:9">
      <c r="I67" s="390"/>
    </row>
    <row r="68" spans="1:9">
      <c r="A68" s="384"/>
      <c r="B68" s="385" t="s">
        <v>2764</v>
      </c>
      <c r="D68" s="1244" t="s">
        <v>325</v>
      </c>
      <c r="E68" s="1244"/>
      <c r="F68" s="1244"/>
      <c r="I68" s="390"/>
    </row>
    <row r="69" spans="1:9">
      <c r="D69" s="1244"/>
      <c r="E69" s="1244"/>
      <c r="F69" s="1244"/>
      <c r="I69" s="390"/>
    </row>
    <row r="70" spans="1:9">
      <c r="D70" s="1244"/>
      <c r="E70" s="1244"/>
      <c r="F70" s="1244"/>
      <c r="I70" s="390"/>
    </row>
    <row r="71" spans="1:9">
      <c r="I71" s="390"/>
    </row>
    <row r="72" spans="1:9">
      <c r="A72" s="384"/>
      <c r="B72" s="385" t="s">
        <v>2764</v>
      </c>
      <c r="D72" s="1244" t="s">
        <v>326</v>
      </c>
      <c r="E72" s="1244"/>
      <c r="F72" s="1244"/>
      <c r="I72" s="390"/>
    </row>
    <row r="73" spans="1:9">
      <c r="D73" s="1244"/>
      <c r="E73" s="1244"/>
      <c r="F73" s="1244"/>
      <c r="I73" s="390"/>
    </row>
    <row r="74" spans="1:9">
      <c r="A74" s="384"/>
      <c r="B74" s="384"/>
      <c r="D74" s="347"/>
      <c r="I74" s="390"/>
    </row>
    <row r="75" spans="1:9">
      <c r="A75" s="1247" t="s">
        <v>327</v>
      </c>
      <c r="B75" s="1247"/>
      <c r="C75" s="1247"/>
      <c r="D75" s="1247"/>
      <c r="E75" s="1247"/>
      <c r="F75" s="1247"/>
      <c r="G75" s="1247"/>
      <c r="H75" s="918"/>
      <c r="I75" s="1041"/>
    </row>
    <row r="76" spans="1:9">
      <c r="I76" s="390"/>
    </row>
    <row r="77" spans="1:9">
      <c r="C77" s="386"/>
      <c r="D77" s="1246" t="s">
        <v>328</v>
      </c>
      <c r="E77" s="1246"/>
      <c r="F77" s="1246"/>
      <c r="I77" s="390"/>
    </row>
    <row r="78" spans="1:9">
      <c r="A78" s="347"/>
      <c r="B78" s="347"/>
      <c r="D78" s="1244" t="s">
        <v>329</v>
      </c>
      <c r="E78" s="1244"/>
      <c r="F78" s="1244"/>
      <c r="I78" s="390"/>
    </row>
    <row r="79" spans="1:9">
      <c r="A79" s="347"/>
      <c r="B79" s="347"/>
      <c r="I79" s="390"/>
    </row>
    <row r="80" spans="1:9" ht="13.75" customHeight="1">
      <c r="A80" s="384"/>
      <c r="B80" s="385" t="s">
        <v>2764</v>
      </c>
      <c r="D80" s="1244" t="s">
        <v>330</v>
      </c>
      <c r="E80" s="1244"/>
      <c r="F80" s="1244"/>
      <c r="I80" s="390"/>
    </row>
    <row r="81" spans="1:9">
      <c r="A81" s="384"/>
      <c r="B81" s="384"/>
      <c r="D81" s="1244"/>
      <c r="E81" s="1244"/>
      <c r="F81" s="1244"/>
      <c r="I81" s="390"/>
    </row>
    <row r="82" spans="1:9">
      <c r="A82" s="384"/>
      <c r="B82" s="384"/>
      <c r="D82" s="1244"/>
      <c r="E82" s="1244"/>
      <c r="F82" s="1244"/>
      <c r="I82" s="390"/>
    </row>
    <row r="83" spans="1:9">
      <c r="A83" s="384"/>
      <c r="B83" s="384"/>
      <c r="D83" s="1244"/>
      <c r="E83" s="1244"/>
      <c r="F83" s="1244"/>
      <c r="I83" s="390"/>
    </row>
    <row r="84" spans="1:9">
      <c r="A84" s="384"/>
      <c r="B84" s="384"/>
      <c r="D84" s="1244"/>
      <c r="E84" s="1244"/>
      <c r="F84" s="1244"/>
      <c r="I84" s="390"/>
    </row>
    <row r="85" spans="1:9">
      <c r="A85" s="384"/>
      <c r="B85" s="384"/>
      <c r="D85" s="1244"/>
      <c r="E85" s="1244"/>
      <c r="F85" s="1244"/>
      <c r="I85" s="390"/>
    </row>
    <row r="86" spans="1:9">
      <c r="A86" s="384"/>
      <c r="B86" s="384"/>
      <c r="D86" s="1244"/>
      <c r="E86" s="1244"/>
      <c r="F86" s="1244"/>
      <c r="I86" s="390"/>
    </row>
    <row r="87" spans="1:9">
      <c r="A87" s="384"/>
      <c r="B87" s="384"/>
      <c r="D87" s="1244"/>
      <c r="E87" s="1244"/>
      <c r="F87" s="1244"/>
      <c r="I87" s="390"/>
    </row>
    <row r="88" spans="1:9">
      <c r="A88" s="384"/>
      <c r="B88" s="384"/>
      <c r="D88" s="287"/>
      <c r="E88" s="287"/>
      <c r="F88" s="287"/>
      <c r="I88" s="390"/>
    </row>
    <row r="89" spans="1:9" ht="15" customHeight="1">
      <c r="A89" s="384"/>
      <c r="B89" s="385" t="s">
        <v>2764</v>
      </c>
      <c r="D89" s="1244" t="s">
        <v>331</v>
      </c>
      <c r="E89" s="1244"/>
      <c r="F89" s="1244"/>
      <c r="I89" s="390"/>
    </row>
    <row r="90" spans="1:9">
      <c r="A90" s="384"/>
      <c r="B90" s="384"/>
      <c r="D90" s="1244"/>
      <c r="E90" s="1244"/>
      <c r="F90" s="1244"/>
      <c r="I90" s="390"/>
    </row>
    <row r="91" spans="1:9">
      <c r="A91" s="384"/>
      <c r="B91" s="384"/>
      <c r="D91" s="346"/>
      <c r="E91" s="346"/>
      <c r="F91" s="346"/>
      <c r="I91" s="390"/>
    </row>
    <row r="92" spans="1:9">
      <c r="A92" s="384"/>
      <c r="B92" s="385" t="s">
        <v>2764</v>
      </c>
      <c r="D92" s="1244" t="s">
        <v>332</v>
      </c>
      <c r="E92" s="1244"/>
      <c r="F92" s="1244"/>
      <c r="I92" s="390"/>
    </row>
    <row r="93" spans="1:9">
      <c r="A93" s="384"/>
      <c r="B93" s="384"/>
      <c r="D93" s="1244"/>
      <c r="E93" s="1244"/>
      <c r="F93" s="1244"/>
      <c r="I93" s="390"/>
    </row>
    <row r="94" spans="1:9">
      <c r="A94" s="384"/>
      <c r="B94" s="384"/>
      <c r="D94" s="1244"/>
      <c r="E94" s="1244"/>
      <c r="F94" s="1244"/>
      <c r="I94" s="390"/>
    </row>
    <row r="95" spans="1:9">
      <c r="A95" s="384"/>
      <c r="B95" s="384"/>
      <c r="D95" s="346"/>
      <c r="E95" s="346"/>
      <c r="F95" s="346"/>
      <c r="I95" s="390"/>
    </row>
    <row r="96" spans="1:9">
      <c r="A96" s="384"/>
      <c r="B96" s="385" t="s">
        <v>2764</v>
      </c>
      <c r="D96" s="1244" t="s">
        <v>333</v>
      </c>
      <c r="E96" s="1244"/>
      <c r="F96" s="1244"/>
      <c r="I96" s="390"/>
    </row>
    <row r="97" spans="1:9" s="880" customFormat="1">
      <c r="A97" s="878"/>
      <c r="B97" s="878"/>
      <c r="C97" s="879"/>
      <c r="D97" s="1244"/>
      <c r="E97" s="1244"/>
      <c r="F97" s="1244"/>
      <c r="I97" s="1042"/>
    </row>
    <row r="98" spans="1:9">
      <c r="A98" s="384"/>
      <c r="B98" s="384"/>
      <c r="D98" s="294"/>
      <c r="E98" s="218" t="s">
        <v>334</v>
      </c>
      <c r="F98" s="346"/>
      <c r="I98" s="390"/>
    </row>
    <row r="99" spans="1:9">
      <c r="A99" s="384"/>
      <c r="B99" s="384"/>
      <c r="D99" s="287"/>
      <c r="E99" s="287"/>
      <c r="F99" s="287"/>
      <c r="I99" s="390"/>
    </row>
    <row r="100" spans="1:9">
      <c r="A100" s="384"/>
      <c r="B100" s="385" t="s">
        <v>2765</v>
      </c>
      <c r="D100" s="1244" t="s">
        <v>335</v>
      </c>
      <c r="E100" s="1244"/>
      <c r="F100" s="1244"/>
      <c r="I100" s="390"/>
    </row>
    <row r="101" spans="1:9">
      <c r="A101" s="384"/>
      <c r="B101" s="384"/>
      <c r="D101" s="1244"/>
      <c r="E101" s="1244"/>
      <c r="F101" s="1244"/>
      <c r="I101" s="390"/>
    </row>
    <row r="102" spans="1:9">
      <c r="A102" s="384"/>
      <c r="B102" s="384"/>
      <c r="D102" s="346"/>
      <c r="E102" s="346"/>
      <c r="F102" s="346"/>
      <c r="I102" s="390"/>
    </row>
    <row r="103" spans="1:9" ht="14.5" customHeight="1">
      <c r="A103" s="384"/>
      <c r="B103" s="385" t="s">
        <v>2765</v>
      </c>
      <c r="D103" s="1244" t="s">
        <v>336</v>
      </c>
      <c r="E103" s="1244"/>
      <c r="F103" s="1244"/>
      <c r="I103" s="390"/>
    </row>
    <row r="104" spans="1:9">
      <c r="A104" s="384"/>
      <c r="B104" s="384"/>
      <c r="D104" s="1244"/>
      <c r="E104" s="1244"/>
      <c r="F104" s="1244"/>
      <c r="I104" s="390"/>
    </row>
    <row r="105" spans="1:9">
      <c r="A105" s="384"/>
      <c r="B105" s="384"/>
      <c r="D105" s="1244"/>
      <c r="E105" s="1244"/>
      <c r="F105" s="1244"/>
      <c r="I105" s="390"/>
    </row>
    <row r="106" spans="1:9">
      <c r="A106" s="384"/>
      <c r="B106" s="384"/>
      <c r="D106" s="1244"/>
      <c r="E106" s="1244"/>
      <c r="F106" s="1244"/>
      <c r="I106" s="390"/>
    </row>
    <row r="107" spans="1:9">
      <c r="A107" s="384"/>
      <c r="B107" s="384"/>
      <c r="D107" s="1244"/>
      <c r="E107" s="1244"/>
      <c r="F107" s="1244"/>
      <c r="I107" s="390"/>
    </row>
    <row r="108" spans="1:9">
      <c r="A108" s="384"/>
      <c r="B108" s="384"/>
      <c r="D108" s="1244"/>
      <c r="E108" s="1244"/>
      <c r="F108" s="1244"/>
      <c r="I108" s="390"/>
    </row>
    <row r="109" spans="1:9">
      <c r="A109" s="384"/>
      <c r="B109" s="384"/>
      <c r="D109" s="1244"/>
      <c r="E109" s="1244"/>
      <c r="F109" s="1244"/>
      <c r="I109" s="390"/>
    </row>
    <row r="110" spans="1:9">
      <c r="A110" s="384"/>
      <c r="B110" s="384"/>
      <c r="D110" s="1244"/>
      <c r="E110" s="1244"/>
      <c r="F110" s="1244"/>
      <c r="I110" s="390"/>
    </row>
    <row r="111" spans="1:9">
      <c r="A111" s="384"/>
      <c r="B111" s="384"/>
      <c r="D111" s="1244"/>
      <c r="E111" s="1244"/>
      <c r="F111" s="1244"/>
      <c r="I111" s="390"/>
    </row>
    <row r="112" spans="1:9">
      <c r="A112" s="384"/>
      <c r="B112" s="384"/>
      <c r="D112" s="1244"/>
      <c r="E112" s="1244"/>
      <c r="F112" s="1244"/>
      <c r="I112" s="390"/>
    </row>
    <row r="113" spans="1:9">
      <c r="A113" s="384"/>
      <c r="B113" s="384"/>
      <c r="D113" s="1244"/>
      <c r="E113" s="1244"/>
      <c r="F113" s="1244"/>
      <c r="I113" s="390"/>
    </row>
    <row r="114" spans="1:9">
      <c r="A114" s="384"/>
      <c r="B114" s="384"/>
      <c r="D114" s="1244"/>
      <c r="E114" s="1244"/>
      <c r="F114" s="1244"/>
      <c r="I114" s="390"/>
    </row>
    <row r="115" spans="1:9">
      <c r="A115" s="384"/>
      <c r="B115" s="384"/>
      <c r="D115" s="1244"/>
      <c r="E115" s="1244"/>
      <c r="F115" s="1244"/>
      <c r="I115" s="390"/>
    </row>
    <row r="116" spans="1:9">
      <c r="A116" s="384"/>
      <c r="B116" s="384"/>
      <c r="D116" s="1244"/>
      <c r="E116" s="1244"/>
      <c r="F116" s="1244"/>
      <c r="I116" s="390"/>
    </row>
    <row r="117" spans="1:9">
      <c r="A117" s="384"/>
      <c r="B117" s="384"/>
      <c r="D117" s="1244"/>
      <c r="E117" s="1244"/>
      <c r="F117" s="1244"/>
      <c r="I117" s="390"/>
    </row>
    <row r="118" spans="1:9">
      <c r="A118" s="384"/>
      <c r="B118" s="384"/>
      <c r="D118" s="423"/>
      <c r="E118" s="423"/>
      <c r="F118" s="423"/>
      <c r="I118" s="390"/>
    </row>
    <row r="119" spans="1:9" ht="14.25" customHeight="1">
      <c r="A119" s="384"/>
      <c r="B119" s="385" t="s">
        <v>2765</v>
      </c>
      <c r="D119" s="1264" t="s">
        <v>337</v>
      </c>
      <c r="E119" s="1264"/>
      <c r="F119" s="1264"/>
      <c r="I119" s="390"/>
    </row>
    <row r="120" spans="1:9">
      <c r="A120" s="384"/>
      <c r="B120" s="384"/>
      <c r="D120" s="1264"/>
      <c r="E120" s="1264"/>
      <c r="F120" s="1264"/>
      <c r="I120" s="390"/>
    </row>
    <row r="121" spans="1:9">
      <c r="A121" s="384"/>
      <c r="B121" s="384"/>
      <c r="D121" s="1264"/>
      <c r="E121" s="1264"/>
      <c r="F121" s="1264"/>
      <c r="I121" s="390"/>
    </row>
    <row r="122" spans="1:9">
      <c r="A122" s="384"/>
      <c r="B122" s="384"/>
      <c r="D122" s="1264"/>
      <c r="E122" s="1264"/>
      <c r="F122" s="1264"/>
      <c r="I122" s="390"/>
    </row>
    <row r="123" spans="1:9">
      <c r="A123" s="384"/>
      <c r="B123" s="384"/>
      <c r="D123" s="1264"/>
      <c r="E123" s="1264"/>
      <c r="F123" s="1264"/>
      <c r="I123" s="390"/>
    </row>
    <row r="124" spans="1:9">
      <c r="A124" s="384"/>
      <c r="B124" s="384"/>
      <c r="D124" s="1264"/>
      <c r="E124" s="1264"/>
      <c r="F124" s="1264"/>
      <c r="I124" s="390"/>
    </row>
    <row r="125" spans="1:9">
      <c r="A125" s="384"/>
      <c r="B125" s="384"/>
      <c r="D125" s="1264"/>
      <c r="E125" s="1264"/>
      <c r="F125" s="1264"/>
      <c r="I125" s="390"/>
    </row>
    <row r="126" spans="1:9">
      <c r="A126" s="384"/>
      <c r="B126" s="384"/>
      <c r="D126" s="1264"/>
      <c r="E126" s="1264"/>
      <c r="F126" s="1264"/>
      <c r="I126" s="390"/>
    </row>
    <row r="127" spans="1:9">
      <c r="C127" s="304"/>
      <c r="D127" s="424"/>
      <c r="E127" s="424"/>
      <c r="F127" s="424"/>
      <c r="I127" s="390"/>
    </row>
    <row r="128" spans="1:9">
      <c r="A128" s="384"/>
      <c r="B128" s="385" t="s">
        <v>2764</v>
      </c>
      <c r="C128" s="304"/>
      <c r="D128" s="1264" t="s">
        <v>338</v>
      </c>
      <c r="E128" s="1264"/>
      <c r="F128" s="1264"/>
      <c r="I128" s="390"/>
    </row>
    <row r="129" spans="1:9">
      <c r="A129" s="384"/>
      <c r="B129" s="384"/>
      <c r="C129" s="304"/>
      <c r="D129" s="1264"/>
      <c r="E129" s="1264"/>
      <c r="F129" s="1264"/>
      <c r="I129" s="390"/>
    </row>
    <row r="130" spans="1:9">
      <c r="I130" s="390"/>
    </row>
    <row r="131" spans="1:9">
      <c r="A131" s="384"/>
      <c r="B131" s="385" t="s">
        <v>2764</v>
      </c>
      <c r="D131" s="1244" t="s">
        <v>339</v>
      </c>
      <c r="E131" s="1244"/>
      <c r="F131" s="1244"/>
      <c r="I131" s="390"/>
    </row>
    <row r="132" spans="1:9">
      <c r="D132" s="1244"/>
      <c r="E132" s="1244"/>
      <c r="F132" s="1244"/>
      <c r="I132" s="390"/>
    </row>
    <row r="133" spans="1:9">
      <c r="D133" s="1244"/>
      <c r="E133" s="1244"/>
      <c r="F133" s="1244"/>
      <c r="I133" s="390"/>
    </row>
    <row r="134" spans="1:9">
      <c r="D134" s="1244"/>
      <c r="E134" s="1244"/>
      <c r="F134" s="1244"/>
      <c r="I134" s="390"/>
    </row>
    <row r="135" spans="1:9">
      <c r="D135" s="1244"/>
      <c r="E135" s="1244"/>
      <c r="F135" s="1244"/>
      <c r="I135" s="390"/>
    </row>
    <row r="136" spans="1:9">
      <c r="I136" s="390"/>
    </row>
    <row r="137" spans="1:9">
      <c r="A137" s="384"/>
      <c r="B137" s="385" t="s">
        <v>2764</v>
      </c>
      <c r="D137" s="1244" t="s">
        <v>340</v>
      </c>
      <c r="E137" s="1244"/>
      <c r="F137" s="1244"/>
      <c r="I137" s="390"/>
    </row>
    <row r="138" spans="1:9" s="319" customFormat="1" ht="13.75" customHeight="1">
      <c r="A138" s="388"/>
      <c r="B138" s="388"/>
      <c r="C138" s="388"/>
      <c r="D138" s="1244"/>
      <c r="E138" s="1244"/>
      <c r="F138" s="1244"/>
      <c r="I138" s="1043"/>
    </row>
    <row r="139" spans="1:9" ht="13.75" customHeight="1">
      <c r="D139" s="1244"/>
      <c r="E139" s="1244"/>
      <c r="F139" s="1244"/>
      <c r="I139" s="390"/>
    </row>
    <row r="140" spans="1:9" ht="13.75" customHeight="1">
      <c r="D140" s="1244"/>
      <c r="E140" s="1244"/>
      <c r="F140" s="1244"/>
      <c r="I140" s="390"/>
    </row>
    <row r="141" spans="1:9" ht="13.75" customHeight="1">
      <c r="D141" s="1244"/>
      <c r="E141" s="1244"/>
      <c r="F141" s="1244"/>
      <c r="I141" s="390"/>
    </row>
    <row r="142" spans="1:9" ht="13.75" customHeight="1">
      <c r="A142" s="389"/>
      <c r="B142" s="389"/>
      <c r="D142" s="1244"/>
      <c r="E142" s="1244"/>
      <c r="F142" s="1244"/>
      <c r="I142" s="390"/>
    </row>
    <row r="143" spans="1:9" ht="13.75" customHeight="1">
      <c r="D143" s="1244"/>
      <c r="E143" s="1244"/>
      <c r="F143" s="1244"/>
      <c r="I143" s="390"/>
    </row>
    <row r="144" spans="1:9" ht="13.75" customHeight="1">
      <c r="D144" s="1244"/>
      <c r="E144" s="1244"/>
      <c r="F144" s="1244"/>
      <c r="I144" s="390"/>
    </row>
    <row r="145" spans="2:9" ht="13.75" customHeight="1">
      <c r="D145" s="1244"/>
      <c r="E145" s="1244"/>
      <c r="F145" s="1244"/>
      <c r="I145" s="390"/>
    </row>
    <row r="146" spans="2:9" ht="13.75" customHeight="1">
      <c r="D146" s="1244"/>
      <c r="E146" s="1244"/>
      <c r="F146" s="1244"/>
      <c r="I146" s="390"/>
    </row>
    <row r="147" spans="2:9" ht="13.75" customHeight="1">
      <c r="D147" s="1244"/>
      <c r="E147" s="1244"/>
      <c r="F147" s="1244"/>
      <c r="I147" s="390"/>
    </row>
    <row r="148" spans="2:9" ht="13.75" customHeight="1">
      <c r="D148" s="1244"/>
      <c r="E148" s="1244"/>
      <c r="F148" s="1244"/>
      <c r="I148" s="390"/>
    </row>
    <row r="149" spans="2:9" ht="13.75" customHeight="1">
      <c r="D149" s="1244"/>
      <c r="E149" s="1244"/>
      <c r="F149" s="1244"/>
      <c r="I149" s="390"/>
    </row>
    <row r="150" spans="2:9" ht="13.75" customHeight="1">
      <c r="D150" s="376"/>
      <c r="E150" s="347"/>
      <c r="F150" s="347"/>
      <c r="I150" s="390"/>
    </row>
    <row r="151" spans="2:9" ht="13.75" customHeight="1">
      <c r="B151" s="385" t="s">
        <v>2765</v>
      </c>
      <c r="D151" s="1244" t="s">
        <v>341</v>
      </c>
      <c r="E151" s="1244"/>
      <c r="F151" s="1244"/>
      <c r="I151" s="390"/>
    </row>
    <row r="152" spans="2:9" ht="13.75" customHeight="1">
      <c r="D152" s="1244"/>
      <c r="E152" s="1244"/>
      <c r="F152" s="1244"/>
      <c r="I152" s="390"/>
    </row>
    <row r="153" spans="2:9" ht="13.75" customHeight="1">
      <c r="D153" s="1244"/>
      <c r="E153" s="1244"/>
      <c r="F153" s="1244"/>
      <c r="I153" s="390"/>
    </row>
    <row r="154" spans="2:9" ht="13.75" customHeight="1">
      <c r="D154" s="1244"/>
      <c r="E154" s="1244"/>
      <c r="F154" s="1244"/>
      <c r="I154" s="390"/>
    </row>
    <row r="155" spans="2:9" ht="13.75" customHeight="1">
      <c r="D155" s="1244"/>
      <c r="E155" s="1244"/>
      <c r="F155" s="1244"/>
      <c r="I155" s="390"/>
    </row>
    <row r="156" spans="2:9" ht="13.75" customHeight="1">
      <c r="D156" s="1244"/>
      <c r="E156" s="1244"/>
      <c r="F156" s="1244"/>
      <c r="I156" s="390"/>
    </row>
    <row r="157" spans="2:9" ht="13.75" customHeight="1">
      <c r="D157" s="1244"/>
      <c r="E157" s="1244"/>
      <c r="F157" s="1244"/>
      <c r="I157" s="390"/>
    </row>
    <row r="158" spans="2:9" ht="13.75" customHeight="1">
      <c r="D158" s="1244"/>
      <c r="E158" s="1244"/>
      <c r="F158" s="1244"/>
      <c r="I158" s="390"/>
    </row>
    <row r="159" spans="2:9" ht="13.75" customHeight="1">
      <c r="D159" s="1244"/>
      <c r="E159" s="1244"/>
      <c r="F159" s="1244"/>
      <c r="I159" s="390"/>
    </row>
    <row r="160" spans="2:9" ht="13.75" customHeight="1">
      <c r="D160" s="1244"/>
      <c r="E160" s="1244"/>
      <c r="F160" s="1244"/>
      <c r="I160" s="390"/>
    </row>
    <row r="161" spans="1:9" ht="13.75" customHeight="1">
      <c r="D161" s="1244"/>
      <c r="E161" s="1244"/>
      <c r="F161" s="1244"/>
      <c r="I161" s="390"/>
    </row>
    <row r="162" spans="1:9" ht="13.75" customHeight="1">
      <c r="D162" s="1244"/>
      <c r="E162" s="1244"/>
      <c r="F162" s="1244"/>
      <c r="I162" s="390"/>
    </row>
    <row r="163" spans="1:9" ht="13.75" customHeight="1">
      <c r="D163" s="1244"/>
      <c r="E163" s="1244"/>
      <c r="F163" s="1244"/>
      <c r="I163" s="390"/>
    </row>
    <row r="164" spans="1:9" ht="13.75" customHeight="1">
      <c r="D164" s="1244"/>
      <c r="E164" s="1244"/>
      <c r="F164" s="1244"/>
      <c r="I164" s="390"/>
    </row>
    <row r="165" spans="1:9" ht="13.75" customHeight="1">
      <c r="D165" s="1244"/>
      <c r="E165" s="1244"/>
      <c r="F165" s="1244"/>
      <c r="I165" s="390"/>
    </row>
    <row r="166" spans="1:9" ht="13.75" customHeight="1">
      <c r="D166" s="1244"/>
      <c r="E166" s="1244"/>
      <c r="F166" s="1244"/>
      <c r="I166" s="390"/>
    </row>
    <row r="167" spans="1:9" ht="13.75" customHeight="1">
      <c r="D167" s="1244"/>
      <c r="E167" s="1244"/>
      <c r="F167" s="1244"/>
      <c r="I167" s="390"/>
    </row>
    <row r="168" spans="1:9" ht="13.75" customHeight="1">
      <c r="D168" s="1244"/>
      <c r="E168" s="1244"/>
      <c r="F168" s="1244"/>
      <c r="I168" s="390"/>
    </row>
    <row r="169" spans="1:9" ht="13.75" customHeight="1">
      <c r="D169" s="1265" t="s">
        <v>342</v>
      </c>
      <c r="E169" s="1265"/>
      <c r="F169" s="1265"/>
      <c r="G169" s="407"/>
      <c r="I169" s="390"/>
    </row>
    <row r="170" spans="1:9" ht="13.75" customHeight="1">
      <c r="D170" s="1256"/>
      <c r="E170" s="1256"/>
      <c r="F170" s="1256"/>
      <c r="G170" s="1256"/>
      <c r="I170" s="390"/>
    </row>
    <row r="171" spans="1:9" ht="14.5" customHeight="1">
      <c r="A171" s="389"/>
      <c r="B171" s="385" t="s">
        <v>2764</v>
      </c>
      <c r="C171" s="376"/>
      <c r="D171" s="1224" t="s">
        <v>343</v>
      </c>
      <c r="E171" s="1224"/>
      <c r="F171" s="1224"/>
      <c r="G171" s="376"/>
      <c r="I171" s="390"/>
    </row>
    <row r="172" spans="1:9" ht="14.5" customHeight="1">
      <c r="A172" s="389"/>
      <c r="B172" s="389"/>
      <c r="C172" s="376"/>
      <c r="D172" s="1224"/>
      <c r="E172" s="1224"/>
      <c r="F172" s="1224"/>
      <c r="G172" s="376"/>
      <c r="I172" s="390"/>
    </row>
    <row r="173" spans="1:9" ht="14.5" customHeight="1">
      <c r="A173" s="389"/>
      <c r="B173" s="389"/>
      <c r="C173" s="376"/>
      <c r="D173" s="1224"/>
      <c r="E173" s="1224"/>
      <c r="F173" s="1224"/>
      <c r="G173" s="376"/>
      <c r="I173" s="390"/>
    </row>
    <row r="174" spans="1:9" ht="14.5" customHeight="1">
      <c r="A174" s="389"/>
      <c r="B174" s="389"/>
      <c r="C174" s="376"/>
      <c r="D174" s="1224"/>
      <c r="E174" s="1224"/>
      <c r="F174" s="1224"/>
      <c r="G174" s="376"/>
      <c r="I174" s="390"/>
    </row>
    <row r="175" spans="1:9" ht="13.75" customHeight="1">
      <c r="A175" s="389"/>
      <c r="B175" s="389"/>
      <c r="C175" s="376"/>
      <c r="D175" s="1224"/>
      <c r="E175" s="1224"/>
      <c r="F175" s="1224"/>
      <c r="G175" s="376"/>
      <c r="I175" s="390"/>
    </row>
    <row r="176" spans="1:9" ht="13.75" customHeight="1">
      <c r="A176" s="389"/>
      <c r="B176" s="389"/>
      <c r="C176" s="376"/>
      <c r="D176" s="376"/>
      <c r="E176" s="376"/>
      <c r="F176" s="376"/>
      <c r="G176" s="376"/>
      <c r="I176" s="390"/>
    </row>
    <row r="177" spans="1:9" ht="13.75" customHeight="1">
      <c r="A177" s="389"/>
      <c r="B177" s="385" t="s">
        <v>2765</v>
      </c>
      <c r="C177" s="376"/>
      <c r="D177" s="1224" t="s">
        <v>344</v>
      </c>
      <c r="E177" s="1224"/>
      <c r="F177" s="1224"/>
      <c r="G177" s="376"/>
      <c r="I177" s="390"/>
    </row>
    <row r="178" spans="1:9" ht="13.75" customHeight="1">
      <c r="A178" s="389"/>
      <c r="B178" s="389"/>
      <c r="C178" s="376"/>
      <c r="D178" s="1224"/>
      <c r="E178" s="1224"/>
      <c r="F178" s="1224"/>
      <c r="G178" s="376"/>
      <c r="I178" s="390"/>
    </row>
    <row r="179" spans="1:9" ht="13.75" customHeight="1">
      <c r="A179" s="389"/>
      <c r="B179" s="389"/>
      <c r="C179" s="376"/>
      <c r="D179" s="1224"/>
      <c r="E179" s="1224"/>
      <c r="F179" s="1224"/>
      <c r="G179" s="376"/>
      <c r="I179" s="390"/>
    </row>
    <row r="180" spans="1:9" ht="13.75" customHeight="1">
      <c r="A180" s="389"/>
      <c r="B180" s="389"/>
      <c r="C180" s="376"/>
      <c r="D180" s="1224"/>
      <c r="E180" s="1224"/>
      <c r="F180" s="1224"/>
      <c r="G180" s="376"/>
      <c r="I180" s="390"/>
    </row>
    <row r="181" spans="1:9" ht="13.75" customHeight="1">
      <c r="D181" s="347"/>
      <c r="E181" s="347"/>
      <c r="F181" s="347"/>
      <c r="I181" s="390"/>
    </row>
    <row r="182" spans="1:9" ht="13.75" customHeight="1">
      <c r="B182" s="385" t="s">
        <v>2765</v>
      </c>
      <c r="D182" s="1248" t="s">
        <v>345</v>
      </c>
      <c r="E182" s="1248"/>
      <c r="F182" s="1248"/>
      <c r="I182" s="390"/>
    </row>
    <row r="183" spans="1:9" ht="13.75" customHeight="1">
      <c r="D183" s="1248"/>
      <c r="E183" s="1248"/>
      <c r="F183" s="1248"/>
      <c r="I183" s="390"/>
    </row>
    <row r="184" spans="1:9" ht="13.75" customHeight="1">
      <c r="D184" s="1248"/>
      <c r="E184" s="1248"/>
      <c r="F184" s="1248"/>
      <c r="I184" s="390"/>
    </row>
    <row r="185" spans="1:9" ht="13.75" customHeight="1">
      <c r="A185" s="390"/>
      <c r="B185" s="390"/>
      <c r="E185" s="347"/>
      <c r="F185" s="347"/>
      <c r="I185" s="390"/>
    </row>
    <row r="186" spans="1:9">
      <c r="A186" s="1247" t="s">
        <v>346</v>
      </c>
      <c r="B186" s="1247"/>
      <c r="C186" s="1247"/>
      <c r="D186" s="1247"/>
      <c r="E186" s="1247"/>
      <c r="F186" s="1247"/>
      <c r="G186" s="1247"/>
      <c r="H186" s="918"/>
      <c r="I186" s="1041"/>
    </row>
    <row r="187" spans="1:9" ht="12" customHeight="1">
      <c r="D187" s="347"/>
      <c r="E187" s="347"/>
      <c r="F187" s="347"/>
      <c r="I187" s="390"/>
    </row>
    <row r="188" spans="1:9">
      <c r="B188" s="1250" t="s">
        <v>347</v>
      </c>
      <c r="C188" s="1250"/>
      <c r="D188" s="1250"/>
      <c r="E188" s="1250"/>
      <c r="F188" s="1250"/>
      <c r="I188" s="390"/>
    </row>
    <row r="189" spans="1:9">
      <c r="B189" s="294" t="s">
        <v>348</v>
      </c>
      <c r="C189" s="294"/>
      <c r="D189" s="294"/>
      <c r="E189" s="294"/>
      <c r="F189" s="294"/>
      <c r="I189" s="390"/>
    </row>
    <row r="190" spans="1:9" ht="12" customHeight="1">
      <c r="A190" s="382"/>
      <c r="B190" s="382"/>
      <c r="C190" s="382"/>
      <c r="I190" s="390"/>
    </row>
    <row r="191" spans="1:9">
      <c r="A191" s="1247" t="s">
        <v>349</v>
      </c>
      <c r="B191" s="1247"/>
      <c r="C191" s="1247"/>
      <c r="D191" s="1247"/>
      <c r="E191" s="1247"/>
      <c r="F191" s="1247"/>
      <c r="G191" s="1247"/>
      <c r="H191" s="918"/>
      <c r="I191" s="1041"/>
    </row>
    <row r="192" spans="1:9" ht="12" customHeight="1">
      <c r="A192" s="306"/>
      <c r="B192" s="306"/>
      <c r="E192" s="306"/>
      <c r="I192" s="390"/>
    </row>
    <row r="193" spans="1:9" ht="13.75" customHeight="1">
      <c r="A193" s="306"/>
      <c r="B193" s="306"/>
      <c r="D193" s="1246" t="s">
        <v>350</v>
      </c>
      <c r="E193" s="1246"/>
      <c r="F193" s="1246"/>
      <c r="I193" s="390"/>
    </row>
    <row r="194" spans="1:9">
      <c r="A194" s="306"/>
      <c r="B194" s="306"/>
      <c r="D194" s="1246"/>
      <c r="E194" s="1246"/>
      <c r="F194" s="1246"/>
      <c r="I194" s="390"/>
    </row>
    <row r="195" spans="1:9">
      <c r="A195" s="306"/>
      <c r="B195" s="306"/>
      <c r="D195" s="1250" t="s">
        <v>351</v>
      </c>
      <c r="E195" s="1250"/>
      <c r="F195" s="1250"/>
      <c r="I195" s="390"/>
    </row>
    <row r="196" spans="1:9">
      <c r="A196" s="306"/>
      <c r="B196" s="306"/>
      <c r="D196" s="294"/>
      <c r="E196" s="294"/>
      <c r="F196" s="294"/>
      <c r="I196" s="390"/>
    </row>
    <row r="197" spans="1:9">
      <c r="A197" s="306"/>
      <c r="B197" s="385" t="s">
        <v>2765</v>
      </c>
      <c r="D197" s="1261" t="s">
        <v>352</v>
      </c>
      <c r="E197" s="1261"/>
      <c r="F197" s="1261"/>
      <c r="I197" s="390"/>
    </row>
    <row r="198" spans="1:9">
      <c r="A198" s="306"/>
      <c r="B198" s="306"/>
      <c r="D198" s="1262" t="s">
        <v>353</v>
      </c>
      <c r="E198" s="1262"/>
      <c r="F198" s="1262"/>
      <c r="I198" s="390"/>
    </row>
    <row r="199" spans="1:9">
      <c r="A199" s="306"/>
      <c r="B199" s="306"/>
      <c r="D199" s="71" t="s">
        <v>354</v>
      </c>
      <c r="E199" s="1263" t="s">
        <v>355</v>
      </c>
      <c r="F199" s="1263"/>
      <c r="I199" s="390"/>
    </row>
    <row r="200" spans="1:9">
      <c r="A200" s="306"/>
      <c r="B200" s="306"/>
      <c r="D200" s="3"/>
      <c r="E200" s="3"/>
      <c r="F200" s="3"/>
      <c r="I200" s="390"/>
    </row>
    <row r="201" spans="1:9">
      <c r="A201" s="306"/>
      <c r="B201" s="385" t="s">
        <v>2765</v>
      </c>
      <c r="D201" s="1262" t="s">
        <v>356</v>
      </c>
      <c r="E201" s="1262"/>
      <c r="F201" s="1262"/>
      <c r="I201" s="390"/>
    </row>
    <row r="202" spans="1:9">
      <c r="A202" s="306"/>
      <c r="B202" s="306"/>
      <c r="D202" s="1261" t="s">
        <v>353</v>
      </c>
      <c r="E202" s="1261"/>
      <c r="F202" s="1261"/>
      <c r="I202" s="390"/>
    </row>
    <row r="203" spans="1:9">
      <c r="A203" s="306"/>
      <c r="B203" s="306"/>
      <c r="D203" s="49" t="s">
        <v>357</v>
      </c>
      <c r="E203" s="1263" t="s">
        <v>358</v>
      </c>
      <c r="F203" s="1263"/>
      <c r="I203" s="390"/>
    </row>
    <row r="204" spans="1:9">
      <c r="A204" s="306"/>
      <c r="B204" s="306"/>
      <c r="D204" s="3"/>
      <c r="E204" s="3"/>
      <c r="F204" s="3"/>
      <c r="I204" s="390"/>
    </row>
    <row r="205" spans="1:9">
      <c r="A205" s="306"/>
      <c r="B205" s="385" t="s">
        <v>2765</v>
      </c>
      <c r="D205" s="1262" t="s">
        <v>359</v>
      </c>
      <c r="E205" s="1262"/>
      <c r="F205" s="1262"/>
      <c r="I205" s="390"/>
    </row>
    <row r="206" spans="1:9">
      <c r="A206" s="306"/>
      <c r="B206" s="306"/>
      <c r="D206" s="1261" t="s">
        <v>353</v>
      </c>
      <c r="E206" s="1261"/>
      <c r="F206" s="1261"/>
      <c r="I206" s="390"/>
    </row>
    <row r="207" spans="1:9">
      <c r="A207" s="306"/>
      <c r="B207" s="306"/>
      <c r="D207" s="49" t="s">
        <v>354</v>
      </c>
      <c r="E207" s="1263" t="s">
        <v>360</v>
      </c>
      <c r="F207" s="1263"/>
      <c r="I207" s="390"/>
    </row>
    <row r="208" spans="1:9">
      <c r="A208" s="306"/>
      <c r="B208" s="306"/>
      <c r="D208" s="294"/>
      <c r="E208" s="294"/>
      <c r="F208" s="294"/>
      <c r="I208" s="390"/>
    </row>
    <row r="209" spans="1:9" ht="14.25" customHeight="1">
      <c r="A209" s="384"/>
      <c r="B209" s="385" t="s">
        <v>2765</v>
      </c>
      <c r="D209" s="288" t="s">
        <v>361</v>
      </c>
      <c r="E209" s="287"/>
      <c r="F209" s="287"/>
      <c r="I209" s="390"/>
    </row>
    <row r="210" spans="1:9">
      <c r="A210" s="384"/>
      <c r="B210" s="384"/>
      <c r="D210" s="1261" t="s">
        <v>353</v>
      </c>
      <c r="E210" s="1261"/>
      <c r="F210" s="1261"/>
      <c r="I210" s="390"/>
    </row>
    <row r="211" spans="1:9">
      <c r="D211" s="287"/>
      <c r="E211" s="1263" t="s">
        <v>362</v>
      </c>
      <c r="F211" s="1263"/>
      <c r="I211" s="390"/>
    </row>
    <row r="212" spans="1:9">
      <c r="D212" s="348"/>
      <c r="I212" s="390"/>
    </row>
    <row r="213" spans="1:9">
      <c r="B213" s="385" t="s">
        <v>2765</v>
      </c>
      <c r="D213" s="1262" t="s">
        <v>363</v>
      </c>
      <c r="E213" s="1262"/>
      <c r="F213" s="1262"/>
      <c r="I213" s="390"/>
    </row>
    <row r="214" spans="1:9">
      <c r="D214" s="1261" t="s">
        <v>353</v>
      </c>
      <c r="E214" s="1261"/>
      <c r="F214" s="1261"/>
      <c r="I214" s="390"/>
    </row>
    <row r="215" spans="1:9">
      <c r="D215" s="49" t="s">
        <v>354</v>
      </c>
      <c r="E215" s="1263" t="s">
        <v>364</v>
      </c>
      <c r="F215" s="1263"/>
      <c r="I215" s="390"/>
    </row>
    <row r="216" spans="1:9">
      <c r="D216" s="352"/>
      <c r="E216" s="352"/>
      <c r="F216" s="352"/>
      <c r="I216" s="390"/>
    </row>
    <row r="217" spans="1:9">
      <c r="A217" s="384"/>
      <c r="B217" s="385" t="s">
        <v>2765</v>
      </c>
      <c r="D217" s="1244" t="s">
        <v>365</v>
      </c>
      <c r="E217" s="1244"/>
      <c r="F217" s="1244"/>
      <c r="I217" s="390"/>
    </row>
    <row r="218" spans="1:9" ht="14.5" customHeight="1">
      <c r="A218" s="384"/>
      <c r="B218" s="304"/>
      <c r="D218" s="1244"/>
      <c r="E218" s="1244"/>
      <c r="F218" s="1244"/>
      <c r="I218" s="390"/>
    </row>
    <row r="219" spans="1:9">
      <c r="A219" s="384"/>
      <c r="D219" s="1244"/>
      <c r="E219" s="1244"/>
      <c r="F219" s="1244"/>
      <c r="I219" s="390"/>
    </row>
    <row r="220" spans="1:9">
      <c r="A220" s="384"/>
      <c r="D220" s="1244"/>
      <c r="E220" s="1244"/>
      <c r="F220" s="1244"/>
      <c r="I220" s="390"/>
    </row>
    <row r="221" spans="1:9">
      <c r="D221" s="352"/>
      <c r="E221" s="352"/>
      <c r="F221" s="352"/>
      <c r="I221" s="390"/>
    </row>
    <row r="222" spans="1:9">
      <c r="A222" s="1247" t="s">
        <v>366</v>
      </c>
      <c r="B222" s="1247"/>
      <c r="C222" s="1247"/>
      <c r="D222" s="1247"/>
      <c r="E222" s="1247"/>
      <c r="F222" s="1247"/>
      <c r="G222" s="1247"/>
      <c r="H222" s="918"/>
      <c r="I222" s="1041"/>
    </row>
    <row r="223" spans="1:9" ht="12" customHeight="1">
      <c r="D223" s="347"/>
      <c r="E223" s="347"/>
      <c r="F223" s="347"/>
      <c r="I223" s="390"/>
    </row>
    <row r="224" spans="1:9">
      <c r="C224" s="386"/>
      <c r="D224" s="1252" t="s">
        <v>367</v>
      </c>
      <c r="E224" s="1252"/>
      <c r="F224" s="1252"/>
      <c r="I224" s="390"/>
    </row>
    <row r="225" spans="1:9">
      <c r="A225" s="382"/>
      <c r="B225" s="382"/>
      <c r="C225" s="382"/>
      <c r="D225" s="1245" t="s">
        <v>368</v>
      </c>
      <c r="E225" s="1245"/>
      <c r="F225" s="1245"/>
      <c r="I225" s="390"/>
    </row>
    <row r="226" spans="1:9" ht="12" customHeight="1">
      <c r="A226" s="390"/>
      <c r="B226" s="390"/>
      <c r="C226" s="390"/>
      <c r="I226" s="390"/>
    </row>
    <row r="227" spans="1:9" ht="13.75" customHeight="1">
      <c r="A227" s="390"/>
      <c r="C227" s="390"/>
      <c r="D227" s="1252" t="s">
        <v>369</v>
      </c>
      <c r="E227" s="1252"/>
      <c r="F227" s="1252"/>
      <c r="I227" s="390"/>
    </row>
    <row r="228" spans="1:9">
      <c r="A228" s="384"/>
      <c r="B228" s="385" t="s">
        <v>2764</v>
      </c>
      <c r="D228" s="1244" t="s">
        <v>370</v>
      </c>
      <c r="E228" s="1244"/>
      <c r="F228" s="1244"/>
      <c r="I228" s="390"/>
    </row>
    <row r="229" spans="1:9" ht="14.25" customHeight="1">
      <c r="A229" s="384"/>
      <c r="B229" s="384"/>
      <c r="D229" s="1244"/>
      <c r="E229" s="1244"/>
      <c r="F229" s="1244"/>
      <c r="I229" s="390"/>
    </row>
    <row r="230" spans="1:9" ht="14.25" customHeight="1">
      <c r="A230" s="384"/>
      <c r="B230" s="384"/>
      <c r="D230" s="1244"/>
      <c r="E230" s="1244"/>
      <c r="F230" s="1244"/>
      <c r="I230" s="390"/>
    </row>
    <row r="231" spans="1:9">
      <c r="A231" s="384"/>
      <c r="B231" s="384"/>
      <c r="D231" s="1244"/>
      <c r="E231" s="1244"/>
      <c r="F231" s="1244"/>
      <c r="I231" s="390"/>
    </row>
    <row r="232" spans="1:9">
      <c r="A232" s="384"/>
      <c r="B232" s="384"/>
      <c r="D232" s="346"/>
      <c r="E232" s="346"/>
      <c r="F232" s="346"/>
      <c r="I232" s="390"/>
    </row>
    <row r="233" spans="1:9">
      <c r="A233" s="384"/>
      <c r="B233" s="385" t="s">
        <v>2764</v>
      </c>
      <c r="D233" s="1244" t="s">
        <v>371</v>
      </c>
      <c r="E233" s="1244"/>
      <c r="F233" s="1244"/>
      <c r="I233" s="390"/>
    </row>
    <row r="234" spans="1:9">
      <c r="A234" s="384"/>
      <c r="B234" s="384"/>
      <c r="D234" s="1244"/>
      <c r="E234" s="1244"/>
      <c r="F234" s="1244"/>
      <c r="I234" s="390"/>
    </row>
    <row r="235" spans="1:9">
      <c r="A235" s="384"/>
      <c r="B235" s="384"/>
      <c r="D235" s="1244"/>
      <c r="E235" s="1244"/>
      <c r="F235" s="1244"/>
      <c r="I235" s="390"/>
    </row>
    <row r="236" spans="1:9">
      <c r="A236" s="384"/>
      <c r="B236" s="384"/>
      <c r="D236" s="1244"/>
      <c r="E236" s="1244"/>
      <c r="F236" s="1244"/>
      <c r="I236" s="390"/>
    </row>
    <row r="237" spans="1:9" ht="14.25" customHeight="1">
      <c r="A237" s="384"/>
      <c r="B237" s="384"/>
      <c r="D237" s="1244"/>
      <c r="E237" s="1244"/>
      <c r="F237" s="1244"/>
      <c r="I237" s="390"/>
    </row>
    <row r="238" spans="1:9" ht="14.25" customHeight="1">
      <c r="A238" s="384"/>
      <c r="B238" s="384"/>
      <c r="D238" s="346"/>
      <c r="E238" s="346"/>
      <c r="F238" s="346"/>
      <c r="I238" s="390"/>
    </row>
    <row r="239" spans="1:9">
      <c r="A239" s="384"/>
      <c r="B239" s="384"/>
      <c r="D239" s="1244" t="s">
        <v>372</v>
      </c>
      <c r="E239" s="1244"/>
      <c r="F239" s="1244"/>
      <c r="I239" s="390"/>
    </row>
    <row r="240" spans="1:9">
      <c r="A240" s="384"/>
      <c r="B240" s="384"/>
      <c r="D240" s="1244"/>
      <c r="E240" s="1244"/>
      <c r="F240" s="1244"/>
      <c r="I240" s="390"/>
    </row>
    <row r="241" spans="1:9">
      <c r="A241" s="384"/>
      <c r="B241" s="384"/>
      <c r="D241" s="1244"/>
      <c r="E241" s="1244"/>
      <c r="F241" s="1244"/>
      <c r="I241" s="390"/>
    </row>
    <row r="242" spans="1:9">
      <c r="A242" s="384"/>
      <c r="B242" s="384"/>
      <c r="D242" s="1244"/>
      <c r="E242" s="1244"/>
      <c r="F242" s="1244"/>
      <c r="I242" s="390"/>
    </row>
    <row r="243" spans="1:9">
      <c r="A243" s="384"/>
      <c r="B243" s="384"/>
      <c r="D243" s="1244"/>
      <c r="E243" s="1244"/>
      <c r="F243" s="1244"/>
      <c r="I243" s="390"/>
    </row>
    <row r="244" spans="1:9">
      <c r="A244" s="384"/>
      <c r="B244" s="384"/>
      <c r="D244" s="347"/>
      <c r="E244" s="347"/>
      <c r="F244" s="347"/>
      <c r="I244" s="390"/>
    </row>
    <row r="245" spans="1:9">
      <c r="A245" s="384"/>
      <c r="B245" s="385" t="s">
        <v>2764</v>
      </c>
      <c r="D245" s="1244" t="s">
        <v>373</v>
      </c>
      <c r="E245" s="1244"/>
      <c r="F245" s="1244"/>
      <c r="I245" s="390"/>
    </row>
    <row r="246" spans="1:9">
      <c r="A246" s="384"/>
      <c r="B246" s="384"/>
      <c r="D246" s="1244"/>
      <c r="E246" s="1244"/>
      <c r="F246" s="1244"/>
      <c r="I246" s="390"/>
    </row>
    <row r="247" spans="1:9">
      <c r="A247" s="384"/>
      <c r="B247" s="384"/>
      <c r="D247" s="1244"/>
      <c r="E247" s="1244"/>
      <c r="F247" s="1244"/>
      <c r="I247" s="390"/>
    </row>
    <row r="248" spans="1:9">
      <c r="A248" s="384"/>
      <c r="B248" s="384"/>
      <c r="E248" s="926" t="s">
        <v>374</v>
      </c>
      <c r="I248" s="390"/>
    </row>
    <row r="249" spans="1:9">
      <c r="A249" s="384"/>
      <c r="B249" s="384"/>
      <c r="D249" s="347"/>
      <c r="E249" s="347"/>
      <c r="F249" s="347"/>
      <c r="I249" s="390"/>
    </row>
    <row r="250" spans="1:9" ht="14.5" customHeight="1">
      <c r="A250" s="384"/>
      <c r="B250" s="385" t="s">
        <v>2765</v>
      </c>
      <c r="D250" s="1244" t="s">
        <v>375</v>
      </c>
      <c r="E250" s="1244"/>
      <c r="F250" s="1244"/>
      <c r="I250" s="390"/>
    </row>
    <row r="251" spans="1:9">
      <c r="A251" s="384"/>
      <c r="B251" s="384"/>
      <c r="D251" s="1244"/>
      <c r="E251" s="1244"/>
      <c r="F251" s="1244"/>
      <c r="I251" s="390"/>
    </row>
    <row r="252" spans="1:9">
      <c r="A252" s="384"/>
      <c r="B252" s="384"/>
      <c r="D252" s="1244"/>
      <c r="E252" s="1244"/>
      <c r="F252" s="1244"/>
      <c r="I252" s="390"/>
    </row>
    <row r="253" spans="1:9">
      <c r="A253" s="384"/>
      <c r="B253" s="384"/>
      <c r="D253" s="1244"/>
      <c r="E253" s="1244"/>
      <c r="F253" s="1244"/>
      <c r="I253" s="390"/>
    </row>
    <row r="254" spans="1:9">
      <c r="A254" s="384"/>
      <c r="B254" s="384"/>
      <c r="D254" s="1244"/>
      <c r="E254" s="1244"/>
      <c r="F254" s="1244"/>
      <c r="I254" s="390"/>
    </row>
    <row r="255" spans="1:9">
      <c r="A255" s="384"/>
      <c r="B255" s="384"/>
      <c r="D255" s="346"/>
      <c r="E255" s="346"/>
      <c r="F255" s="346"/>
      <c r="I255" s="390"/>
    </row>
    <row r="256" spans="1:9">
      <c r="A256" s="384"/>
      <c r="B256" s="385" t="s">
        <v>2764</v>
      </c>
      <c r="D256" s="294" t="s">
        <v>376</v>
      </c>
      <c r="E256" s="346"/>
      <c r="F256" s="346"/>
      <c r="I256" s="390"/>
    </row>
    <row r="257" spans="1:9">
      <c r="A257" s="384"/>
      <c r="B257" s="384"/>
      <c r="E257" s="926" t="s">
        <v>377</v>
      </c>
      <c r="I257" s="390"/>
    </row>
    <row r="258" spans="1:9">
      <c r="D258" s="347"/>
      <c r="E258" s="347"/>
      <c r="F258" s="347"/>
      <c r="I258" s="390"/>
    </row>
    <row r="259" spans="1:9">
      <c r="A259" s="384"/>
      <c r="B259" s="385" t="s">
        <v>2764</v>
      </c>
      <c r="D259" s="1244" t="s">
        <v>378</v>
      </c>
      <c r="E259" s="1244"/>
      <c r="F259" s="1244"/>
      <c r="I259" s="390"/>
    </row>
    <row r="260" spans="1:9">
      <c r="A260" s="384"/>
      <c r="B260" s="384"/>
      <c r="D260" s="1244"/>
      <c r="E260" s="1244"/>
      <c r="F260" s="1244"/>
      <c r="I260" s="390"/>
    </row>
    <row r="261" spans="1:9">
      <c r="D261" s="391"/>
      <c r="I261" s="390"/>
    </row>
    <row r="262" spans="1:9">
      <c r="A262" s="1247" t="s">
        <v>379</v>
      </c>
      <c r="B262" s="1247"/>
      <c r="C262" s="1247"/>
      <c r="D262" s="1247"/>
      <c r="E262" s="1247"/>
      <c r="F262" s="1247"/>
      <c r="G262" s="1247"/>
      <c r="H262" s="918"/>
      <c r="I262" s="1041"/>
    </row>
    <row r="263" spans="1:9">
      <c r="D263" s="391"/>
      <c r="I263" s="390"/>
    </row>
    <row r="264" spans="1:9">
      <c r="C264" s="386"/>
      <c r="D264" s="1252" t="s">
        <v>380</v>
      </c>
      <c r="E264" s="1252"/>
      <c r="F264" s="1252"/>
      <c r="I264" s="390"/>
    </row>
    <row r="265" spans="1:9">
      <c r="A265" s="382"/>
      <c r="B265" s="382"/>
      <c r="C265" s="382"/>
      <c r="D265" s="347"/>
      <c r="E265" s="347"/>
      <c r="F265" s="347"/>
      <c r="I265" s="390"/>
    </row>
    <row r="266" spans="1:9">
      <c r="A266" s="383"/>
      <c r="B266" s="383"/>
      <c r="C266" s="383"/>
      <c r="D266" s="1252" t="s">
        <v>381</v>
      </c>
      <c r="E266" s="1252"/>
      <c r="F266" s="1252"/>
      <c r="I266" s="390"/>
    </row>
    <row r="267" spans="1:9" ht="14.5" customHeight="1">
      <c r="A267" s="384"/>
      <c r="B267" s="385" t="s">
        <v>2764</v>
      </c>
      <c r="D267" s="1244" t="s">
        <v>382</v>
      </c>
      <c r="E267" s="1244"/>
      <c r="F267" s="1244"/>
      <c r="I267" s="390"/>
    </row>
    <row r="268" spans="1:9">
      <c r="D268" s="1244"/>
      <c r="E268" s="1244"/>
      <c r="F268" s="1244"/>
      <c r="I268" s="390"/>
    </row>
    <row r="269" spans="1:9">
      <c r="E269" s="926" t="s">
        <v>383</v>
      </c>
      <c r="I269" s="390"/>
    </row>
    <row r="270" spans="1:9">
      <c r="D270" s="347"/>
      <c r="E270" s="347"/>
      <c r="F270" s="347"/>
      <c r="I270" s="390"/>
    </row>
    <row r="271" spans="1:9" ht="14.5" customHeight="1">
      <c r="A271" s="384"/>
      <c r="B271" s="385" t="s">
        <v>2765</v>
      </c>
      <c r="D271" s="1244" t="s">
        <v>384</v>
      </c>
      <c r="E271" s="1244"/>
      <c r="F271" s="1244"/>
      <c r="I271" s="390"/>
    </row>
    <row r="272" spans="1:9">
      <c r="D272" s="1244"/>
      <c r="E272" s="1244"/>
      <c r="F272" s="1244"/>
      <c r="I272" s="390"/>
    </row>
    <row r="273" spans="1:9">
      <c r="D273" s="1244"/>
      <c r="E273" s="1244"/>
      <c r="F273" s="1244"/>
      <c r="I273" s="390"/>
    </row>
    <row r="274" spans="1:9">
      <c r="D274" s="1244"/>
      <c r="E274" s="1244"/>
      <c r="F274" s="1244"/>
      <c r="I274" s="390"/>
    </row>
    <row r="275" spans="1:9">
      <c r="D275" s="1244"/>
      <c r="E275" s="1244"/>
      <c r="F275" s="1244"/>
      <c r="I275" s="390"/>
    </row>
    <row r="276" spans="1:9">
      <c r="D276" s="1244"/>
      <c r="E276" s="1244"/>
      <c r="F276" s="1244"/>
      <c r="I276" s="390"/>
    </row>
    <row r="277" spans="1:9">
      <c r="D277" s="347"/>
      <c r="E277" s="347"/>
      <c r="F277" s="347"/>
      <c r="I277" s="390"/>
    </row>
    <row r="278" spans="1:9">
      <c r="A278" s="384"/>
      <c r="B278" s="385" t="s">
        <v>2765</v>
      </c>
      <c r="D278" s="1244" t="s">
        <v>385</v>
      </c>
      <c r="E278" s="1244"/>
      <c r="F278" s="1244"/>
      <c r="I278" s="390"/>
    </row>
    <row r="279" spans="1:9">
      <c r="D279" s="1244"/>
      <c r="E279" s="1244"/>
      <c r="F279" s="1244"/>
      <c r="I279" s="390"/>
    </row>
    <row r="280" spans="1:9">
      <c r="D280" s="1244"/>
      <c r="E280" s="1244"/>
      <c r="F280" s="1244"/>
      <c r="I280" s="390"/>
    </row>
    <row r="281" spans="1:9">
      <c r="D281" s="392"/>
      <c r="E281" s="347"/>
      <c r="F281" s="347"/>
      <c r="I281" s="390"/>
    </row>
    <row r="282" spans="1:9">
      <c r="A282" s="1247" t="s">
        <v>386</v>
      </c>
      <c r="B282" s="1247"/>
      <c r="C282" s="1247"/>
      <c r="D282" s="1247"/>
      <c r="E282" s="1247"/>
      <c r="F282" s="1247"/>
      <c r="G282" s="1247"/>
      <c r="H282" s="918"/>
      <c r="I282" s="1041"/>
    </row>
    <row r="283" spans="1:9">
      <c r="D283" s="392"/>
      <c r="E283" s="347"/>
      <c r="F283" s="347"/>
      <c r="I283" s="390"/>
    </row>
    <row r="284" spans="1:9">
      <c r="C284" s="382"/>
      <c r="D284" s="1246" t="s">
        <v>387</v>
      </c>
      <c r="E284" s="1246"/>
      <c r="F284" s="1246"/>
      <c r="I284" s="390"/>
    </row>
    <row r="285" spans="1:9">
      <c r="C285" s="382"/>
      <c r="D285" s="1246"/>
      <c r="E285" s="1246"/>
      <c r="F285" s="1246"/>
      <c r="I285" s="390"/>
    </row>
    <row r="286" spans="1:9">
      <c r="A286" s="383"/>
      <c r="B286" s="383"/>
      <c r="C286" s="383"/>
      <c r="D286" s="306"/>
      <c r="I286" s="390"/>
    </row>
    <row r="287" spans="1:9">
      <c r="C287" s="383"/>
      <c r="D287" s="1252" t="s">
        <v>388</v>
      </c>
      <c r="E287" s="1252"/>
      <c r="F287" s="1252"/>
      <c r="I287" s="390"/>
    </row>
    <row r="288" spans="1:9" ht="15.75" customHeight="1">
      <c r="A288" s="384"/>
      <c r="B288" s="384"/>
      <c r="D288" s="1259" t="s">
        <v>389</v>
      </c>
      <c r="E288" s="1259"/>
      <c r="F288" s="1259"/>
      <c r="I288" s="390"/>
    </row>
    <row r="289" spans="1:9">
      <c r="E289" s="347"/>
      <c r="F289" s="347"/>
      <c r="I289" s="390"/>
    </row>
    <row r="290" spans="1:9">
      <c r="A290" s="384"/>
      <c r="B290" s="385" t="s">
        <v>2764</v>
      </c>
      <c r="D290" s="1244" t="s">
        <v>390</v>
      </c>
      <c r="E290" s="1244"/>
      <c r="F290" s="1244"/>
      <c r="I290" s="390"/>
    </row>
    <row r="291" spans="1:9">
      <c r="A291" s="384"/>
      <c r="B291" s="384"/>
      <c r="D291" s="1244"/>
      <c r="E291" s="1244"/>
      <c r="F291" s="1244"/>
      <c r="I291" s="390"/>
    </row>
    <row r="292" spans="1:9">
      <c r="D292" s="347"/>
      <c r="E292" s="347"/>
      <c r="F292" s="347"/>
      <c r="I292" s="390"/>
    </row>
    <row r="293" spans="1:9">
      <c r="A293" s="384"/>
      <c r="B293" s="385" t="s">
        <v>2765</v>
      </c>
      <c r="D293" s="1244" t="s">
        <v>391</v>
      </c>
      <c r="E293" s="1244"/>
      <c r="F293" s="1244"/>
      <c r="I293" s="390"/>
    </row>
    <row r="294" spans="1:9">
      <c r="A294" s="384"/>
      <c r="B294" s="384"/>
      <c r="D294" s="1244"/>
      <c r="E294" s="1244"/>
      <c r="F294" s="1244"/>
      <c r="I294" s="390"/>
    </row>
    <row r="295" spans="1:9">
      <c r="A295" s="384"/>
      <c r="B295" s="384"/>
      <c r="D295" s="1244"/>
      <c r="E295" s="1244"/>
      <c r="F295" s="1244"/>
      <c r="I295" s="390"/>
    </row>
    <row r="296" spans="1:9">
      <c r="D296" s="347"/>
      <c r="E296" s="347"/>
      <c r="F296" s="347"/>
      <c r="I296" s="390"/>
    </row>
    <row r="297" spans="1:9">
      <c r="A297" s="384"/>
      <c r="B297" s="385" t="s">
        <v>2765</v>
      </c>
      <c r="D297" s="1244" t="s">
        <v>392</v>
      </c>
      <c r="E297" s="1244"/>
      <c r="F297" s="1244"/>
      <c r="I297" s="390"/>
    </row>
    <row r="298" spans="1:9">
      <c r="A298" s="384"/>
      <c r="B298" s="384"/>
      <c r="D298" s="1244"/>
      <c r="E298" s="1244"/>
      <c r="F298" s="1244"/>
      <c r="I298" s="390"/>
    </row>
    <row r="299" spans="1:9">
      <c r="A299" s="390"/>
      <c r="B299" s="390"/>
      <c r="E299" s="347"/>
      <c r="F299" s="347"/>
      <c r="I299" s="390"/>
    </row>
    <row r="300" spans="1:9">
      <c r="A300" s="1247" t="s">
        <v>393</v>
      </c>
      <c r="B300" s="1247"/>
      <c r="C300" s="1247"/>
      <c r="D300" s="1247"/>
      <c r="E300" s="1247"/>
      <c r="F300" s="1247"/>
      <c r="G300" s="1247"/>
      <c r="H300" s="918"/>
      <c r="I300" s="1041"/>
    </row>
    <row r="301" spans="1:9">
      <c r="A301" s="390"/>
      <c r="B301" s="390"/>
      <c r="D301" s="347"/>
      <c r="E301" s="347"/>
      <c r="F301" s="347"/>
      <c r="I301" s="390"/>
    </row>
    <row r="302" spans="1:9">
      <c r="C302" s="390"/>
      <c r="D302" s="1252" t="s">
        <v>394</v>
      </c>
      <c r="E302" s="1252"/>
      <c r="F302" s="1252"/>
      <c r="I302" s="390"/>
    </row>
    <row r="303" spans="1:9">
      <c r="C303" s="390"/>
      <c r="D303" s="1245" t="s">
        <v>395</v>
      </c>
      <c r="E303" s="1245"/>
      <c r="F303" s="1245"/>
      <c r="I303" s="390"/>
    </row>
    <row r="304" spans="1:9">
      <c r="C304" s="390"/>
      <c r="D304" s="393"/>
      <c r="I304" s="390"/>
    </row>
    <row r="305" spans="1:9">
      <c r="B305" s="385" t="s">
        <v>2764</v>
      </c>
      <c r="D305" s="1245" t="s">
        <v>396</v>
      </c>
      <c r="E305" s="1245"/>
      <c r="F305" s="1245"/>
      <c r="I305" s="390"/>
    </row>
    <row r="306" spans="1:9">
      <c r="A306" s="384"/>
      <c r="B306" s="384"/>
      <c r="D306" s="394"/>
      <c r="E306" s="395"/>
      <c r="F306" s="395"/>
      <c r="I306" s="390"/>
    </row>
    <row r="307" spans="1:9" ht="13.75" customHeight="1">
      <c r="B307" s="385" t="s">
        <v>2765</v>
      </c>
      <c r="D307" s="1254" t="s">
        <v>397</v>
      </c>
      <c r="E307" s="1254"/>
      <c r="F307" s="1254"/>
      <c r="I307" s="390"/>
    </row>
    <row r="308" spans="1:9">
      <c r="A308" s="384"/>
      <c r="B308" s="384"/>
      <c r="D308" s="1254"/>
      <c r="E308" s="1254"/>
      <c r="F308" s="1254"/>
      <c r="I308" s="390"/>
    </row>
    <row r="309" spans="1:9">
      <c r="A309" s="384"/>
      <c r="B309" s="384"/>
      <c r="D309" s="1254"/>
      <c r="E309" s="1254"/>
      <c r="F309" s="1254"/>
      <c r="I309" s="390"/>
    </row>
    <row r="310" spans="1:9">
      <c r="A310" s="384"/>
      <c r="B310" s="384"/>
      <c r="D310" s="1254"/>
      <c r="E310" s="1254"/>
      <c r="F310" s="1254"/>
      <c r="I310" s="390"/>
    </row>
    <row r="311" spans="1:9">
      <c r="A311" s="384"/>
      <c r="B311" s="384"/>
      <c r="D311" s="1254"/>
      <c r="E311" s="1254"/>
      <c r="F311" s="1254"/>
      <c r="I311" s="390"/>
    </row>
    <row r="312" spans="1:9">
      <c r="A312" s="384"/>
      <c r="B312" s="384"/>
      <c r="D312" s="394"/>
      <c r="E312" s="395"/>
      <c r="F312" s="395"/>
      <c r="I312" s="390"/>
    </row>
    <row r="313" spans="1:9" ht="13.75" customHeight="1">
      <c r="B313" s="385" t="s">
        <v>2764</v>
      </c>
      <c r="D313" s="1254" t="s">
        <v>398</v>
      </c>
      <c r="E313" s="1254"/>
      <c r="F313" s="1254"/>
      <c r="I313" s="390"/>
    </row>
    <row r="314" spans="1:9">
      <c r="D314" s="1254"/>
      <c r="E314" s="1254"/>
      <c r="F314" s="1254"/>
      <c r="I314" s="390"/>
    </row>
    <row r="315" spans="1:9">
      <c r="A315" s="384"/>
      <c r="B315" s="384"/>
      <c r="D315" s="394"/>
      <c r="E315" s="395"/>
      <c r="F315" s="395"/>
      <c r="I315" s="390"/>
    </row>
    <row r="316" spans="1:9">
      <c r="B316" s="385" t="s">
        <v>2764</v>
      </c>
      <c r="D316" s="1245" t="s">
        <v>399</v>
      </c>
      <c r="E316" s="1245"/>
      <c r="F316" s="1245"/>
      <c r="I316" s="390"/>
    </row>
    <row r="317" spans="1:9">
      <c r="E317" s="347"/>
      <c r="F317" s="347"/>
      <c r="I317" s="390"/>
    </row>
    <row r="318" spans="1:9">
      <c r="A318" s="384"/>
      <c r="B318" s="385" t="s">
        <v>2764</v>
      </c>
      <c r="D318" s="1244" t="s">
        <v>400</v>
      </c>
      <c r="E318" s="1244"/>
      <c r="F318" s="1244"/>
      <c r="I318" s="390"/>
    </row>
    <row r="319" spans="1:9">
      <c r="A319" s="384"/>
      <c r="B319" s="384"/>
      <c r="D319" s="1244"/>
      <c r="E319" s="1244"/>
      <c r="F319" s="1244"/>
      <c r="I319" s="390"/>
    </row>
    <row r="320" spans="1:9">
      <c r="A320" s="384"/>
      <c r="B320" s="384"/>
      <c r="D320" s="1244"/>
      <c r="E320" s="1244"/>
      <c r="F320" s="1244"/>
      <c r="I320" s="390"/>
    </row>
    <row r="321" spans="1:9">
      <c r="A321" s="384"/>
      <c r="B321" s="384"/>
      <c r="D321" s="1244"/>
      <c r="E321" s="1244"/>
      <c r="F321" s="1244"/>
      <c r="I321" s="390"/>
    </row>
    <row r="322" spans="1:9">
      <c r="A322" s="384"/>
      <c r="B322" s="384"/>
      <c r="D322" s="1244"/>
      <c r="E322" s="1244"/>
      <c r="F322" s="1244"/>
      <c r="I322" s="390"/>
    </row>
    <row r="323" spans="1:9">
      <c r="A323" s="384"/>
      <c r="B323" s="384"/>
      <c r="D323" s="1244"/>
      <c r="E323" s="1244"/>
      <c r="F323" s="1244"/>
      <c r="I323" s="390"/>
    </row>
    <row r="324" spans="1:9">
      <c r="A324" s="384"/>
      <c r="B324" s="384"/>
      <c r="D324" s="1244"/>
      <c r="E324" s="1244"/>
      <c r="F324" s="1244"/>
      <c r="I324" s="390"/>
    </row>
    <row r="325" spans="1:9">
      <c r="A325" s="384"/>
      <c r="B325" s="384"/>
      <c r="D325" s="1244"/>
      <c r="E325" s="1244"/>
      <c r="F325" s="1244"/>
      <c r="I325" s="390"/>
    </row>
    <row r="326" spans="1:9">
      <c r="A326" s="384"/>
      <c r="B326" s="384"/>
      <c r="D326" s="1244"/>
      <c r="E326" s="1244"/>
      <c r="F326" s="1244"/>
      <c r="I326" s="390"/>
    </row>
    <row r="327" spans="1:9">
      <c r="A327" s="384"/>
      <c r="B327" s="384"/>
      <c r="D327" s="1244"/>
      <c r="E327" s="1244"/>
      <c r="F327" s="1244"/>
      <c r="I327" s="390"/>
    </row>
    <row r="328" spans="1:9">
      <c r="A328" s="384"/>
      <c r="B328" s="384"/>
      <c r="D328" s="1244"/>
      <c r="E328" s="1244"/>
      <c r="F328" s="1244"/>
      <c r="I328" s="390"/>
    </row>
    <row r="329" spans="1:9">
      <c r="A329" s="384"/>
      <c r="B329" s="384"/>
      <c r="D329" s="1244"/>
      <c r="E329" s="1244"/>
      <c r="F329" s="1244"/>
      <c r="I329" s="390"/>
    </row>
    <row r="330" spans="1:9">
      <c r="A330" s="384"/>
      <c r="B330" s="384"/>
      <c r="D330" s="1244"/>
      <c r="E330" s="1244"/>
      <c r="F330" s="1244"/>
      <c r="I330" s="390"/>
    </row>
    <row r="331" spans="1:9">
      <c r="A331" s="384"/>
      <c r="B331" s="384"/>
      <c r="D331" s="1244"/>
      <c r="E331" s="1244"/>
      <c r="F331" s="1244"/>
      <c r="I331" s="390"/>
    </row>
    <row r="332" spans="1:9">
      <c r="A332" s="384"/>
      <c r="B332" s="384"/>
      <c r="D332" s="1244"/>
      <c r="E332" s="1244"/>
      <c r="F332" s="1244"/>
      <c r="I332" s="390"/>
    </row>
    <row r="333" spans="1:9">
      <c r="D333" s="347"/>
      <c r="E333" s="347"/>
      <c r="F333" s="347"/>
      <c r="I333" s="390"/>
    </row>
    <row r="334" spans="1:9">
      <c r="A334" s="384"/>
      <c r="B334" s="385" t="s">
        <v>2765</v>
      </c>
      <c r="D334" s="1244" t="s">
        <v>401</v>
      </c>
      <c r="E334" s="1244"/>
      <c r="F334" s="1244"/>
      <c r="I334" s="390"/>
    </row>
    <row r="335" spans="1:9">
      <c r="D335" s="1244"/>
      <c r="E335" s="1244"/>
      <c r="F335" s="1244"/>
      <c r="I335" s="390"/>
    </row>
    <row r="336" spans="1:9">
      <c r="D336" s="1244"/>
      <c r="E336" s="1244"/>
      <c r="F336" s="1244"/>
      <c r="I336" s="390"/>
    </row>
    <row r="337" spans="1:9">
      <c r="D337" s="1244"/>
      <c r="E337" s="1244"/>
      <c r="F337" s="1244"/>
      <c r="I337" s="390"/>
    </row>
    <row r="338" spans="1:9">
      <c r="D338" s="1244"/>
      <c r="E338" s="1244"/>
      <c r="F338" s="1244"/>
      <c r="I338" s="390"/>
    </row>
    <row r="339" spans="1:9">
      <c r="D339" s="1244"/>
      <c r="E339" s="1244"/>
      <c r="F339" s="1244"/>
      <c r="I339" s="390"/>
    </row>
    <row r="340" spans="1:9">
      <c r="D340" s="1244"/>
      <c r="E340" s="1244"/>
      <c r="F340" s="1244"/>
      <c r="I340" s="390"/>
    </row>
    <row r="341" spans="1:9">
      <c r="D341" s="1244"/>
      <c r="E341" s="1244"/>
      <c r="F341" s="1244"/>
      <c r="I341" s="390"/>
    </row>
    <row r="342" spans="1:9">
      <c r="D342" s="1244"/>
      <c r="E342" s="1244"/>
      <c r="F342" s="1244"/>
      <c r="I342" s="390"/>
    </row>
    <row r="343" spans="1:9">
      <c r="D343" s="347"/>
      <c r="E343" s="347"/>
      <c r="F343" s="347"/>
      <c r="I343" s="390"/>
    </row>
    <row r="344" spans="1:9" ht="14.25" customHeight="1">
      <c r="A344" s="384"/>
      <c r="B344" s="385" t="s">
        <v>2764</v>
      </c>
      <c r="D344" s="1244" t="s">
        <v>402</v>
      </c>
      <c r="E344" s="1244"/>
      <c r="F344" s="1244"/>
      <c r="I344" s="390"/>
    </row>
    <row r="345" spans="1:9">
      <c r="D345" s="1244"/>
      <c r="E345" s="1244"/>
      <c r="F345" s="1244"/>
      <c r="I345" s="390"/>
    </row>
    <row r="346" spans="1:9">
      <c r="D346" s="1244"/>
      <c r="E346" s="1244"/>
      <c r="F346" s="1244"/>
      <c r="I346" s="390"/>
    </row>
    <row r="347" spans="1:9">
      <c r="D347" s="1244"/>
      <c r="E347" s="1244"/>
      <c r="F347" s="1244"/>
      <c r="I347" s="390"/>
    </row>
    <row r="348" spans="1:9">
      <c r="D348" s="288" t="s">
        <v>353</v>
      </c>
      <c r="E348" s="287"/>
      <c r="F348" s="287"/>
      <c r="I348" s="390"/>
    </row>
    <row r="349" spans="1:9">
      <c r="D349" s="287"/>
      <c r="E349" s="71" t="s">
        <v>403</v>
      </c>
      <c r="G349" s="71"/>
      <c r="I349" s="390"/>
    </row>
    <row r="350" spans="1:9">
      <c r="D350" s="346"/>
      <c r="E350" s="346"/>
      <c r="F350" s="346"/>
      <c r="I350" s="390"/>
    </row>
    <row r="351" spans="1:9" ht="13.5" thickBot="1">
      <c r="A351" s="912"/>
      <c r="B351" s="912"/>
      <c r="C351" s="912"/>
      <c r="D351" s="1257" t="s">
        <v>404</v>
      </c>
      <c r="E351" s="1257"/>
      <c r="F351" s="1257"/>
      <c r="G351" s="917"/>
      <c r="H351" s="917"/>
      <c r="I351" s="1044"/>
    </row>
    <row r="352" spans="1:9" ht="13.5" thickTop="1">
      <c r="D352" s="1255" t="s">
        <v>405</v>
      </c>
      <c r="E352" s="1255"/>
      <c r="F352" s="1255"/>
      <c r="I352" s="390"/>
    </row>
    <row r="353" spans="1:9">
      <c r="D353" s="347"/>
      <c r="E353" s="347"/>
      <c r="F353" s="347"/>
      <c r="I353" s="390"/>
    </row>
    <row r="354" spans="1:9">
      <c r="A354" s="376"/>
      <c r="B354" s="376"/>
      <c r="C354" s="376"/>
      <c r="D354" s="348"/>
      <c r="E354" s="348"/>
      <c r="F354" s="347"/>
      <c r="I354" s="390"/>
    </row>
    <row r="355" spans="1:9">
      <c r="A355" s="384"/>
      <c r="B355" s="385" t="s">
        <v>2764</v>
      </c>
      <c r="C355" s="387"/>
      <c r="D355" s="1245" t="s">
        <v>406</v>
      </c>
      <c r="E355" s="1245"/>
      <c r="F355" s="1245"/>
      <c r="I355" s="390"/>
    </row>
    <row r="356" spans="1:9" ht="12.75" customHeight="1">
      <c r="D356" s="927"/>
      <c r="E356" s="71" t="s">
        <v>407</v>
      </c>
      <c r="F356" s="927"/>
      <c r="I356" s="390"/>
    </row>
    <row r="357" spans="1:9">
      <c r="D357" s="1244" t="s">
        <v>408</v>
      </c>
      <c r="E357" s="1244"/>
      <c r="F357" s="1244"/>
      <c r="I357" s="390"/>
    </row>
    <row r="358" spans="1:9">
      <c r="D358" s="1244"/>
      <c r="E358" s="1244"/>
      <c r="F358" s="1244"/>
      <c r="I358" s="390"/>
    </row>
    <row r="359" spans="1:9">
      <c r="D359" s="1244"/>
      <c r="E359" s="1244"/>
      <c r="F359" s="1244"/>
      <c r="I359" s="390"/>
    </row>
    <row r="360" spans="1:9">
      <c r="A360" s="384"/>
      <c r="B360" s="385" t="s">
        <v>2764</v>
      </c>
      <c r="C360" s="376"/>
      <c r="D360" s="1256" t="s">
        <v>409</v>
      </c>
      <c r="E360" s="1256"/>
      <c r="F360" s="1256"/>
      <c r="I360" s="380"/>
    </row>
    <row r="361" spans="1:9">
      <c r="A361" s="376"/>
      <c r="B361" s="376"/>
      <c r="C361" s="376"/>
      <c r="D361" s="348"/>
      <c r="E361" s="348"/>
      <c r="F361" s="347"/>
      <c r="I361" s="390"/>
    </row>
    <row r="362" spans="1:9">
      <c r="A362" s="376"/>
      <c r="B362" s="385" t="s">
        <v>2764</v>
      </c>
      <c r="C362" s="376"/>
      <c r="D362" s="1224" t="s">
        <v>410</v>
      </c>
      <c r="E362" s="1224"/>
      <c r="F362" s="1224"/>
      <c r="I362" s="390"/>
    </row>
    <row r="363" spans="1:9">
      <c r="A363" s="376"/>
      <c r="B363" s="376"/>
      <c r="C363" s="376"/>
      <c r="D363" s="1224"/>
      <c r="E363" s="1224"/>
      <c r="F363" s="1224"/>
      <c r="I363" s="390"/>
    </row>
    <row r="364" spans="1:9">
      <c r="A364" s="376"/>
      <c r="B364" s="376"/>
      <c r="C364" s="376"/>
      <c r="D364" s="1224"/>
      <c r="E364" s="1224"/>
      <c r="F364" s="1224"/>
      <c r="I364" s="390"/>
    </row>
    <row r="365" spans="1:9">
      <c r="A365" s="376"/>
      <c r="B365" s="376"/>
      <c r="C365" s="376"/>
      <c r="D365" s="1224"/>
      <c r="E365" s="1224"/>
      <c r="F365" s="1224"/>
      <c r="I365" s="390"/>
    </row>
    <row r="366" spans="1:9">
      <c r="A366" s="376"/>
      <c r="B366" s="376"/>
      <c r="C366" s="376"/>
      <c r="D366" s="1224"/>
      <c r="E366" s="1224"/>
      <c r="F366" s="1224"/>
      <c r="I366" s="390"/>
    </row>
    <row r="367" spans="1:9">
      <c r="A367" s="376"/>
      <c r="B367" s="376"/>
      <c r="C367" s="376"/>
      <c r="D367" s="1224"/>
      <c r="E367" s="1224"/>
      <c r="F367" s="1224"/>
      <c r="I367" s="390"/>
    </row>
    <row r="368" spans="1:9">
      <c r="A368" s="376"/>
      <c r="B368" s="376"/>
      <c r="C368" s="376"/>
      <c r="D368" s="1224"/>
      <c r="E368" s="1224"/>
      <c r="F368" s="1224"/>
      <c r="I368" s="390"/>
    </row>
    <row r="369" spans="1:9">
      <c r="A369" s="376"/>
      <c r="B369" s="376"/>
      <c r="C369" s="376"/>
      <c r="D369" s="1224"/>
      <c r="E369" s="1224"/>
      <c r="F369" s="1224"/>
      <c r="I369" s="390"/>
    </row>
    <row r="370" spans="1:9">
      <c r="A370" s="376"/>
      <c r="B370" s="376"/>
      <c r="C370" s="376"/>
      <c r="D370" s="1224"/>
      <c r="E370" s="1224"/>
      <c r="F370" s="1224"/>
      <c r="I370" s="390"/>
    </row>
    <row r="371" spans="1:9">
      <c r="A371" s="376"/>
      <c r="B371" s="376"/>
      <c r="C371" s="376"/>
      <c r="D371" s="1224"/>
      <c r="E371" s="1224"/>
      <c r="F371" s="1224"/>
      <c r="I371" s="390"/>
    </row>
    <row r="372" spans="1:9">
      <c r="A372" s="376"/>
      <c r="B372" s="376"/>
      <c r="C372" s="376"/>
      <c r="D372" s="1224"/>
      <c r="E372" s="1224"/>
      <c r="F372" s="1224"/>
      <c r="I372" s="390"/>
    </row>
    <row r="373" spans="1:9">
      <c r="A373" s="376"/>
      <c r="B373" s="376"/>
      <c r="C373" s="376"/>
      <c r="D373" s="1224"/>
      <c r="E373" s="1224"/>
      <c r="F373" s="1224"/>
      <c r="I373" s="390"/>
    </row>
    <row r="374" spans="1:9">
      <c r="A374" s="376"/>
      <c r="B374" s="376"/>
      <c r="C374" s="376"/>
      <c r="D374" s="352"/>
      <c r="E374" s="352"/>
      <c r="F374" s="352"/>
      <c r="I374" s="390"/>
    </row>
    <row r="375" spans="1:9" ht="12.5" customHeight="1">
      <c r="A375" s="376"/>
      <c r="B375" s="385" t="s">
        <v>2764</v>
      </c>
      <c r="C375" s="376"/>
      <c r="D375" s="1241" t="s">
        <v>411</v>
      </c>
      <c r="E375" s="1241"/>
      <c r="F375" s="1241"/>
      <c r="I375" s="390"/>
    </row>
    <row r="376" spans="1:9">
      <c r="A376" s="376"/>
      <c r="B376" s="376"/>
      <c r="C376" s="376"/>
      <c r="D376" s="1241"/>
      <c r="E376" s="1241"/>
      <c r="F376" s="1241"/>
      <c r="I376" s="390"/>
    </row>
    <row r="377" spans="1:9">
      <c r="A377" s="376"/>
      <c r="B377" s="376"/>
      <c r="C377" s="376"/>
      <c r="D377" s="1241"/>
      <c r="E377" s="1241"/>
      <c r="F377" s="1241"/>
      <c r="I377" s="390"/>
    </row>
    <row r="378" spans="1:9">
      <c r="A378" s="376"/>
      <c r="B378" s="376"/>
      <c r="C378" s="376"/>
      <c r="D378" s="1241"/>
      <c r="E378" s="1241"/>
      <c r="F378" s="1241"/>
      <c r="I378" s="390"/>
    </row>
    <row r="379" spans="1:9">
      <c r="A379" s="376"/>
      <c r="B379" s="376"/>
      <c r="C379" s="376"/>
      <c r="D379" s="423"/>
      <c r="E379" s="423"/>
      <c r="F379" s="423"/>
      <c r="I379" s="390"/>
    </row>
    <row r="380" spans="1:9">
      <c r="A380" s="376"/>
      <c r="B380" s="385" t="s">
        <v>2765</v>
      </c>
      <c r="C380" s="376"/>
      <c r="D380" s="304" t="s">
        <v>412</v>
      </c>
      <c r="E380" s="423"/>
      <c r="F380" s="423"/>
      <c r="I380" s="390"/>
    </row>
    <row r="381" spans="1:9">
      <c r="A381" s="376"/>
      <c r="B381" s="376"/>
      <c r="C381" s="376"/>
      <c r="D381" s="304" t="s">
        <v>413</v>
      </c>
      <c r="E381" s="423"/>
      <c r="F381" s="423"/>
      <c r="I381" s="390"/>
    </row>
    <row r="382" spans="1:9">
      <c r="A382" s="376"/>
      <c r="B382" s="376"/>
      <c r="C382" s="376"/>
      <c r="D382" s="304" t="s">
        <v>414</v>
      </c>
      <c r="E382" s="423"/>
      <c r="F382" s="423"/>
      <c r="I382" s="390"/>
    </row>
    <row r="383" spans="1:9">
      <c r="A383" s="376"/>
      <c r="B383" s="376"/>
      <c r="C383" s="376"/>
      <c r="D383" s="304" t="s">
        <v>415</v>
      </c>
      <c r="E383" s="423"/>
      <c r="F383" s="423"/>
      <c r="I383" s="390"/>
    </row>
    <row r="384" spans="1:9">
      <c r="A384" s="376"/>
      <c r="B384" s="376"/>
      <c r="C384" s="376"/>
      <c r="D384" s="304" t="s">
        <v>416</v>
      </c>
      <c r="E384" s="423"/>
      <c r="F384" s="423"/>
      <c r="I384" s="390"/>
    </row>
    <row r="385" spans="1:9">
      <c r="A385" s="376"/>
      <c r="B385" s="376"/>
      <c r="C385" s="376"/>
      <c r="D385" s="304" t="s">
        <v>417</v>
      </c>
      <c r="E385" s="423"/>
      <c r="F385" s="423"/>
      <c r="I385" s="390"/>
    </row>
    <row r="386" spans="1:9">
      <c r="A386" s="376"/>
      <c r="B386" s="376"/>
      <c r="C386" s="376"/>
      <c r="E386" s="348"/>
      <c r="F386" s="347"/>
      <c r="I386" s="390"/>
    </row>
    <row r="387" spans="1:9">
      <c r="A387" s="384"/>
      <c r="B387" s="385" t="s">
        <v>2765</v>
      </c>
      <c r="C387" s="376"/>
      <c r="D387" s="1224" t="s">
        <v>418</v>
      </c>
      <c r="E387" s="1224"/>
      <c r="F387" s="1224"/>
      <c r="I387" s="390"/>
    </row>
    <row r="388" spans="1:9">
      <c r="A388" s="376"/>
      <c r="B388" s="376"/>
      <c r="C388" s="376"/>
      <c r="D388" s="1224"/>
      <c r="E388" s="1224"/>
      <c r="F388" s="1224"/>
      <c r="I388" s="390"/>
    </row>
    <row r="389" spans="1:9">
      <c r="A389" s="376"/>
      <c r="B389" s="376"/>
      <c r="C389" s="376"/>
      <c r="D389" s="1224"/>
      <c r="E389" s="1224"/>
      <c r="F389" s="1224"/>
      <c r="I389" s="390"/>
    </row>
    <row r="390" spans="1:9">
      <c r="A390" s="376"/>
      <c r="B390" s="376"/>
      <c r="C390" s="376"/>
      <c r="D390" s="1224"/>
      <c r="E390" s="1224"/>
      <c r="F390" s="1224"/>
      <c r="I390" s="390"/>
    </row>
    <row r="391" spans="1:9">
      <c r="A391" s="376"/>
      <c r="B391" s="376"/>
      <c r="C391" s="376"/>
      <c r="D391" s="348"/>
      <c r="E391" s="348"/>
      <c r="F391" s="347"/>
      <c r="I391" s="390"/>
    </row>
    <row r="392" spans="1:9">
      <c r="A392" s="376"/>
      <c r="B392" s="376"/>
      <c r="C392" s="376"/>
      <c r="D392" s="1224" t="s">
        <v>419</v>
      </c>
      <c r="E392" s="1224"/>
      <c r="F392" s="1224"/>
      <c r="I392" s="390"/>
    </row>
    <row r="393" spans="1:9">
      <c r="A393" s="376"/>
      <c r="B393" s="376"/>
      <c r="C393" s="376"/>
      <c r="D393" s="1224"/>
      <c r="E393" s="1224"/>
      <c r="F393" s="1224"/>
      <c r="I393" s="390"/>
    </row>
    <row r="394" spans="1:9">
      <c r="A394" s="376"/>
      <c r="B394" s="376"/>
      <c r="C394" s="376"/>
      <c r="D394" s="1224"/>
      <c r="E394" s="1224"/>
      <c r="F394" s="1224"/>
      <c r="I394" s="390"/>
    </row>
    <row r="395" spans="1:9">
      <c r="A395" s="376"/>
      <c r="B395" s="376"/>
      <c r="C395" s="376"/>
      <c r="D395" s="1224"/>
      <c r="E395" s="1224"/>
      <c r="F395" s="1224"/>
      <c r="I395" s="390"/>
    </row>
    <row r="396" spans="1:9" ht="18" customHeight="1">
      <c r="A396" s="376"/>
      <c r="B396" s="376"/>
      <c r="C396" s="376"/>
      <c r="D396" s="1224"/>
      <c r="E396" s="1224"/>
      <c r="F396" s="1224"/>
      <c r="I396" s="390"/>
    </row>
    <row r="397" spans="1:9">
      <c r="A397" s="376"/>
      <c r="B397" s="376"/>
      <c r="C397" s="376"/>
      <c r="D397" s="1224"/>
      <c r="E397" s="1224"/>
      <c r="F397" s="1224"/>
      <c r="I397" s="390"/>
    </row>
    <row r="398" spans="1:9">
      <c r="A398" s="376"/>
      <c r="B398" s="376"/>
      <c r="C398" s="376"/>
      <c r="D398" s="1224"/>
      <c r="E398" s="1224"/>
      <c r="F398" s="1224"/>
      <c r="I398" s="390"/>
    </row>
    <row r="399" spans="1:9">
      <c r="A399" s="376"/>
      <c r="B399" s="376"/>
      <c r="C399" s="376"/>
      <c r="D399" s="1224"/>
      <c r="E399" s="1224"/>
      <c r="F399" s="1224"/>
      <c r="I399" s="390"/>
    </row>
    <row r="400" spans="1:9" ht="8.25" customHeight="1">
      <c r="A400" s="376"/>
      <c r="B400" s="376"/>
      <c r="C400" s="376"/>
      <c r="D400" s="1224"/>
      <c r="E400" s="1224"/>
      <c r="F400" s="1224"/>
      <c r="I400" s="390"/>
    </row>
    <row r="401" spans="1:9" ht="13.75" customHeight="1">
      <c r="A401" s="376"/>
      <c r="B401" s="376"/>
      <c r="C401" s="376"/>
      <c r="D401" s="1224" t="s">
        <v>420</v>
      </c>
      <c r="E401" s="1224"/>
      <c r="F401" s="1224"/>
      <c r="I401" s="390"/>
    </row>
    <row r="402" spans="1:9">
      <c r="A402" s="376"/>
      <c r="B402" s="376"/>
      <c r="C402" s="376"/>
      <c r="D402" s="1224"/>
      <c r="E402" s="1224"/>
      <c r="F402" s="1224"/>
      <c r="I402" s="390"/>
    </row>
    <row r="403" spans="1:9">
      <c r="A403" s="376"/>
      <c r="B403" s="376"/>
      <c r="C403" s="376"/>
      <c r="D403" s="1224"/>
      <c r="E403" s="1224"/>
      <c r="F403" s="1224"/>
      <c r="I403" s="390"/>
    </row>
    <row r="404" spans="1:9">
      <c r="A404" s="376"/>
      <c r="B404" s="376"/>
      <c r="C404" s="376"/>
      <c r="D404" s="1224"/>
      <c r="E404" s="1224"/>
      <c r="F404" s="1224"/>
      <c r="I404" s="390"/>
    </row>
    <row r="405" spans="1:9">
      <c r="A405" s="376"/>
      <c r="B405" s="376"/>
      <c r="C405" s="376"/>
      <c r="D405" s="1224"/>
      <c r="E405" s="1224"/>
      <c r="F405" s="1224"/>
      <c r="I405" s="390"/>
    </row>
    <row r="406" spans="1:9">
      <c r="A406" s="376"/>
      <c r="B406" s="376"/>
      <c r="C406" s="376"/>
      <c r="D406" s="1224"/>
      <c r="E406" s="1224"/>
      <c r="F406" s="1224"/>
      <c r="I406" s="390"/>
    </row>
    <row r="407" spans="1:9">
      <c r="A407" s="376"/>
      <c r="B407" s="376"/>
      <c r="C407" s="376"/>
      <c r="D407" s="1224"/>
      <c r="E407" s="1224"/>
      <c r="F407" s="1224"/>
      <c r="I407" s="390"/>
    </row>
    <row r="408" spans="1:9">
      <c r="A408" s="376"/>
      <c r="B408" s="376"/>
      <c r="C408" s="376"/>
      <c r="D408" s="1224"/>
      <c r="E408" s="1224"/>
      <c r="F408" s="1224"/>
      <c r="I408" s="390"/>
    </row>
    <row r="409" spans="1:9">
      <c r="A409" s="376"/>
      <c r="B409" s="376"/>
      <c r="C409" s="376"/>
      <c r="D409" s="1224"/>
      <c r="E409" s="1224"/>
      <c r="F409" s="1224"/>
      <c r="I409" s="390"/>
    </row>
    <row r="410" spans="1:9">
      <c r="A410" s="376"/>
      <c r="B410" s="376"/>
      <c r="C410" s="376"/>
      <c r="D410" s="1224"/>
      <c r="E410" s="1224"/>
      <c r="F410" s="1224"/>
      <c r="I410" s="390"/>
    </row>
    <row r="411" spans="1:9">
      <c r="A411" s="376"/>
      <c r="B411" s="376"/>
      <c r="C411" s="376"/>
      <c r="D411" s="1224"/>
      <c r="E411" s="1224"/>
      <c r="F411" s="1224"/>
      <c r="I411" s="390"/>
    </row>
    <row r="412" spans="1:9">
      <c r="A412" s="376"/>
      <c r="B412" s="376"/>
      <c r="C412" s="376"/>
      <c r="D412" s="1224"/>
      <c r="E412" s="1224"/>
      <c r="F412" s="1224"/>
      <c r="I412" s="390"/>
    </row>
    <row r="413" spans="1:9">
      <c r="A413" s="376"/>
      <c r="B413" s="376"/>
      <c r="C413" s="396"/>
      <c r="D413" s="1224"/>
      <c r="E413" s="1224"/>
      <c r="F413" s="1224"/>
      <c r="I413" s="390"/>
    </row>
    <row r="414" spans="1:9">
      <c r="A414" s="376"/>
      <c r="B414" s="376"/>
      <c r="C414" s="396"/>
      <c r="D414" s="1224"/>
      <c r="E414" s="1224"/>
      <c r="F414" s="1224"/>
      <c r="I414" s="390"/>
    </row>
    <row r="415" spans="1:9">
      <c r="A415" s="376"/>
      <c r="B415" s="376"/>
      <c r="C415" s="376"/>
      <c r="D415" s="1224"/>
      <c r="E415" s="1224"/>
      <c r="F415" s="1224"/>
      <c r="I415" s="390"/>
    </row>
    <row r="416" spans="1:9">
      <c r="A416" s="376"/>
      <c r="B416" s="376"/>
      <c r="C416" s="396"/>
      <c r="D416" s="1224"/>
      <c r="E416" s="1224"/>
      <c r="F416" s="1224"/>
      <c r="I416" s="390"/>
    </row>
    <row r="417" spans="1:9">
      <c r="A417" s="376"/>
      <c r="B417" s="376"/>
      <c r="C417" s="396"/>
      <c r="D417" s="1224"/>
      <c r="E417" s="1224"/>
      <c r="F417" s="1224"/>
      <c r="I417" s="390"/>
    </row>
    <row r="418" spans="1:9">
      <c r="A418" s="376"/>
      <c r="B418" s="376"/>
      <c r="C418" s="396"/>
      <c r="D418" s="1224"/>
      <c r="E418" s="1224"/>
      <c r="F418" s="1224"/>
      <c r="I418" s="390"/>
    </row>
    <row r="419" spans="1:9">
      <c r="A419" s="376"/>
      <c r="B419" s="376"/>
      <c r="C419" s="376"/>
      <c r="D419" s="348"/>
      <c r="E419" s="348"/>
      <c r="F419" s="347"/>
      <c r="I419" s="390"/>
    </row>
    <row r="420" spans="1:9">
      <c r="A420" s="376"/>
      <c r="B420" s="385" t="s">
        <v>2764</v>
      </c>
      <c r="C420" s="376"/>
      <c r="D420" s="1224" t="s">
        <v>421</v>
      </c>
      <c r="E420" s="1224"/>
      <c r="F420" s="1224"/>
      <c r="I420" s="390"/>
    </row>
    <row r="421" spans="1:9">
      <c r="A421" s="376"/>
      <c r="B421" s="376"/>
      <c r="C421" s="376"/>
      <c r="D421" s="1224"/>
      <c r="E421" s="1224"/>
      <c r="F421" s="1224"/>
      <c r="I421" s="390"/>
    </row>
    <row r="422" spans="1:9">
      <c r="A422" s="376"/>
      <c r="B422" s="376"/>
      <c r="C422" s="376"/>
      <c r="D422" s="352"/>
      <c r="E422" s="352"/>
      <c r="F422" s="352"/>
      <c r="I422" s="390"/>
    </row>
    <row r="423" spans="1:9" ht="14.5" customHeight="1">
      <c r="A423" s="384"/>
      <c r="B423" s="385" t="s">
        <v>2764</v>
      </c>
      <c r="D423" s="1224" t="s">
        <v>422</v>
      </c>
      <c r="E423" s="1224"/>
      <c r="F423" s="1224"/>
      <c r="I423" s="390"/>
    </row>
    <row r="424" spans="1:9" ht="14.5" customHeight="1">
      <c r="A424" s="384"/>
      <c r="D424" s="1224"/>
      <c r="E424" s="1224"/>
      <c r="F424" s="1224"/>
      <c r="I424" s="390"/>
    </row>
    <row r="425" spans="1:9" ht="14.5" customHeight="1">
      <c r="A425" s="384"/>
      <c r="D425" s="1224"/>
      <c r="E425" s="1224"/>
      <c r="F425" s="1224"/>
      <c r="I425" s="390"/>
    </row>
    <row r="426" spans="1:9" ht="14.5" customHeight="1">
      <c r="A426" s="384"/>
      <c r="D426" s="1224"/>
      <c r="E426" s="1224"/>
      <c r="F426" s="1224"/>
      <c r="I426" s="390"/>
    </row>
    <row r="427" spans="1:9" ht="14.5" customHeight="1">
      <c r="A427" s="384"/>
      <c r="D427" s="1224"/>
      <c r="E427" s="1224"/>
      <c r="F427" s="1224"/>
      <c r="I427" s="390"/>
    </row>
    <row r="428" spans="1:9" ht="14.5" customHeight="1">
      <c r="A428" s="384"/>
      <c r="D428" s="287"/>
      <c r="E428" s="287"/>
      <c r="F428" s="287"/>
      <c r="I428" s="390"/>
    </row>
    <row r="429" spans="1:9" ht="13.75" customHeight="1">
      <c r="A429" s="384"/>
      <c r="B429" s="385" t="s">
        <v>2764</v>
      </c>
      <c r="C429" s="376"/>
      <c r="D429" s="1224" t="s">
        <v>423</v>
      </c>
      <c r="E429" s="1224"/>
      <c r="F429" s="1224"/>
      <c r="I429" s="390"/>
    </row>
    <row r="430" spans="1:9">
      <c r="A430" s="397"/>
      <c r="B430" s="397"/>
      <c r="C430" s="376"/>
      <c r="D430" s="1224"/>
      <c r="E430" s="1224"/>
      <c r="F430" s="1224"/>
      <c r="I430" s="390"/>
    </row>
    <row r="431" spans="1:9">
      <c r="A431" s="397"/>
      <c r="B431" s="397"/>
      <c r="C431" s="376"/>
      <c r="D431" s="1224"/>
      <c r="E431" s="1224"/>
      <c r="F431" s="1224"/>
      <c r="I431" s="390"/>
    </row>
    <row r="432" spans="1:9">
      <c r="A432" s="397"/>
      <c r="B432" s="397"/>
      <c r="C432" s="376"/>
      <c r="D432" s="1224"/>
      <c r="E432" s="1224"/>
      <c r="F432" s="1224"/>
      <c r="I432" s="390"/>
    </row>
    <row r="433" spans="1:9" ht="15.75" customHeight="1">
      <c r="A433" s="397"/>
      <c r="B433" s="397"/>
      <c r="C433" s="376"/>
      <c r="D433" s="1258" t="s">
        <v>424</v>
      </c>
      <c r="E433" s="1224"/>
      <c r="F433" s="1224"/>
      <c r="I433" s="390"/>
    </row>
    <row r="434" spans="1:9">
      <c r="D434" s="347"/>
      <c r="E434" s="347"/>
      <c r="F434" s="347"/>
      <c r="I434" s="390"/>
    </row>
    <row r="435" spans="1:9">
      <c r="A435" s="384"/>
      <c r="B435" s="385" t="s">
        <v>2765</v>
      </c>
      <c r="C435" s="387"/>
      <c r="D435" s="1244" t="s">
        <v>425</v>
      </c>
      <c r="E435" s="1244"/>
      <c r="F435" s="1244"/>
      <c r="I435" s="390"/>
    </row>
    <row r="436" spans="1:9">
      <c r="A436" s="384"/>
      <c r="B436" s="384"/>
      <c r="D436" s="1244"/>
      <c r="E436" s="1244"/>
      <c r="F436" s="1244"/>
      <c r="I436" s="390"/>
    </row>
    <row r="437" spans="1:9">
      <c r="D437" s="1244"/>
      <c r="E437" s="1244"/>
      <c r="F437" s="1244"/>
      <c r="I437" s="390"/>
    </row>
    <row r="438" spans="1:9">
      <c r="D438" s="1244"/>
      <c r="E438" s="1244"/>
      <c r="F438" s="1244"/>
      <c r="I438" s="390"/>
    </row>
    <row r="439" spans="1:9">
      <c r="D439" s="1244"/>
      <c r="E439" s="1244"/>
      <c r="F439" s="1244"/>
      <c r="I439" s="390"/>
    </row>
    <row r="440" spans="1:9">
      <c r="D440" s="1244"/>
      <c r="E440" s="1244"/>
      <c r="F440" s="1244"/>
      <c r="I440" s="390"/>
    </row>
    <row r="441" spans="1:9">
      <c r="D441" s="1244"/>
      <c r="E441" s="1244"/>
      <c r="F441" s="1244"/>
      <c r="I441" s="390"/>
    </row>
    <row r="442" spans="1:9">
      <c r="D442" s="1244"/>
      <c r="E442" s="1244"/>
      <c r="F442" s="1244"/>
      <c r="I442" s="390"/>
    </row>
    <row r="443" spans="1:9">
      <c r="D443" s="1244"/>
      <c r="E443" s="1244"/>
      <c r="F443" s="1244"/>
      <c r="I443" s="390"/>
    </row>
    <row r="444" spans="1:9">
      <c r="D444" s="1244"/>
      <c r="E444" s="1244"/>
      <c r="F444" s="1244"/>
      <c r="I444" s="390"/>
    </row>
    <row r="445" spans="1:9">
      <c r="D445" s="1244"/>
      <c r="E445" s="1244"/>
      <c r="F445" s="1244"/>
      <c r="I445" s="390"/>
    </row>
    <row r="446" spans="1:9">
      <c r="D446" s="1244"/>
      <c r="E446" s="1244"/>
      <c r="F446" s="1244"/>
      <c r="I446" s="390"/>
    </row>
    <row r="447" spans="1:9">
      <c r="D447" s="1244"/>
      <c r="E447" s="1244"/>
      <c r="F447" s="1244"/>
      <c r="I447" s="390"/>
    </row>
    <row r="448" spans="1:9">
      <c r="A448" s="304"/>
      <c r="B448" s="304"/>
      <c r="C448" s="304"/>
      <c r="D448" s="1244"/>
      <c r="E448" s="1244"/>
      <c r="F448" s="1244"/>
      <c r="I448" s="390"/>
    </row>
    <row r="449" spans="1:9">
      <c r="A449" s="304"/>
      <c r="B449" s="304"/>
      <c r="C449" s="304"/>
      <c r="D449" s="1244"/>
      <c r="E449" s="1244"/>
      <c r="F449" s="1244"/>
      <c r="I449" s="390"/>
    </row>
    <row r="450" spans="1:9">
      <c r="A450" s="304"/>
      <c r="B450" s="304"/>
      <c r="C450" s="304"/>
      <c r="D450" s="1244"/>
      <c r="E450" s="1244"/>
      <c r="F450" s="1244"/>
      <c r="I450" s="390"/>
    </row>
    <row r="451" spans="1:9">
      <c r="A451" s="304"/>
      <c r="B451" s="304"/>
      <c r="C451" s="304"/>
      <c r="D451" s="1244"/>
      <c r="E451" s="1244"/>
      <c r="F451" s="1244"/>
      <c r="I451" s="390"/>
    </row>
    <row r="452" spans="1:9">
      <c r="A452" s="304"/>
      <c r="B452" s="304"/>
      <c r="C452" s="304"/>
      <c r="D452" s="1244"/>
      <c r="E452" s="1244"/>
      <c r="F452" s="1244"/>
      <c r="I452" s="390"/>
    </row>
    <row r="453" spans="1:9">
      <c r="A453" s="304"/>
      <c r="B453" s="304"/>
      <c r="C453" s="304"/>
      <c r="D453" s="1244"/>
      <c r="E453" s="1244"/>
      <c r="F453" s="1244"/>
      <c r="I453" s="390"/>
    </row>
    <row r="454" spans="1:9">
      <c r="A454" s="304"/>
      <c r="B454" s="304"/>
      <c r="C454" s="304"/>
      <c r="D454" s="1244"/>
      <c r="E454" s="1244"/>
      <c r="F454" s="1244"/>
      <c r="I454" s="390"/>
    </row>
    <row r="455" spans="1:9">
      <c r="A455" s="304"/>
      <c r="B455" s="304"/>
      <c r="C455" s="304"/>
      <c r="D455" s="1244"/>
      <c r="E455" s="1244"/>
      <c r="F455" s="1244"/>
      <c r="I455" s="390"/>
    </row>
    <row r="456" spans="1:9">
      <c r="A456" s="304"/>
      <c r="B456" s="304"/>
      <c r="C456" s="304"/>
      <c r="D456" s="1244"/>
      <c r="E456" s="1244"/>
      <c r="F456" s="1244"/>
      <c r="I456" s="390"/>
    </row>
    <row r="457" spans="1:9">
      <c r="A457" s="304"/>
      <c r="B457" s="304"/>
      <c r="C457" s="304"/>
      <c r="D457" s="1244"/>
      <c r="E457" s="1244"/>
      <c r="F457" s="1244"/>
      <c r="I457" s="390"/>
    </row>
    <row r="458" spans="1:9">
      <c r="A458" s="304"/>
      <c r="B458" s="304"/>
      <c r="C458" s="304"/>
      <c r="D458" s="1244"/>
      <c r="E458" s="1244"/>
      <c r="F458" s="1244"/>
      <c r="I458" s="390"/>
    </row>
    <row r="459" spans="1:9">
      <c r="A459" s="304"/>
      <c r="B459" s="304"/>
      <c r="C459" s="304"/>
      <c r="D459" s="1244"/>
      <c r="E459" s="1244"/>
      <c r="F459" s="1244"/>
      <c r="I459" s="390"/>
    </row>
    <row r="460" spans="1:9">
      <c r="A460" s="304"/>
      <c r="B460" s="304"/>
      <c r="C460" s="304"/>
      <c r="D460" s="1244"/>
      <c r="E460" s="1244"/>
      <c r="F460" s="1244"/>
      <c r="I460" s="390"/>
    </row>
    <row r="461" spans="1:9">
      <c r="A461" s="304"/>
      <c r="B461" s="304"/>
      <c r="C461" s="304"/>
      <c r="D461" s="1244"/>
      <c r="E461" s="1244"/>
      <c r="F461" s="1244"/>
      <c r="I461" s="390"/>
    </row>
    <row r="462" spans="1:9">
      <c r="A462" s="304"/>
      <c r="B462" s="304"/>
      <c r="C462" s="304"/>
      <c r="D462" s="1244"/>
      <c r="E462" s="1244"/>
      <c r="F462" s="1244"/>
      <c r="I462" s="390"/>
    </row>
    <row r="463" spans="1:9">
      <c r="A463" s="304"/>
      <c r="B463" s="304"/>
      <c r="C463" s="304"/>
      <c r="D463" s="1244"/>
      <c r="E463" s="1244"/>
      <c r="F463" s="1244"/>
      <c r="I463" s="390"/>
    </row>
    <row r="464" spans="1:9">
      <c r="D464" s="1244"/>
      <c r="E464" s="1244"/>
      <c r="F464" s="1244"/>
      <c r="I464" s="390"/>
    </row>
    <row r="465" spans="1:9" ht="40.75" customHeight="1">
      <c r="D465" s="1244"/>
      <c r="E465" s="1244"/>
      <c r="F465" s="1244"/>
      <c r="I465" s="390"/>
    </row>
    <row r="466" spans="1:9">
      <c r="D466" s="347"/>
      <c r="E466" s="347"/>
      <c r="F466" s="347"/>
      <c r="I466" s="390"/>
    </row>
    <row r="467" spans="1:9">
      <c r="A467" s="384"/>
      <c r="B467" s="385" t="s">
        <v>2765</v>
      </c>
      <c r="C467" s="387"/>
      <c r="D467" s="1244" t="s">
        <v>426</v>
      </c>
      <c r="E467" s="1244"/>
      <c r="F467" s="1244"/>
      <c r="I467" s="390"/>
    </row>
    <row r="468" spans="1:9">
      <c r="D468" s="1244"/>
      <c r="E468" s="1244"/>
      <c r="F468" s="1244"/>
      <c r="I468" s="390"/>
    </row>
    <row r="469" spans="1:9">
      <c r="D469" s="1244"/>
      <c r="E469" s="1244"/>
      <c r="F469" s="1244"/>
      <c r="I469" s="390"/>
    </row>
    <row r="470" spans="1:9">
      <c r="D470" s="346"/>
      <c r="E470" s="346"/>
      <c r="F470" s="346"/>
      <c r="I470" s="390"/>
    </row>
    <row r="471" spans="1:9">
      <c r="B471" s="385" t="s">
        <v>2765</v>
      </c>
      <c r="C471" s="384"/>
      <c r="D471" s="1244" t="s">
        <v>427</v>
      </c>
      <c r="E471" s="1244"/>
      <c r="F471" s="1244"/>
      <c r="I471" s="390"/>
    </row>
    <row r="472" spans="1:9">
      <c r="D472" s="1244"/>
      <c r="E472" s="1244"/>
      <c r="F472" s="1244"/>
      <c r="I472" s="390"/>
    </row>
    <row r="473" spans="1:9">
      <c r="D473" s="347"/>
      <c r="E473" s="347"/>
      <c r="F473" s="347"/>
      <c r="I473" s="390"/>
    </row>
    <row r="474" spans="1:9">
      <c r="B474" s="385" t="s">
        <v>2765</v>
      </c>
      <c r="C474" s="384"/>
      <c r="D474" s="1244" t="s">
        <v>428</v>
      </c>
      <c r="E474" s="1244"/>
      <c r="F474" s="1244"/>
      <c r="I474" s="390"/>
    </row>
    <row r="475" spans="1:9">
      <c r="D475" s="1244"/>
      <c r="E475" s="1244"/>
      <c r="F475" s="1244"/>
      <c r="I475" s="390"/>
    </row>
    <row r="476" spans="1:9">
      <c r="D476" s="1244"/>
      <c r="E476" s="1244"/>
      <c r="F476" s="1244"/>
      <c r="I476" s="390"/>
    </row>
    <row r="477" spans="1:9">
      <c r="D477" s="1244"/>
      <c r="E477" s="1244"/>
      <c r="F477" s="1244"/>
      <c r="I477" s="390"/>
    </row>
    <row r="478" spans="1:9">
      <c r="B478" s="385" t="s">
        <v>2765</v>
      </c>
      <c r="D478" s="1244"/>
      <c r="E478" s="1244"/>
      <c r="F478" s="1244"/>
      <c r="I478" s="390"/>
    </row>
    <row r="479" spans="1:9">
      <c r="A479" s="304"/>
      <c r="B479" s="304"/>
      <c r="C479" s="304"/>
      <c r="D479" s="1244"/>
      <c r="E479" s="1244"/>
      <c r="F479" s="1244"/>
      <c r="I479" s="390"/>
    </row>
    <row r="480" spans="1:9">
      <c r="A480" s="304"/>
      <c r="C480" s="304"/>
      <c r="D480" s="1244"/>
      <c r="E480" s="1244"/>
      <c r="F480" s="1244"/>
      <c r="I480" s="390"/>
    </row>
    <row r="481" spans="1:9">
      <c r="A481" s="304"/>
      <c r="B481" s="385" t="s">
        <v>2765</v>
      </c>
      <c r="C481" s="304"/>
      <c r="D481" s="1244"/>
      <c r="E481" s="1244"/>
      <c r="F481" s="1244"/>
      <c r="I481" s="390"/>
    </row>
    <row r="482" spans="1:9">
      <c r="A482" s="304"/>
      <c r="B482" s="304"/>
      <c r="C482" s="304"/>
      <c r="D482" s="1244"/>
      <c r="E482" s="1244"/>
      <c r="F482" s="1244"/>
      <c r="I482" s="390"/>
    </row>
    <row r="483" spans="1:9">
      <c r="A483" s="304"/>
      <c r="C483" s="304"/>
      <c r="D483" s="1244"/>
      <c r="E483" s="1244"/>
      <c r="F483" s="1244"/>
      <c r="I483" s="390"/>
    </row>
    <row r="484" spans="1:9">
      <c r="A484" s="304"/>
      <c r="C484" s="304"/>
      <c r="D484" s="1244"/>
      <c r="E484" s="1244"/>
      <c r="F484" s="1244"/>
      <c r="I484" s="390"/>
    </row>
    <row r="485" spans="1:9">
      <c r="A485" s="304"/>
      <c r="C485" s="304"/>
      <c r="D485" s="1244"/>
      <c r="E485" s="1244"/>
      <c r="F485" s="1244"/>
      <c r="I485" s="390"/>
    </row>
    <row r="486" spans="1:9">
      <c r="A486" s="304"/>
      <c r="B486" s="385" t="s">
        <v>2765</v>
      </c>
      <c r="C486" s="304"/>
      <c r="D486" s="1244"/>
      <c r="E486" s="1244"/>
      <c r="F486" s="1244"/>
      <c r="I486" s="390"/>
    </row>
    <row r="487" spans="1:9">
      <c r="A487" s="304"/>
      <c r="C487" s="304"/>
      <c r="D487" s="1244"/>
      <c r="E487" s="1244"/>
      <c r="F487" s="1244"/>
      <c r="I487" s="390"/>
    </row>
    <row r="488" spans="1:9">
      <c r="A488" s="304"/>
      <c r="B488" s="385" t="s">
        <v>2765</v>
      </c>
      <c r="C488" s="304"/>
      <c r="D488" s="1244" t="s">
        <v>429</v>
      </c>
      <c r="E488" s="1244"/>
      <c r="F488" s="1244"/>
      <c r="I488" s="390"/>
    </row>
    <row r="489" spans="1:9">
      <c r="A489" s="304"/>
      <c r="B489" s="304"/>
      <c r="C489" s="304"/>
      <c r="D489" s="1244"/>
      <c r="E489" s="1244"/>
      <c r="F489" s="1244"/>
      <c r="I489" s="390"/>
    </row>
    <row r="490" spans="1:9">
      <c r="A490" s="304"/>
      <c r="B490" s="304"/>
      <c r="C490" s="304"/>
      <c r="D490" s="1244"/>
      <c r="E490" s="1244"/>
      <c r="F490" s="1244"/>
      <c r="I490" s="390"/>
    </row>
    <row r="491" spans="1:9">
      <c r="A491" s="304"/>
      <c r="B491" s="304"/>
      <c r="C491" s="304"/>
      <c r="D491" s="1244"/>
      <c r="E491" s="1244"/>
      <c r="F491" s="1244"/>
      <c r="I491" s="390"/>
    </row>
    <row r="492" spans="1:9">
      <c r="D492" s="1244"/>
      <c r="E492" s="1244"/>
      <c r="F492" s="1244"/>
      <c r="I492" s="390"/>
    </row>
    <row r="493" spans="1:9">
      <c r="D493" s="347"/>
      <c r="E493" s="347"/>
      <c r="F493" s="347"/>
      <c r="I493" s="390"/>
    </row>
    <row r="494" spans="1:9">
      <c r="B494" s="385" t="s">
        <v>2765</v>
      </c>
      <c r="D494" s="1245" t="s">
        <v>430</v>
      </c>
      <c r="E494" s="1245"/>
      <c r="F494" s="1245"/>
      <c r="I494" s="390"/>
    </row>
    <row r="495" spans="1:9">
      <c r="A495" s="347"/>
      <c r="B495" s="347"/>
      <c r="I495" s="390"/>
    </row>
    <row r="496" spans="1:9">
      <c r="A496" s="1247" t="s">
        <v>431</v>
      </c>
      <c r="B496" s="1247"/>
      <c r="C496" s="1247"/>
      <c r="D496" s="1247"/>
      <c r="E496" s="1247"/>
      <c r="F496" s="1247"/>
      <c r="G496" s="1247"/>
      <c r="H496" s="918"/>
      <c r="I496" s="1041"/>
    </row>
    <row r="497" spans="1:9">
      <c r="A497" s="347"/>
      <c r="B497" s="347"/>
      <c r="I497" s="390"/>
    </row>
    <row r="498" spans="1:9">
      <c r="D498" s="1260" t="s">
        <v>432</v>
      </c>
      <c r="E498" s="1260"/>
      <c r="F498" s="1260"/>
      <c r="I498" s="390"/>
    </row>
    <row r="499" spans="1:9">
      <c r="A499" s="384"/>
      <c r="B499" s="384"/>
      <c r="D499" s="1256" t="s">
        <v>433</v>
      </c>
      <c r="E499" s="1256"/>
      <c r="F499" s="1256"/>
      <c r="I499" s="390"/>
    </row>
    <row r="500" spans="1:9">
      <c r="A500" s="384"/>
      <c r="B500" s="384"/>
      <c r="D500" s="348"/>
      <c r="I500" s="390"/>
    </row>
    <row r="501" spans="1:9">
      <c r="A501" s="384"/>
      <c r="B501" s="385" t="s">
        <v>2764</v>
      </c>
      <c r="D501" s="1224" t="s">
        <v>434</v>
      </c>
      <c r="E501" s="1224"/>
      <c r="F501" s="1224"/>
      <c r="I501" s="390"/>
    </row>
    <row r="502" spans="1:9">
      <c r="A502" s="384"/>
      <c r="B502" s="384"/>
      <c r="D502" s="1224"/>
      <c r="E502" s="1224"/>
      <c r="F502" s="1224"/>
      <c r="I502" s="390"/>
    </row>
    <row r="503" spans="1:9">
      <c r="A503" s="384"/>
      <c r="B503" s="384"/>
      <c r="D503" s="347"/>
      <c r="I503" s="390"/>
    </row>
    <row r="504" spans="1:9" ht="12.75" customHeight="1">
      <c r="B504" s="385" t="s">
        <v>2764</v>
      </c>
      <c r="D504" s="1248" t="s">
        <v>435</v>
      </c>
      <c r="E504" s="1248"/>
      <c r="F504" s="1248"/>
      <c r="I504" s="390"/>
    </row>
    <row r="505" spans="1:9">
      <c r="A505" s="384"/>
      <c r="D505" s="1248"/>
      <c r="E505" s="1248"/>
      <c r="F505" s="1248"/>
      <c r="I505" s="390"/>
    </row>
    <row r="506" spans="1:9">
      <c r="A506" s="384"/>
      <c r="B506" s="384"/>
      <c r="D506" s="1248"/>
      <c r="E506" s="1248"/>
      <c r="F506" s="1248"/>
      <c r="I506" s="390"/>
    </row>
    <row r="507" spans="1:9">
      <c r="A507" s="384"/>
      <c r="B507" s="384"/>
      <c r="D507" s="1248"/>
      <c r="E507" s="1248"/>
      <c r="F507" s="1248"/>
      <c r="I507" s="390"/>
    </row>
    <row r="508" spans="1:9">
      <c r="A508" s="384"/>
      <c r="D508" s="419"/>
      <c r="E508" s="419"/>
      <c r="F508" s="419"/>
      <c r="I508" s="390"/>
    </row>
    <row r="509" spans="1:9">
      <c r="A509" s="384"/>
      <c r="B509" s="385" t="s">
        <v>2764</v>
      </c>
      <c r="D509" s="1245" t="s">
        <v>436</v>
      </c>
      <c r="E509" s="1245"/>
      <c r="F509" s="1245"/>
      <c r="I509" s="390"/>
    </row>
    <row r="510" spans="1:9">
      <c r="A510" s="384"/>
      <c r="B510" s="384"/>
      <c r="D510" s="347"/>
      <c r="I510" s="390"/>
    </row>
    <row r="511" spans="1:9">
      <c r="A511" s="384"/>
      <c r="B511" s="385" t="s">
        <v>2764</v>
      </c>
      <c r="D511" s="1244" t="s">
        <v>437</v>
      </c>
      <c r="E511" s="1244"/>
      <c r="F511" s="1244"/>
      <c r="I511" s="390"/>
    </row>
    <row r="512" spans="1:9">
      <c r="A512" s="384"/>
      <c r="D512" s="1244"/>
      <c r="E512" s="1244"/>
      <c r="F512" s="1244"/>
      <c r="I512" s="390"/>
    </row>
    <row r="513" spans="1:9">
      <c r="A513" s="390"/>
      <c r="B513" s="390"/>
      <c r="D513" s="348"/>
      <c r="I513" s="390"/>
    </row>
    <row r="514" spans="1:9">
      <c r="A514" s="390"/>
      <c r="B514" s="385" t="s">
        <v>2765</v>
      </c>
      <c r="D514" s="1245" t="s">
        <v>438</v>
      </c>
      <c r="E514" s="1245"/>
      <c r="F514" s="1245"/>
      <c r="I514" s="390"/>
    </row>
    <row r="515" spans="1:9">
      <c r="D515" s="347"/>
      <c r="E515" s="347"/>
      <c r="F515" s="347"/>
      <c r="I515" s="390"/>
    </row>
    <row r="516" spans="1:9">
      <c r="B516" s="385" t="s">
        <v>2765</v>
      </c>
      <c r="D516" s="1244" t="s">
        <v>439</v>
      </c>
      <c r="E516" s="1244"/>
      <c r="F516" s="1244"/>
      <c r="I516" s="390"/>
    </row>
    <row r="517" spans="1:9">
      <c r="D517" s="1244"/>
      <c r="E517" s="1244"/>
      <c r="F517" s="1244"/>
      <c r="I517" s="390"/>
    </row>
    <row r="518" spans="1:9">
      <c r="D518" s="1244"/>
      <c r="E518" s="1244"/>
      <c r="F518" s="1244"/>
      <c r="I518" s="390"/>
    </row>
    <row r="519" spans="1:9">
      <c r="D519" s="347"/>
      <c r="E519" s="347"/>
      <c r="F519" s="347"/>
      <c r="I519" s="390"/>
    </row>
    <row r="520" spans="1:9">
      <c r="A520" s="384"/>
      <c r="B520" s="384"/>
      <c r="D520" s="347"/>
      <c r="I520" s="390"/>
    </row>
    <row r="521" spans="1:9">
      <c r="A521" s="1247" t="s">
        <v>440</v>
      </c>
      <c r="B521" s="1247"/>
      <c r="C521" s="1247"/>
      <c r="D521" s="1247"/>
      <c r="E521" s="1247"/>
      <c r="F521" s="1247"/>
      <c r="G521" s="1247"/>
      <c r="H521" s="918"/>
      <c r="I521" s="1041"/>
    </row>
    <row r="522" spans="1:9" ht="12" customHeight="1">
      <c r="A522" s="384"/>
      <c r="B522" s="384"/>
      <c r="D522" s="347"/>
      <c r="I522" s="390"/>
    </row>
    <row r="523" spans="1:9">
      <c r="C523" s="382"/>
      <c r="D523" s="1252" t="s">
        <v>441</v>
      </c>
      <c r="E523" s="1252"/>
      <c r="F523" s="1252"/>
      <c r="I523" s="390"/>
    </row>
    <row r="524" spans="1:9">
      <c r="C524" s="382"/>
      <c r="D524" s="406" t="s">
        <v>442</v>
      </c>
      <c r="E524" s="406"/>
      <c r="F524" s="406"/>
      <c r="I524" s="390"/>
    </row>
    <row r="525" spans="1:9">
      <c r="C525" s="382"/>
      <c r="D525" s="406" t="s">
        <v>443</v>
      </c>
      <c r="E525" s="406"/>
      <c r="F525" s="406"/>
      <c r="I525" s="390"/>
    </row>
    <row r="526" spans="1:9">
      <c r="C526" s="382"/>
      <c r="D526" s="381"/>
      <c r="E526" s="381"/>
      <c r="F526" s="381"/>
      <c r="I526" s="390"/>
    </row>
    <row r="527" spans="1:9" ht="13.75" customHeight="1">
      <c r="A527" s="383"/>
      <c r="B527" s="385" t="s">
        <v>2764</v>
      </c>
      <c r="C527" s="383"/>
      <c r="D527" s="1224" t="s">
        <v>444</v>
      </c>
      <c r="E527" s="1224"/>
      <c r="F527" s="1224"/>
      <c r="I527" s="390"/>
    </row>
    <row r="528" spans="1:9">
      <c r="A528" s="383"/>
      <c r="B528" s="383"/>
      <c r="C528" s="383"/>
      <c r="D528" s="1224"/>
      <c r="E528" s="1224"/>
      <c r="F528" s="1224"/>
      <c r="I528" s="390"/>
    </row>
    <row r="529" spans="1:9">
      <c r="A529" s="383"/>
      <c r="B529" s="383"/>
      <c r="C529" s="383"/>
      <c r="D529" s="352"/>
      <c r="E529" s="352"/>
      <c r="F529" s="352"/>
      <c r="I529" s="380"/>
    </row>
    <row r="530" spans="1:9" ht="12.75" customHeight="1">
      <c r="A530" s="383"/>
      <c r="B530" s="385" t="s">
        <v>2764</v>
      </c>
      <c r="D530" s="288" t="s">
        <v>445</v>
      </c>
      <c r="E530" s="287"/>
      <c r="F530" s="287"/>
      <c r="I530" s="390"/>
    </row>
    <row r="531" spans="1:9">
      <c r="A531" s="383"/>
      <c r="B531" s="383"/>
      <c r="C531" s="383"/>
      <c r="D531" s="287"/>
      <c r="E531" s="71" t="s">
        <v>446</v>
      </c>
      <c r="I531" s="390"/>
    </row>
    <row r="532" spans="1:9">
      <c r="A532" s="383"/>
      <c r="B532" s="383"/>
      <c r="D532" s="1241" t="s">
        <v>447</v>
      </c>
      <c r="E532" s="1241"/>
      <c r="F532" s="1241"/>
      <c r="I532" s="390"/>
    </row>
    <row r="533" spans="1:9">
      <c r="A533" s="383"/>
      <c r="B533" s="383"/>
      <c r="D533" s="1241"/>
      <c r="E533" s="1241"/>
      <c r="F533" s="1241"/>
      <c r="I533" s="390"/>
    </row>
    <row r="534" spans="1:9">
      <c r="A534" s="383"/>
      <c r="B534" s="383"/>
      <c r="C534" s="383"/>
      <c r="D534" s="1241"/>
      <c r="E534" s="1241"/>
      <c r="F534" s="1241"/>
      <c r="I534" s="390"/>
    </row>
    <row r="535" spans="1:9">
      <c r="A535" s="383"/>
      <c r="B535" s="383"/>
      <c r="C535" s="383"/>
      <c r="D535" s="398"/>
      <c r="F535" s="347"/>
      <c r="I535" s="390"/>
    </row>
    <row r="536" spans="1:9" ht="13.25" customHeight="1">
      <c r="A536" s="383"/>
      <c r="B536" s="385" t="s">
        <v>2765</v>
      </c>
      <c r="C536" s="383"/>
      <c r="D536" s="1244" t="s">
        <v>448</v>
      </c>
      <c r="E536" s="1244"/>
      <c r="F536" s="1244"/>
      <c r="I536" s="390"/>
    </row>
    <row r="537" spans="1:9">
      <c r="A537" s="383"/>
      <c r="B537" s="383"/>
      <c r="C537" s="383"/>
      <c r="D537" s="1244"/>
      <c r="E537" s="1244"/>
      <c r="F537" s="1244"/>
      <c r="I537" s="390"/>
    </row>
    <row r="538" spans="1:9" ht="12" customHeight="1">
      <c r="A538" s="347"/>
      <c r="B538" s="347"/>
      <c r="C538" s="387"/>
      <c r="D538" s="347"/>
      <c r="F538" s="349"/>
      <c r="I538" s="390"/>
    </row>
    <row r="539" spans="1:9">
      <c r="A539" s="1247" t="s">
        <v>449</v>
      </c>
      <c r="B539" s="1247"/>
      <c r="C539" s="1247"/>
      <c r="D539" s="1247"/>
      <c r="E539" s="1247"/>
      <c r="F539" s="1247"/>
      <c r="G539" s="1247"/>
      <c r="H539" s="918"/>
      <c r="I539" s="1041"/>
    </row>
    <row r="540" spans="1:9">
      <c r="A540" s="347"/>
      <c r="B540" s="347"/>
      <c r="C540" s="387"/>
      <c r="F540" s="349"/>
      <c r="I540" s="390"/>
    </row>
    <row r="541" spans="1:9">
      <c r="B541" s="1250" t="s">
        <v>347</v>
      </c>
      <c r="C541" s="1250"/>
      <c r="D541" s="1250"/>
      <c r="E541" s="1250"/>
      <c r="F541" s="1250"/>
      <c r="I541" s="390"/>
    </row>
    <row r="542" spans="1:9">
      <c r="A542" s="347"/>
      <c r="B542" s="347"/>
      <c r="C542" s="387"/>
      <c r="D542" s="347"/>
      <c r="F542" s="347"/>
      <c r="I542" s="390"/>
    </row>
    <row r="543" spans="1:9">
      <c r="A543" s="1251" t="s">
        <v>450</v>
      </c>
      <c r="B543" s="1251"/>
      <c r="C543" s="1251"/>
      <c r="D543" s="1251"/>
      <c r="E543" s="1251"/>
      <c r="F543" s="1251"/>
      <c r="G543" s="1251"/>
      <c r="H543" s="918"/>
      <c r="I543" s="1041"/>
    </row>
    <row r="544" spans="1:9">
      <c r="A544" s="347"/>
      <c r="B544" s="347"/>
      <c r="C544" s="387"/>
      <c r="D544" s="347"/>
      <c r="F544" s="347"/>
      <c r="I544" s="390"/>
    </row>
    <row r="545" spans="1:9">
      <c r="C545" s="387"/>
      <c r="D545" s="1252" t="s">
        <v>451</v>
      </c>
      <c r="E545" s="1252"/>
      <c r="F545" s="1252"/>
      <c r="I545" s="390"/>
    </row>
    <row r="546" spans="1:9">
      <c r="C546" s="387"/>
      <c r="D546" s="1245" t="s">
        <v>452</v>
      </c>
      <c r="E546" s="1245"/>
      <c r="F546" s="1245"/>
      <c r="I546" s="390"/>
    </row>
    <row r="547" spans="1:9">
      <c r="C547" s="387"/>
      <c r="D547" s="347"/>
      <c r="E547" s="347"/>
      <c r="F547" s="347"/>
      <c r="I547" s="390"/>
    </row>
    <row r="548" spans="1:9" ht="13.75" customHeight="1">
      <c r="A548" s="384"/>
      <c r="B548" s="385" t="s">
        <v>2764</v>
      </c>
      <c r="C548" s="387"/>
      <c r="D548" s="1245" t="s">
        <v>453</v>
      </c>
      <c r="E548" s="1245"/>
      <c r="F548" s="1245"/>
      <c r="I548" s="390"/>
    </row>
    <row r="549" spans="1:9" ht="13.75" customHeight="1">
      <c r="A549" s="387"/>
      <c r="B549" s="387"/>
      <c r="C549" s="387"/>
      <c r="D549" s="347"/>
      <c r="I549" s="390"/>
    </row>
    <row r="550" spans="1:9">
      <c r="A550" s="384"/>
      <c r="B550" s="385" t="s">
        <v>2764</v>
      </c>
      <c r="C550" s="387"/>
      <c r="D550" s="1244" t="s">
        <v>454</v>
      </c>
      <c r="E550" s="1244"/>
      <c r="F550" s="1244"/>
      <c r="I550" s="390"/>
    </row>
    <row r="551" spans="1:9">
      <c r="A551" s="387"/>
      <c r="B551" s="387"/>
      <c r="C551" s="387"/>
      <c r="D551" s="1244"/>
      <c r="E551" s="1244"/>
      <c r="F551" s="1244"/>
      <c r="I551" s="390"/>
    </row>
    <row r="552" spans="1:9">
      <c r="A552" s="387"/>
      <c r="B552" s="387"/>
      <c r="C552" s="387"/>
      <c r="D552" s="347"/>
      <c r="E552" s="347"/>
      <c r="F552" s="347"/>
      <c r="I552" s="390"/>
    </row>
    <row r="553" spans="1:9">
      <c r="A553" s="384"/>
      <c r="B553" s="385" t="s">
        <v>2764</v>
      </c>
      <c r="C553" s="387"/>
      <c r="D553" s="1244" t="s">
        <v>455</v>
      </c>
      <c r="E553" s="1244"/>
      <c r="F553" s="1244"/>
      <c r="I553" s="390"/>
    </row>
    <row r="554" spans="1:9">
      <c r="A554" s="387"/>
      <c r="B554" s="387"/>
      <c r="C554" s="387"/>
      <c r="D554" s="1244"/>
      <c r="E554" s="1244"/>
      <c r="F554" s="1244"/>
      <c r="I554" s="390"/>
    </row>
    <row r="555" spans="1:9">
      <c r="A555" s="387"/>
      <c r="B555" s="387"/>
      <c r="C555" s="387"/>
      <c r="D555" s="347"/>
      <c r="E555" s="347"/>
      <c r="F555" s="347"/>
      <c r="I555" s="390"/>
    </row>
    <row r="556" spans="1:9">
      <c r="A556" s="384"/>
      <c r="B556" s="385" t="s">
        <v>2764</v>
      </c>
      <c r="C556" s="387"/>
      <c r="D556" s="1244" t="s">
        <v>456</v>
      </c>
      <c r="E556" s="1244"/>
      <c r="F556" s="1244"/>
      <c r="I556" s="390"/>
    </row>
    <row r="557" spans="1:9">
      <c r="A557" s="387"/>
      <c r="B557" s="387"/>
      <c r="C557" s="387"/>
      <c r="D557" s="1244"/>
      <c r="E557" s="1244"/>
      <c r="F557" s="1244"/>
      <c r="I557" s="390"/>
    </row>
    <row r="558" spans="1:9">
      <c r="A558" s="387"/>
      <c r="B558" s="387"/>
      <c r="C558" s="387"/>
      <c r="D558" s="347"/>
      <c r="E558" s="347"/>
      <c r="F558" s="347"/>
      <c r="I558" s="390"/>
    </row>
    <row r="559" spans="1:9">
      <c r="A559" s="384"/>
      <c r="B559" s="385" t="s">
        <v>2764</v>
      </c>
      <c r="C559" s="387"/>
      <c r="D559" s="1244" t="s">
        <v>457</v>
      </c>
      <c r="E559" s="1244"/>
      <c r="F559" s="1244"/>
      <c r="I559" s="390"/>
    </row>
    <row r="560" spans="1:9">
      <c r="A560" s="387"/>
      <c r="B560" s="387"/>
      <c r="C560" s="387"/>
      <c r="D560" s="1244"/>
      <c r="E560" s="1244"/>
      <c r="F560" s="1244"/>
      <c r="I560" s="390"/>
    </row>
    <row r="561" spans="1:9">
      <c r="A561" s="387"/>
      <c r="B561" s="387"/>
      <c r="C561" s="387"/>
      <c r="D561" s="1244"/>
      <c r="E561" s="1244"/>
      <c r="F561" s="1244"/>
      <c r="I561" s="390"/>
    </row>
    <row r="562" spans="1:9">
      <c r="A562" s="387"/>
      <c r="B562" s="387"/>
      <c r="C562" s="387"/>
      <c r="D562" s="347"/>
      <c r="E562" s="347"/>
      <c r="F562" s="347"/>
      <c r="I562" s="390"/>
    </row>
    <row r="563" spans="1:9">
      <c r="A563" s="384"/>
      <c r="B563" s="385" t="s">
        <v>2765</v>
      </c>
      <c r="C563" s="387"/>
      <c r="D563" s="1244" t="s">
        <v>458</v>
      </c>
      <c r="E563" s="1244"/>
      <c r="F563" s="1244"/>
      <c r="I563" s="390"/>
    </row>
    <row r="564" spans="1:9">
      <c r="A564" s="387"/>
      <c r="B564" s="387"/>
      <c r="C564" s="387"/>
      <c r="D564" s="1244"/>
      <c r="E564" s="1244"/>
      <c r="F564" s="1244"/>
      <c r="I564" s="390"/>
    </row>
    <row r="565" spans="1:9">
      <c r="A565" s="387"/>
      <c r="B565" s="387"/>
      <c r="C565" s="387"/>
      <c r="D565" s="347"/>
      <c r="E565" s="347"/>
      <c r="F565" s="347"/>
      <c r="I565" s="390"/>
    </row>
    <row r="566" spans="1:9">
      <c r="A566" s="384"/>
      <c r="B566" s="385" t="s">
        <v>2764</v>
      </c>
      <c r="C566" s="387"/>
      <c r="D566" s="1244" t="s">
        <v>459</v>
      </c>
      <c r="E566" s="1244"/>
      <c r="F566" s="1244"/>
      <c r="I566" s="390"/>
    </row>
    <row r="567" spans="1:9">
      <c r="A567" s="387"/>
      <c r="B567" s="387"/>
      <c r="C567" s="387"/>
      <c r="D567" s="1244"/>
      <c r="E567" s="1244"/>
      <c r="F567" s="1244"/>
      <c r="I567" s="390"/>
    </row>
    <row r="568" spans="1:9">
      <c r="A568" s="387"/>
      <c r="B568" s="387"/>
      <c r="C568" s="387"/>
      <c r="D568" s="347"/>
      <c r="E568" s="347"/>
      <c r="F568" s="347"/>
      <c r="I568" s="390"/>
    </row>
    <row r="569" spans="1:9">
      <c r="A569" s="384"/>
      <c r="B569" s="385" t="s">
        <v>2764</v>
      </c>
      <c r="C569" s="387"/>
      <c r="D569" s="1245" t="s">
        <v>460</v>
      </c>
      <c r="E569" s="1245"/>
      <c r="F569" s="1245"/>
      <c r="I569" s="390"/>
    </row>
    <row r="570" spans="1:9">
      <c r="A570" s="390"/>
      <c r="B570" s="390"/>
      <c r="C570" s="387"/>
      <c r="D570" s="1245" t="s">
        <v>461</v>
      </c>
      <c r="E570" s="1245"/>
      <c r="F570" s="1245"/>
      <c r="I570" s="390"/>
    </row>
    <row r="571" spans="1:9">
      <c r="A571" s="390"/>
      <c r="B571" s="390"/>
      <c r="C571" s="387"/>
      <c r="E571" s="71" t="s">
        <v>462</v>
      </c>
      <c r="F571" s="306"/>
      <c r="I571" s="390"/>
    </row>
    <row r="572" spans="1:9">
      <c r="A572" s="384"/>
      <c r="B572" s="384"/>
      <c r="C572" s="387"/>
      <c r="E572" s="347"/>
      <c r="F572" s="347"/>
      <c r="I572" s="390"/>
    </row>
    <row r="573" spans="1:9">
      <c r="A573" s="384"/>
      <c r="B573" s="385" t="s">
        <v>2764</v>
      </c>
      <c r="C573" s="387"/>
      <c r="D573" s="1245" t="s">
        <v>463</v>
      </c>
      <c r="E573" s="1245"/>
      <c r="F573" s="1245"/>
      <c r="I573" s="390"/>
    </row>
    <row r="574" spans="1:9">
      <c r="C574" s="387"/>
      <c r="D574" s="1244" t="s">
        <v>464</v>
      </c>
      <c r="E574" s="1244"/>
      <c r="F574" s="1244"/>
      <c r="I574" s="390"/>
    </row>
    <row r="575" spans="1:9">
      <c r="A575" s="387"/>
      <c r="B575" s="387"/>
      <c r="C575" s="387"/>
      <c r="D575" s="1244"/>
      <c r="E575" s="1244"/>
      <c r="F575" s="1244"/>
      <c r="I575" s="390"/>
    </row>
    <row r="576" spans="1:9">
      <c r="A576" s="387"/>
      <c r="B576" s="387"/>
      <c r="C576" s="387"/>
      <c r="D576" s="1244"/>
      <c r="E576" s="1244"/>
      <c r="F576" s="1244"/>
      <c r="I576" s="390"/>
    </row>
    <row r="577" spans="1:9">
      <c r="A577" s="387"/>
      <c r="B577" s="387"/>
      <c r="C577" s="387"/>
      <c r="D577" s="347"/>
      <c r="E577" s="347"/>
      <c r="F577" s="347"/>
      <c r="I577" s="390"/>
    </row>
    <row r="578" spans="1:9">
      <c r="A578" s="384"/>
      <c r="B578" s="385" t="s">
        <v>2764</v>
      </c>
      <c r="C578" s="387"/>
      <c r="D578" s="1244" t="s">
        <v>465</v>
      </c>
      <c r="E578" s="1244"/>
      <c r="F578" s="1244"/>
      <c r="I578" s="390"/>
    </row>
    <row r="579" spans="1:9">
      <c r="A579" s="384"/>
      <c r="B579" s="384"/>
      <c r="C579" s="387"/>
      <c r="D579" s="1244"/>
      <c r="E579" s="1244"/>
      <c r="F579" s="1244"/>
      <c r="I579" s="390"/>
    </row>
    <row r="580" spans="1:9">
      <c r="A580" s="384"/>
      <c r="B580" s="384"/>
      <c r="C580" s="387"/>
      <c r="D580" s="1244"/>
      <c r="E580" s="1244"/>
      <c r="F580" s="1244"/>
      <c r="I580" s="390"/>
    </row>
    <row r="581" spans="1:9">
      <c r="A581" s="384"/>
      <c r="B581" s="384"/>
      <c r="C581" s="387"/>
      <c r="D581" s="1244"/>
      <c r="E581" s="1244"/>
      <c r="F581" s="1244"/>
      <c r="I581" s="390"/>
    </row>
    <row r="582" spans="1:9">
      <c r="A582" s="384"/>
      <c r="B582" s="384"/>
      <c r="C582" s="387"/>
      <c r="D582" s="347"/>
      <c r="E582" s="347"/>
      <c r="F582" s="347"/>
      <c r="I582" s="390"/>
    </row>
    <row r="583" spans="1:9">
      <c r="A583" s="1247" t="s">
        <v>466</v>
      </c>
      <c r="B583" s="1247"/>
      <c r="C583" s="1247"/>
      <c r="D583" s="1247"/>
      <c r="E583" s="1247"/>
      <c r="F583" s="1247"/>
      <c r="G583" s="1247"/>
      <c r="H583" s="918"/>
      <c r="I583" s="1041"/>
    </row>
    <row r="584" spans="1:9">
      <c r="A584" s="387"/>
      <c r="B584" s="387"/>
      <c r="C584" s="387"/>
      <c r="E584" s="347"/>
      <c r="F584" s="347"/>
      <c r="I584" s="390"/>
    </row>
    <row r="585" spans="1:9" ht="12.75" customHeight="1">
      <c r="C585" s="382"/>
      <c r="D585" s="1246" t="s">
        <v>467</v>
      </c>
      <c r="E585" s="1246"/>
      <c r="F585" s="1246"/>
      <c r="I585" s="390"/>
    </row>
    <row r="586" spans="1:9">
      <c r="A586" s="383"/>
      <c r="B586" s="383"/>
      <c r="C586" s="383"/>
      <c r="D586" s="1248" t="s">
        <v>468</v>
      </c>
      <c r="E586" s="1248"/>
      <c r="F586" s="1248"/>
      <c r="I586" s="390"/>
    </row>
    <row r="587" spans="1:9">
      <c r="A587" s="304"/>
      <c r="B587" s="304"/>
      <c r="C587" s="383"/>
      <c r="D587" s="399"/>
      <c r="I587" s="390"/>
    </row>
    <row r="588" spans="1:9">
      <c r="A588" s="383"/>
      <c r="B588" s="385" t="s">
        <v>2764</v>
      </c>
      <c r="D588" s="1248" t="s">
        <v>469</v>
      </c>
      <c r="E588" s="1248"/>
      <c r="F588" s="1248"/>
      <c r="I588" s="390"/>
    </row>
    <row r="589" spans="1:9">
      <c r="A589" s="390"/>
      <c r="B589" s="390"/>
      <c r="D589" s="376"/>
      <c r="I589" s="390"/>
    </row>
    <row r="590" spans="1:9">
      <c r="A590" s="390"/>
      <c r="B590" s="385" t="s">
        <v>2764</v>
      </c>
      <c r="D590" s="1248" t="s">
        <v>470</v>
      </c>
      <c r="E590" s="1248"/>
      <c r="F590" s="1248"/>
      <c r="I590" s="390"/>
    </row>
    <row r="591" spans="1:9">
      <c r="A591" s="390"/>
      <c r="B591" s="390"/>
      <c r="D591" s="1248"/>
      <c r="E591" s="1248"/>
      <c r="F591" s="1248"/>
      <c r="I591" s="390"/>
    </row>
    <row r="592" spans="1:9">
      <c r="A592" s="390"/>
      <c r="B592" s="390"/>
      <c r="D592" s="1248"/>
      <c r="E592" s="1248"/>
      <c r="F592" s="1248"/>
      <c r="I592" s="390"/>
    </row>
    <row r="593" spans="1:9">
      <c r="A593" s="390"/>
      <c r="B593" s="390"/>
      <c r="D593" s="1248"/>
      <c r="E593" s="1248"/>
      <c r="F593" s="1248"/>
      <c r="I593" s="390"/>
    </row>
    <row r="594" spans="1:9">
      <c r="A594" s="390"/>
      <c r="B594" s="385" t="s">
        <v>2765</v>
      </c>
      <c r="D594" s="1248" t="s">
        <v>471</v>
      </c>
      <c r="E594" s="1248"/>
      <c r="F594" s="1248"/>
      <c r="I594" s="390"/>
    </row>
    <row r="595" spans="1:9">
      <c r="A595" s="390"/>
      <c r="B595" s="390"/>
      <c r="D595" s="1248"/>
      <c r="E595" s="1248"/>
      <c r="F595" s="1248"/>
      <c r="I595" s="390"/>
    </row>
    <row r="596" spans="1:9">
      <c r="A596" s="390"/>
      <c r="B596" s="390"/>
      <c r="D596" s="1248"/>
      <c r="E596" s="1248"/>
      <c r="F596" s="1248"/>
      <c r="I596" s="390"/>
    </row>
    <row r="597" spans="1:9">
      <c r="A597" s="390"/>
      <c r="B597" s="390"/>
      <c r="D597" s="1248"/>
      <c r="E597" s="1248"/>
      <c r="F597" s="1248"/>
      <c r="I597" s="390"/>
    </row>
    <row r="598" spans="1:9">
      <c r="A598" s="390"/>
      <c r="B598" s="390"/>
      <c r="D598" s="342"/>
      <c r="E598" s="342"/>
      <c r="F598" s="342"/>
      <c r="I598" s="390"/>
    </row>
    <row r="599" spans="1:9">
      <c r="A599" s="390"/>
      <c r="B599" s="385" t="s">
        <v>2764</v>
      </c>
      <c r="D599" s="1248" t="s">
        <v>472</v>
      </c>
      <c r="E599" s="1248"/>
      <c r="F599" s="1248"/>
      <c r="I599" s="390"/>
    </row>
    <row r="600" spans="1:9">
      <c r="A600" s="390"/>
      <c r="B600" s="390"/>
      <c r="D600" s="1248"/>
      <c r="E600" s="1248"/>
      <c r="F600" s="1248"/>
      <c r="I600" s="390"/>
    </row>
    <row r="601" spans="1:9">
      <c r="A601" s="390"/>
      <c r="B601" s="390"/>
      <c r="D601" s="399"/>
      <c r="I601" s="390"/>
    </row>
    <row r="602" spans="1:9">
      <c r="A602" s="390"/>
      <c r="B602" s="385" t="s">
        <v>2765</v>
      </c>
      <c r="D602" s="1248" t="s">
        <v>473</v>
      </c>
      <c r="E602" s="1248"/>
      <c r="F602" s="1248"/>
      <c r="I602" s="390"/>
    </row>
    <row r="603" spans="1:9">
      <c r="A603" s="390"/>
      <c r="B603" s="390"/>
      <c r="D603" s="1248"/>
      <c r="E603" s="1248"/>
      <c r="F603" s="1248"/>
      <c r="I603" s="390"/>
    </row>
    <row r="604" spans="1:9">
      <c r="A604" s="384"/>
      <c r="B604" s="384"/>
      <c r="D604" s="399"/>
      <c r="I604" s="390"/>
    </row>
    <row r="605" spans="1:9">
      <c r="A605" s="1247" t="s">
        <v>474</v>
      </c>
      <c r="B605" s="1247"/>
      <c r="C605" s="1247"/>
      <c r="D605" s="1247"/>
      <c r="E605" s="1247"/>
      <c r="F605" s="1247"/>
      <c r="G605" s="1247"/>
      <c r="H605" s="918"/>
      <c r="I605" s="1041"/>
    </row>
    <row r="606" spans="1:9">
      <c r="I606" s="390"/>
    </row>
    <row r="607" spans="1:9">
      <c r="D607" s="1252" t="s">
        <v>475</v>
      </c>
      <c r="E607" s="1252"/>
      <c r="F607" s="1252"/>
      <c r="I607" s="390"/>
    </row>
    <row r="608" spans="1:9">
      <c r="D608" s="1253" t="s">
        <v>476</v>
      </c>
      <c r="E608" s="1253"/>
      <c r="F608" s="1253"/>
      <c r="I608" s="390"/>
    </row>
    <row r="609" spans="1:9">
      <c r="D609" s="345"/>
      <c r="I609" s="390"/>
    </row>
    <row r="610" spans="1:9" ht="14.25" customHeight="1">
      <c r="A610" s="384"/>
      <c r="B610" s="385" t="s">
        <v>2764</v>
      </c>
      <c r="D610" s="1273" t="s">
        <v>477</v>
      </c>
      <c r="E610" s="1273"/>
      <c r="F610" s="1273"/>
      <c r="I610" s="390"/>
    </row>
    <row r="611" spans="1:9">
      <c r="D611" s="1273"/>
      <c r="E611" s="1273"/>
      <c r="F611" s="1273"/>
      <c r="I611" s="390"/>
    </row>
    <row r="612" spans="1:9">
      <c r="D612" s="287"/>
      <c r="E612" s="926" t="s">
        <v>478</v>
      </c>
      <c r="F612" s="287"/>
      <c r="I612" s="390"/>
    </row>
    <row r="613" spans="1:9">
      <c r="I613" s="390"/>
    </row>
    <row r="614" spans="1:9">
      <c r="A614" s="1247" t="s">
        <v>479</v>
      </c>
      <c r="B614" s="1247"/>
      <c r="C614" s="1247"/>
      <c r="D614" s="1247"/>
      <c r="E614" s="1247"/>
      <c r="F614" s="1247"/>
      <c r="G614" s="1247"/>
      <c r="H614" s="918"/>
      <c r="I614" s="1041"/>
    </row>
    <row r="615" spans="1:9">
      <c r="A615" s="347"/>
      <c r="B615" s="347"/>
      <c r="I615" s="390"/>
    </row>
    <row r="616" spans="1:9">
      <c r="A616" s="382"/>
      <c r="B616" s="382"/>
      <c r="C616" s="382"/>
      <c r="D616" s="1281" t="s">
        <v>480</v>
      </c>
      <c r="E616" s="1281"/>
      <c r="F616" s="1281"/>
      <c r="I616" s="390"/>
    </row>
    <row r="617" spans="1:9">
      <c r="A617" s="382"/>
      <c r="B617" s="382"/>
      <c r="C617" s="382"/>
      <c r="D617" s="1281"/>
      <c r="E617" s="1281"/>
      <c r="F617" s="1281"/>
      <c r="I617" s="390"/>
    </row>
    <row r="618" spans="1:9">
      <c r="C618" s="383"/>
      <c r="D618" s="1253" t="s">
        <v>481</v>
      </c>
      <c r="E618" s="1253"/>
      <c r="F618" s="1253"/>
      <c r="I618" s="390"/>
    </row>
    <row r="619" spans="1:9">
      <c r="C619" s="383"/>
      <c r="D619" s="345"/>
      <c r="E619" s="345"/>
      <c r="F619" s="345"/>
      <c r="I619" s="390"/>
    </row>
    <row r="620" spans="1:9" ht="12.75" customHeight="1">
      <c r="A620" s="390"/>
      <c r="B620" s="385" t="s">
        <v>2764</v>
      </c>
      <c r="D620" s="1269" t="s">
        <v>482</v>
      </c>
      <c r="E620" s="1269"/>
      <c r="F620" s="1269"/>
      <c r="I620" s="390"/>
    </row>
    <row r="621" spans="1:9">
      <c r="D621" s="1269"/>
      <c r="E621" s="1269"/>
      <c r="F621" s="1269"/>
      <c r="I621" s="390"/>
    </row>
    <row r="622" spans="1:9">
      <c r="I622" s="390"/>
    </row>
    <row r="623" spans="1:9">
      <c r="B623" s="385" t="s">
        <v>2764</v>
      </c>
      <c r="D623" s="1269" t="s">
        <v>483</v>
      </c>
      <c r="E623" s="1269"/>
      <c r="F623" s="1269"/>
      <c r="I623" s="390"/>
    </row>
    <row r="624" spans="1:9">
      <c r="C624" s="400"/>
      <c r="D624" s="1269"/>
      <c r="E624" s="1269"/>
      <c r="F624" s="1269"/>
      <c r="I624" s="390"/>
    </row>
    <row r="625" spans="1:9">
      <c r="C625" s="400"/>
      <c r="I625" s="390"/>
    </row>
    <row r="626" spans="1:9">
      <c r="B626" s="385" t="s">
        <v>2765</v>
      </c>
      <c r="C626" s="400"/>
      <c r="D626" s="1269" t="s">
        <v>484</v>
      </c>
      <c r="E626" s="1269"/>
      <c r="F626" s="1269"/>
      <c r="I626" s="390"/>
    </row>
    <row r="627" spans="1:9">
      <c r="C627" s="400"/>
      <c r="D627" s="1269"/>
      <c r="E627" s="1269"/>
      <c r="F627" s="1269"/>
      <c r="I627" s="400"/>
    </row>
    <row r="628" spans="1:9">
      <c r="C628" s="400"/>
      <c r="I628" s="390"/>
    </row>
    <row r="629" spans="1:9">
      <c r="A629" s="1247" t="s">
        <v>485</v>
      </c>
      <c r="B629" s="1247"/>
      <c r="C629" s="1247"/>
      <c r="D629" s="1247"/>
      <c r="E629" s="1247"/>
      <c r="F629" s="1247"/>
      <c r="G629" s="1247"/>
      <c r="H629" s="918"/>
      <c r="I629" s="1041"/>
    </row>
    <row r="630" spans="1:9">
      <c r="A630" s="382"/>
      <c r="B630" s="382"/>
      <c r="C630" s="382"/>
      <c r="I630" s="390"/>
    </row>
    <row r="631" spans="1:9">
      <c r="C631" s="390"/>
      <c r="D631" s="1252" t="s">
        <v>486</v>
      </c>
      <c r="E631" s="1252"/>
      <c r="F631" s="1252"/>
      <c r="I631" s="390"/>
    </row>
    <row r="632" spans="1:9">
      <c r="A632" s="390"/>
      <c r="B632" s="390"/>
      <c r="D632" s="306"/>
      <c r="I632" s="390"/>
    </row>
    <row r="633" spans="1:9" ht="14.25" customHeight="1">
      <c r="A633" s="384"/>
      <c r="B633" s="385" t="s">
        <v>2764</v>
      </c>
      <c r="D633" s="1273" t="s">
        <v>487</v>
      </c>
      <c r="E633" s="1273"/>
      <c r="F633" s="1273"/>
      <c r="I633" s="390"/>
    </row>
    <row r="634" spans="1:9">
      <c r="D634" s="1273"/>
      <c r="E634" s="1273"/>
      <c r="F634" s="1273"/>
      <c r="I634" s="390"/>
    </row>
    <row r="635" spans="1:9">
      <c r="D635" s="287"/>
      <c r="E635" s="926" t="s">
        <v>488</v>
      </c>
      <c r="F635" s="287"/>
      <c r="I635" s="390"/>
    </row>
    <row r="636" spans="1:9">
      <c r="D636" s="1244" t="s">
        <v>489</v>
      </c>
      <c r="E636" s="1244"/>
      <c r="F636" s="1244"/>
      <c r="I636" s="390"/>
    </row>
    <row r="637" spans="1:9">
      <c r="D637" s="1244"/>
      <c r="E637" s="1244"/>
      <c r="F637" s="1244"/>
      <c r="I637" s="390"/>
    </row>
    <row r="638" spans="1:9">
      <c r="D638" s="1244"/>
      <c r="E638" s="1244"/>
      <c r="F638" s="1244"/>
      <c r="I638" s="390"/>
    </row>
    <row r="639" spans="1:9">
      <c r="D639" s="346"/>
      <c r="E639" s="346"/>
      <c r="F639" s="346"/>
      <c r="I639" s="390"/>
    </row>
    <row r="640" spans="1:9">
      <c r="A640" s="384"/>
      <c r="B640" s="385" t="s">
        <v>2765</v>
      </c>
      <c r="D640" s="1244" t="s">
        <v>490</v>
      </c>
      <c r="E640" s="1244"/>
      <c r="F640" s="1244"/>
      <c r="I640" s="390"/>
    </row>
    <row r="641" spans="1:9">
      <c r="A641" s="387"/>
      <c r="B641" s="387"/>
      <c r="C641" s="387"/>
      <c r="D641" s="1244"/>
      <c r="E641" s="1244"/>
      <c r="F641" s="1244"/>
      <c r="I641" s="390"/>
    </row>
    <row r="642" spans="1:9">
      <c r="A642" s="387"/>
      <c r="B642" s="387"/>
      <c r="C642" s="387"/>
      <c r="D642" s="347"/>
      <c r="E642" s="347"/>
      <c r="F642" s="347"/>
      <c r="I642" s="390"/>
    </row>
    <row r="643" spans="1:9">
      <c r="A643" s="384"/>
      <c r="B643" s="385" t="s">
        <v>2765</v>
      </c>
      <c r="C643" s="387"/>
      <c r="D643" s="1244" t="s">
        <v>491</v>
      </c>
      <c r="E643" s="1244"/>
      <c r="F643" s="1244"/>
      <c r="I643" s="390"/>
    </row>
    <row r="644" spans="1:9">
      <c r="A644" s="384"/>
      <c r="B644" s="384"/>
      <c r="C644" s="387"/>
      <c r="D644" s="1244"/>
      <c r="E644" s="1244"/>
      <c r="F644" s="1244"/>
      <c r="I644" s="390"/>
    </row>
    <row r="645" spans="1:9">
      <c r="A645" s="384"/>
      <c r="B645" s="384"/>
      <c r="C645" s="387"/>
      <c r="D645" s="1244"/>
      <c r="E645" s="1244"/>
      <c r="F645" s="1244"/>
      <c r="I645" s="390"/>
    </row>
    <row r="646" spans="1:9">
      <c r="A646" s="387"/>
      <c r="B646" s="385" t="s">
        <v>2765</v>
      </c>
      <c r="C646" s="387"/>
      <c r="D646" s="1245" t="s">
        <v>492</v>
      </c>
      <c r="E646" s="1245"/>
      <c r="F646" s="1245"/>
      <c r="I646" s="390"/>
    </row>
    <row r="647" spans="1:9">
      <c r="A647" s="387"/>
      <c r="B647" s="387"/>
      <c r="C647" s="387"/>
      <c r="D647" s="347"/>
      <c r="E647" s="347"/>
      <c r="F647" s="347"/>
      <c r="I647" s="390"/>
    </row>
    <row r="648" spans="1:9">
      <c r="A648" s="1247" t="s">
        <v>493</v>
      </c>
      <c r="B648" s="1247"/>
      <c r="C648" s="1247"/>
      <c r="D648" s="1247"/>
      <c r="E648" s="1247"/>
      <c r="F648" s="1247"/>
      <c r="G648" s="1247"/>
      <c r="H648" s="918"/>
      <c r="I648" s="1041"/>
    </row>
    <row r="649" spans="1:9">
      <c r="A649" s="347"/>
      <c r="B649" s="347"/>
      <c r="C649" s="387"/>
      <c r="D649" s="347"/>
      <c r="E649" s="347"/>
      <c r="F649" s="347"/>
      <c r="I649" s="390"/>
    </row>
    <row r="650" spans="1:9">
      <c r="C650" s="382"/>
      <c r="D650" s="1252" t="s">
        <v>494</v>
      </c>
      <c r="E650" s="1252"/>
      <c r="F650" s="1252"/>
      <c r="I650" s="390"/>
    </row>
    <row r="651" spans="1:9">
      <c r="A651" s="383"/>
      <c r="B651" s="383"/>
      <c r="C651" s="383"/>
      <c r="D651" s="1245" t="s">
        <v>495</v>
      </c>
      <c r="E651" s="1245"/>
      <c r="F651" s="1245"/>
      <c r="I651" s="390"/>
    </row>
    <row r="652" spans="1:9">
      <c r="A652" s="383"/>
      <c r="B652" s="383"/>
      <c r="C652" s="383"/>
      <c r="D652" s="347"/>
      <c r="E652" s="347"/>
      <c r="F652" s="347"/>
      <c r="I652" s="390"/>
    </row>
    <row r="653" spans="1:9" ht="12.75" customHeight="1">
      <c r="B653" s="385" t="s">
        <v>2764</v>
      </c>
      <c r="C653" s="387"/>
      <c r="D653" s="1244" t="s">
        <v>496</v>
      </c>
      <c r="E653" s="1244"/>
      <c r="F653" s="1244"/>
      <c r="I653" s="390"/>
    </row>
    <row r="654" spans="1:9">
      <c r="D654" s="1244"/>
      <c r="E654" s="1244"/>
      <c r="F654" s="1244"/>
      <c r="I654" s="390"/>
    </row>
    <row r="655" spans="1:9">
      <c r="D655" s="1244"/>
      <c r="E655" s="1244"/>
      <c r="F655" s="1244"/>
      <c r="I655" s="390"/>
    </row>
    <row r="656" spans="1:9">
      <c r="D656" s="1244"/>
      <c r="E656" s="1244"/>
      <c r="F656" s="1244"/>
      <c r="I656" s="390"/>
    </row>
    <row r="657" spans="1:9" ht="14.5" customHeight="1">
      <c r="A657" s="384"/>
      <c r="B657" s="384"/>
      <c r="C657" s="387"/>
      <c r="D657" s="287"/>
      <c r="E657" s="287"/>
      <c r="F657" s="287"/>
      <c r="I657" s="390"/>
    </row>
    <row r="658" spans="1:9" ht="12.75" customHeight="1">
      <c r="A658" s="383"/>
      <c r="B658" s="385" t="s">
        <v>2764</v>
      </c>
      <c r="C658" s="387"/>
      <c r="D658" s="1244" t="s">
        <v>497</v>
      </c>
      <c r="E658" s="1244"/>
      <c r="F658" s="1244"/>
      <c r="I658" s="390"/>
    </row>
    <row r="659" spans="1:9">
      <c r="A659" s="383"/>
      <c r="B659" s="384"/>
      <c r="C659" s="387"/>
      <c r="D659" s="1244"/>
      <c r="E659" s="1244"/>
      <c r="F659" s="1244"/>
      <c r="I659" s="390"/>
    </row>
    <row r="660" spans="1:9">
      <c r="A660" s="383"/>
      <c r="B660" s="384"/>
      <c r="C660" s="387"/>
      <c r="D660" s="1244"/>
      <c r="E660" s="1244"/>
      <c r="F660" s="1244"/>
      <c r="I660" s="390"/>
    </row>
    <row r="661" spans="1:9">
      <c r="A661" s="383"/>
      <c r="B661" s="384"/>
      <c r="C661" s="387"/>
      <c r="D661" s="1244"/>
      <c r="E661" s="1244"/>
      <c r="F661" s="1244"/>
      <c r="I661" s="390"/>
    </row>
    <row r="662" spans="1:9">
      <c r="A662" s="383"/>
      <c r="B662" s="384"/>
      <c r="C662" s="387"/>
      <c r="D662" s="1244"/>
      <c r="E662" s="1244"/>
      <c r="F662" s="1244"/>
      <c r="I662" s="390"/>
    </row>
    <row r="663" spans="1:9" ht="14.25" customHeight="1">
      <c r="A663" s="383"/>
      <c r="B663" s="384"/>
      <c r="C663" s="387"/>
      <c r="F663" s="288"/>
      <c r="I663" s="390"/>
    </row>
    <row r="664" spans="1:9" ht="12.75" customHeight="1">
      <c r="A664" s="383"/>
      <c r="B664" s="385" t="s">
        <v>2764</v>
      </c>
      <c r="C664" s="387"/>
      <c r="D664" s="1244" t="s">
        <v>498</v>
      </c>
      <c r="E664" s="1244"/>
      <c r="F664" s="1244"/>
      <c r="I664" s="390"/>
    </row>
    <row r="665" spans="1:9">
      <c r="A665" s="383"/>
      <c r="B665" s="384"/>
      <c r="C665" s="387"/>
      <c r="D665" s="1244"/>
      <c r="E665" s="1244"/>
      <c r="F665" s="1244"/>
      <c r="I665" s="390"/>
    </row>
    <row r="666" spans="1:9">
      <c r="A666" s="384"/>
      <c r="B666" s="384"/>
      <c r="C666" s="387"/>
      <c r="D666" s="1244"/>
      <c r="E666" s="1244"/>
      <c r="F666" s="1244"/>
      <c r="I666" s="390"/>
    </row>
    <row r="667" spans="1:9">
      <c r="A667" s="384"/>
      <c r="B667" s="384"/>
      <c r="C667" s="387"/>
      <c r="D667" s="1244"/>
      <c r="E667" s="1244"/>
      <c r="F667" s="1244"/>
      <c r="I667" s="390"/>
    </row>
    <row r="668" spans="1:9">
      <c r="A668" s="384"/>
      <c r="B668" s="384"/>
      <c r="C668" s="387"/>
      <c r="D668" s="346"/>
      <c r="E668" s="346"/>
      <c r="F668" s="346"/>
      <c r="I668" s="390"/>
    </row>
    <row r="669" spans="1:9" ht="12.75" customHeight="1">
      <c r="A669" s="383"/>
      <c r="B669" s="385" t="s">
        <v>2764</v>
      </c>
      <c r="C669" s="387"/>
      <c r="D669" s="1244" t="s">
        <v>499</v>
      </c>
      <c r="E669" s="1244"/>
      <c r="F669" s="1244"/>
      <c r="I669" s="390"/>
    </row>
    <row r="670" spans="1:9" ht="12.75" customHeight="1">
      <c r="A670" s="383"/>
      <c r="B670" s="384"/>
      <c r="C670" s="387"/>
      <c r="D670" s="1244"/>
      <c r="E670" s="1244"/>
      <c r="F670" s="1244"/>
      <c r="I670" s="390"/>
    </row>
    <row r="671" spans="1:9" ht="12.75" customHeight="1">
      <c r="A671" s="383"/>
      <c r="B671" s="384"/>
      <c r="C671" s="387"/>
      <c r="D671" s="1244"/>
      <c r="E671" s="1244"/>
      <c r="F671" s="1244"/>
      <c r="I671" s="390"/>
    </row>
    <row r="672" spans="1:9" ht="12.75" customHeight="1">
      <c r="A672" s="383"/>
      <c r="B672" s="384"/>
      <c r="C672" s="387"/>
      <c r="D672" s="1244"/>
      <c r="E672" s="1244"/>
      <c r="F672" s="1244"/>
      <c r="I672" s="390"/>
    </row>
    <row r="673" spans="1:11" ht="12.75" customHeight="1">
      <c r="A673" s="383"/>
      <c r="B673" s="384"/>
      <c r="C673" s="387"/>
      <c r="D673" s="1244"/>
      <c r="E673" s="1244"/>
      <c r="F673" s="1244"/>
      <c r="I673" s="390"/>
    </row>
    <row r="674" spans="1:11" ht="12.75" customHeight="1">
      <c r="A674" s="383"/>
      <c r="B674" s="384"/>
      <c r="C674" s="387"/>
      <c r="D674" s="1244"/>
      <c r="E674" s="1244"/>
      <c r="F674" s="1244"/>
      <c r="I674" s="390"/>
    </row>
    <row r="675" spans="1:11" ht="12.75" customHeight="1">
      <c r="A675" s="383"/>
      <c r="B675" s="384"/>
      <c r="C675" s="387"/>
      <c r="D675" s="1244"/>
      <c r="E675" s="1244"/>
      <c r="F675" s="1244"/>
      <c r="I675" s="390"/>
    </row>
    <row r="676" spans="1:11" ht="12.75" customHeight="1">
      <c r="A676" s="383"/>
      <c r="B676" s="384"/>
      <c r="C676" s="387"/>
      <c r="D676" s="1244"/>
      <c r="E676" s="1244"/>
      <c r="F676" s="1244"/>
      <c r="I676" s="390"/>
    </row>
    <row r="677" spans="1:11" ht="12.75" customHeight="1">
      <c r="A677" s="383"/>
      <c r="B677" s="384"/>
      <c r="C677" s="387"/>
      <c r="D677" s="1244"/>
      <c r="E677" s="1244"/>
      <c r="F677" s="1244"/>
      <c r="I677" s="390"/>
    </row>
    <row r="678" spans="1:11">
      <c r="A678" s="387"/>
      <c r="B678" s="387"/>
      <c r="C678" s="387"/>
      <c r="D678" s="347"/>
      <c r="E678" s="347"/>
      <c r="F678" s="347"/>
      <c r="I678" s="390"/>
    </row>
    <row r="679" spans="1:11">
      <c r="A679" s="1247" t="s">
        <v>500</v>
      </c>
      <c r="B679" s="1247"/>
      <c r="C679" s="1247"/>
      <c r="D679" s="1247"/>
      <c r="E679" s="1247"/>
      <c r="F679" s="1247"/>
      <c r="G679" s="1247"/>
      <c r="H679" s="920"/>
      <c r="I679" s="1045"/>
      <c r="J679" s="401"/>
      <c r="K679" s="401"/>
    </row>
    <row r="680" spans="1:11">
      <c r="A680" s="349"/>
      <c r="B680" s="349"/>
      <c r="C680" s="349"/>
      <c r="D680" s="349"/>
      <c r="E680" s="349"/>
      <c r="F680" s="349"/>
      <c r="G680" s="349"/>
      <c r="H680" s="401"/>
      <c r="I680" s="383"/>
      <c r="J680" s="401"/>
      <c r="K680" s="401"/>
    </row>
    <row r="681" spans="1:11">
      <c r="C681" s="382"/>
      <c r="D681" s="1252" t="s">
        <v>501</v>
      </c>
      <c r="E681" s="1252"/>
      <c r="F681" s="1252"/>
      <c r="H681" s="401"/>
      <c r="I681" s="383"/>
      <c r="J681" s="401"/>
      <c r="K681" s="401"/>
    </row>
    <row r="682" spans="1:11">
      <c r="A682" s="382"/>
      <c r="B682" s="382"/>
      <c r="C682" s="382"/>
      <c r="D682" s="1252" t="s">
        <v>502</v>
      </c>
      <c r="E682" s="1252"/>
      <c r="F682" s="1252"/>
      <c r="H682" s="401"/>
      <c r="I682" s="383"/>
      <c r="J682" s="401"/>
      <c r="K682" s="401"/>
    </row>
    <row r="683" spans="1:11">
      <c r="A683" s="383"/>
      <c r="B683" s="383"/>
      <c r="C683" s="383"/>
      <c r="D683" s="1245" t="s">
        <v>503</v>
      </c>
      <c r="E683" s="1245"/>
      <c r="F683" s="1245"/>
      <c r="H683" s="401"/>
      <c r="I683" s="383"/>
      <c r="J683" s="401"/>
      <c r="K683" s="401"/>
    </row>
    <row r="684" spans="1:11">
      <c r="A684" s="383"/>
      <c r="B684" s="383"/>
      <c r="C684" s="383"/>
      <c r="H684" s="401"/>
      <c r="I684" s="383"/>
      <c r="J684" s="401"/>
      <c r="K684" s="401"/>
    </row>
    <row r="685" spans="1:11">
      <c r="A685" s="384"/>
      <c r="B685" s="385" t="s">
        <v>2765</v>
      </c>
      <c r="C685" s="383"/>
      <c r="D685" s="1245" t="s">
        <v>504</v>
      </c>
      <c r="E685" s="1245"/>
      <c r="F685" s="1245"/>
      <c r="H685" s="401"/>
      <c r="I685" s="383"/>
      <c r="J685" s="401"/>
      <c r="K685" s="401"/>
    </row>
    <row r="686" spans="1:11">
      <c r="A686" s="383"/>
      <c r="B686" s="383"/>
      <c r="C686" s="383"/>
      <c r="D686" s="1245" t="s">
        <v>505</v>
      </c>
      <c r="E686" s="1245"/>
      <c r="F686" s="1245"/>
      <c r="H686" s="401"/>
      <c r="I686" s="383"/>
      <c r="J686" s="401"/>
      <c r="K686" s="401"/>
    </row>
    <row r="687" spans="1:11" ht="12.75" customHeight="1">
      <c r="A687" s="383"/>
      <c r="B687" s="383"/>
      <c r="C687" s="383"/>
      <c r="E687" s="926" t="s">
        <v>506</v>
      </c>
      <c r="F687" s="322"/>
      <c r="H687" s="401"/>
      <c r="I687" s="383"/>
      <c r="J687" s="401"/>
      <c r="K687" s="401"/>
    </row>
    <row r="688" spans="1:11">
      <c r="A688" s="383"/>
      <c r="B688" s="383"/>
      <c r="C688" s="383"/>
      <c r="E688" s="401" t="s">
        <v>507</v>
      </c>
      <c r="F688" s="322"/>
      <c r="I688" s="383"/>
      <c r="J688" s="401"/>
      <c r="K688" s="401"/>
    </row>
    <row r="689" spans="1:11">
      <c r="A689" s="383"/>
      <c r="B689" s="383"/>
      <c r="C689" s="383"/>
      <c r="D689" s="402"/>
      <c r="E689" s="347"/>
      <c r="H689" s="401"/>
      <c r="I689" s="383"/>
      <c r="J689" s="401"/>
      <c r="K689" s="401"/>
    </row>
    <row r="690" spans="1:11">
      <c r="A690" s="384"/>
      <c r="B690" s="385" t="s">
        <v>2765</v>
      </c>
      <c r="C690" s="383"/>
      <c r="D690" s="1244" t="s">
        <v>508</v>
      </c>
      <c r="E690" s="1244"/>
      <c r="F690" s="1244"/>
      <c r="H690" s="401"/>
      <c r="I690" s="383"/>
      <c r="J690" s="401"/>
      <c r="K690" s="401"/>
    </row>
    <row r="691" spans="1:11">
      <c r="A691" s="390"/>
      <c r="B691" s="390"/>
      <c r="C691" s="383"/>
      <c r="D691" s="1244"/>
      <c r="E691" s="1244"/>
      <c r="F691" s="1244"/>
      <c r="H691" s="401"/>
      <c r="I691" s="383"/>
      <c r="J691" s="401"/>
      <c r="K691" s="401"/>
    </row>
    <row r="692" spans="1:11">
      <c r="A692" s="383"/>
      <c r="B692" s="383"/>
      <c r="C692" s="383"/>
      <c r="D692" s="1244"/>
      <c r="E692" s="1244"/>
      <c r="F692" s="1244"/>
      <c r="H692" s="401"/>
      <c r="I692" s="383"/>
      <c r="J692" s="401"/>
      <c r="K692" s="401"/>
    </row>
    <row r="693" spans="1:11">
      <c r="A693" s="383"/>
      <c r="B693" s="383"/>
      <c r="C693" s="383"/>
      <c r="H693" s="401"/>
      <c r="J693" s="401"/>
      <c r="K693" s="401"/>
    </row>
    <row r="694" spans="1:11">
      <c r="A694" s="384"/>
      <c r="B694" s="385" t="s">
        <v>2765</v>
      </c>
      <c r="C694" s="383"/>
      <c r="D694" s="1245" t="s">
        <v>509</v>
      </c>
      <c r="E694" s="1245"/>
      <c r="F694" s="1245"/>
      <c r="H694" s="401"/>
      <c r="I694" s="383"/>
      <c r="J694" s="401"/>
      <c r="K694" s="401"/>
    </row>
    <row r="695" spans="1:11">
      <c r="A695" s="384"/>
      <c r="B695" s="384"/>
      <c r="C695" s="383"/>
      <c r="D695" s="1245" t="s">
        <v>505</v>
      </c>
      <c r="E695" s="1245"/>
      <c r="F695" s="1245"/>
      <c r="H695" s="401"/>
      <c r="I695" s="383"/>
      <c r="J695" s="401"/>
      <c r="K695" s="401"/>
    </row>
    <row r="696" spans="1:11">
      <c r="A696" s="383"/>
      <c r="B696" s="383"/>
      <c r="C696" s="383"/>
      <c r="E696" s="926" t="s">
        <v>510</v>
      </c>
      <c r="F696" s="306"/>
      <c r="H696" s="401"/>
      <c r="I696" s="383"/>
      <c r="J696" s="401"/>
      <c r="K696" s="401"/>
    </row>
    <row r="697" spans="1:11">
      <c r="A697" s="383"/>
      <c r="B697" s="383"/>
      <c r="C697" s="383"/>
      <c r="D697" s="306"/>
      <c r="H697" s="401"/>
      <c r="I697" s="383"/>
      <c r="J697" s="401"/>
      <c r="K697" s="401"/>
    </row>
    <row r="698" spans="1:11">
      <c r="A698" s="384"/>
      <c r="B698" s="385" t="s">
        <v>2765</v>
      </c>
      <c r="C698" s="383"/>
      <c r="D698" s="1245" t="s">
        <v>511</v>
      </c>
      <c r="E698" s="1245"/>
      <c r="F698" s="1245"/>
      <c r="H698" s="401"/>
      <c r="I698" s="383"/>
      <c r="J698" s="401"/>
      <c r="K698" s="401"/>
    </row>
    <row r="699" spans="1:11">
      <c r="A699" s="384"/>
      <c r="B699" s="384"/>
      <c r="C699" s="383"/>
      <c r="D699" s="1245" t="s">
        <v>505</v>
      </c>
      <c r="E699" s="1245"/>
      <c r="F699" s="1245"/>
      <c r="H699" s="401"/>
      <c r="I699" s="383"/>
      <c r="J699" s="401"/>
      <c r="K699" s="401"/>
    </row>
    <row r="700" spans="1:11">
      <c r="A700" s="383"/>
      <c r="B700" s="383"/>
      <c r="C700" s="383"/>
      <c r="E700" s="926" t="s">
        <v>512</v>
      </c>
      <c r="F700" s="306"/>
      <c r="H700" s="401"/>
      <c r="I700" s="383"/>
      <c r="J700" s="401"/>
      <c r="K700" s="401"/>
    </row>
    <row r="701" spans="1:11">
      <c r="A701" s="383"/>
      <c r="B701" s="383"/>
      <c r="C701" s="383"/>
      <c r="D701" s="306"/>
      <c r="H701" s="401"/>
      <c r="I701" s="383"/>
      <c r="J701" s="401"/>
      <c r="K701" s="401"/>
    </row>
    <row r="702" spans="1:11">
      <c r="A702" s="384"/>
      <c r="B702" s="385" t="s">
        <v>2765</v>
      </c>
      <c r="C702" s="383"/>
      <c r="D702" s="1244" t="s">
        <v>513</v>
      </c>
      <c r="E702" s="1244"/>
      <c r="F702" s="1244"/>
      <c r="H702" s="401"/>
      <c r="I702" s="383"/>
      <c r="J702" s="401"/>
      <c r="K702" s="401"/>
    </row>
    <row r="703" spans="1:11">
      <c r="A703" s="383"/>
      <c r="B703" s="383"/>
      <c r="C703" s="383"/>
      <c r="D703" s="1244"/>
      <c r="E703" s="1244"/>
      <c r="F703" s="1244"/>
      <c r="H703" s="401"/>
      <c r="I703" s="383"/>
      <c r="J703" s="401"/>
      <c r="K703" s="401"/>
    </row>
    <row r="704" spans="1:11">
      <c r="A704" s="383"/>
      <c r="B704" s="383"/>
      <c r="C704" s="383"/>
      <c r="D704" s="1244"/>
      <c r="E704" s="1244"/>
      <c r="F704" s="1244"/>
      <c r="H704" s="401"/>
      <c r="I704" s="383"/>
      <c r="J704" s="401"/>
      <c r="K704" s="401"/>
    </row>
    <row r="705" spans="1:11">
      <c r="A705" s="383"/>
      <c r="B705" s="383"/>
      <c r="C705" s="383"/>
      <c r="D705" s="1244"/>
      <c r="E705" s="1244"/>
      <c r="F705" s="1244"/>
      <c r="H705" s="401"/>
      <c r="I705" s="383"/>
      <c r="J705" s="401"/>
      <c r="K705" s="401"/>
    </row>
    <row r="706" spans="1:11">
      <c r="A706" s="383"/>
      <c r="B706" s="383"/>
      <c r="C706" s="383"/>
      <c r="D706" s="1244"/>
      <c r="E706" s="1244"/>
      <c r="F706" s="1244"/>
      <c r="H706" s="401"/>
      <c r="I706" s="383"/>
      <c r="J706" s="401"/>
      <c r="K706" s="401"/>
    </row>
    <row r="707" spans="1:11">
      <c r="A707" s="383"/>
      <c r="B707" s="383"/>
      <c r="C707" s="383"/>
      <c r="D707" s="1244"/>
      <c r="E707" s="1244"/>
      <c r="F707" s="1244"/>
      <c r="H707" s="401"/>
      <c r="I707" s="383"/>
      <c r="J707" s="401"/>
      <c r="K707" s="401"/>
    </row>
    <row r="708" spans="1:11">
      <c r="A708" s="383"/>
      <c r="B708" s="383"/>
      <c r="C708" s="383"/>
      <c r="D708" s="346"/>
      <c r="E708" s="346"/>
      <c r="F708" s="346"/>
      <c r="H708" s="401"/>
      <c r="I708" s="383"/>
      <c r="J708" s="401"/>
      <c r="K708" s="401"/>
    </row>
    <row r="709" spans="1:11">
      <c r="A709" s="383"/>
      <c r="B709" s="385" t="s">
        <v>2765</v>
      </c>
      <c r="C709" s="383"/>
      <c r="D709" s="1244" t="s">
        <v>514</v>
      </c>
      <c r="E709" s="1244"/>
      <c r="F709" s="1244"/>
      <c r="H709" s="401"/>
      <c r="I709" s="383"/>
      <c r="J709" s="401"/>
      <c r="K709" s="401"/>
    </row>
    <row r="710" spans="1:11">
      <c r="A710" s="383"/>
      <c r="B710" s="383"/>
      <c r="C710" s="383"/>
      <c r="D710" s="1244"/>
      <c r="E710" s="1244"/>
      <c r="F710" s="1244"/>
      <c r="H710" s="401"/>
      <c r="I710" s="383"/>
      <c r="J710" s="401"/>
      <c r="K710" s="401"/>
    </row>
    <row r="711" spans="1:11">
      <c r="A711" s="383"/>
      <c r="B711" s="383"/>
      <c r="C711" s="383"/>
      <c r="D711" s="346"/>
      <c r="E711" s="346"/>
      <c r="F711" s="346"/>
      <c r="H711" s="401"/>
      <c r="I711" s="383"/>
      <c r="J711" s="401"/>
      <c r="K711" s="401"/>
    </row>
    <row r="712" spans="1:11">
      <c r="A712" s="384"/>
      <c r="B712" s="385" t="s">
        <v>2765</v>
      </c>
      <c r="C712" s="383"/>
      <c r="D712" s="1244" t="s">
        <v>515</v>
      </c>
      <c r="E712" s="1244"/>
      <c r="F712" s="1244"/>
      <c r="H712" s="401"/>
      <c r="I712" s="383"/>
      <c r="J712" s="401"/>
      <c r="K712" s="401"/>
    </row>
    <row r="713" spans="1:11">
      <c r="A713" s="383"/>
      <c r="B713" s="383"/>
      <c r="C713" s="383"/>
      <c r="D713" s="1244"/>
      <c r="E713" s="1244"/>
      <c r="F713" s="1244"/>
      <c r="H713" s="401"/>
      <c r="I713" s="383"/>
      <c r="J713" s="401"/>
      <c r="K713" s="401"/>
    </row>
    <row r="714" spans="1:11">
      <c r="A714" s="383"/>
      <c r="B714" s="383"/>
      <c r="C714" s="383"/>
      <c r="D714" s="1244"/>
      <c r="E714" s="1244"/>
      <c r="F714" s="1244"/>
      <c r="H714" s="401"/>
      <c r="I714" s="383"/>
      <c r="J714" s="401"/>
      <c r="K714" s="401"/>
    </row>
    <row r="715" spans="1:11" ht="15" customHeight="1">
      <c r="A715" s="383"/>
      <c r="B715" s="383"/>
      <c r="C715" s="383"/>
      <c r="D715" s="1244"/>
      <c r="E715" s="1244"/>
      <c r="F715" s="1244"/>
      <c r="H715" s="401"/>
      <c r="I715" s="383"/>
      <c r="J715" s="401"/>
      <c r="K715" s="401"/>
    </row>
    <row r="716" spans="1:11" ht="15" customHeight="1">
      <c r="A716" s="383"/>
      <c r="B716" s="383"/>
      <c r="C716" s="383"/>
      <c r="D716" s="1244"/>
      <c r="E716" s="1244"/>
      <c r="F716" s="1244"/>
      <c r="H716" s="401"/>
      <c r="I716" s="383"/>
      <c r="J716" s="401"/>
      <c r="K716" s="401"/>
    </row>
    <row r="717" spans="1:11">
      <c r="A717" s="383"/>
      <c r="B717" s="383"/>
      <c r="C717" s="383"/>
      <c r="D717" s="1244"/>
      <c r="E717" s="1244"/>
      <c r="F717" s="1244"/>
      <c r="H717" s="401"/>
      <c r="I717" s="383"/>
      <c r="J717" s="401"/>
      <c r="K717" s="401"/>
    </row>
    <row r="718" spans="1:11">
      <c r="A718" s="383"/>
      <c r="B718" s="383"/>
      <c r="C718" s="383"/>
      <c r="D718" s="1244"/>
      <c r="E718" s="1244"/>
      <c r="F718" s="1244"/>
      <c r="H718" s="401"/>
      <c r="I718" s="383"/>
      <c r="J718" s="401"/>
      <c r="K718" s="401"/>
    </row>
    <row r="719" spans="1:11">
      <c r="A719" s="383"/>
      <c r="B719" s="383"/>
      <c r="C719" s="383"/>
      <c r="D719" s="1244"/>
      <c r="E719" s="1244"/>
      <c r="F719" s="1244"/>
      <c r="H719" s="401"/>
      <c r="I719" s="383"/>
      <c r="J719" s="401"/>
      <c r="K719" s="401"/>
    </row>
    <row r="720" spans="1:11" ht="15" customHeight="1">
      <c r="A720" s="383"/>
      <c r="B720" s="383"/>
      <c r="C720" s="383"/>
      <c r="D720" s="1244"/>
      <c r="E720" s="1244"/>
      <c r="F720" s="1244"/>
      <c r="H720" s="401"/>
      <c r="I720" s="383"/>
      <c r="J720" s="401"/>
      <c r="K720" s="401"/>
    </row>
    <row r="721" spans="1:11">
      <c r="A721" s="383"/>
      <c r="B721" s="383"/>
      <c r="C721" s="383"/>
      <c r="D721" s="1244"/>
      <c r="E721" s="1244"/>
      <c r="F721" s="1244"/>
      <c r="H721" s="401"/>
      <c r="I721" s="383"/>
      <c r="J721" s="401"/>
      <c r="K721" s="401"/>
    </row>
    <row r="722" spans="1:11">
      <c r="A722" s="383"/>
      <c r="B722" s="383"/>
      <c r="C722" s="383"/>
      <c r="D722" s="1244"/>
      <c r="E722" s="1244"/>
      <c r="F722" s="1244"/>
      <c r="H722" s="401"/>
      <c r="I722" s="383"/>
      <c r="J722" s="401"/>
      <c r="K722" s="401"/>
    </row>
    <row r="723" spans="1:11">
      <c r="A723" s="383"/>
      <c r="B723" s="383"/>
      <c r="C723" s="383"/>
      <c r="D723" s="1244"/>
      <c r="E723" s="1244"/>
      <c r="F723" s="1244"/>
      <c r="H723" s="401"/>
      <c r="I723" s="383"/>
      <c r="J723" s="401"/>
      <c r="K723" s="401"/>
    </row>
    <row r="724" spans="1:11">
      <c r="A724" s="383"/>
      <c r="B724" s="383"/>
      <c r="C724" s="383"/>
      <c r="D724" s="1244"/>
      <c r="E724" s="1244"/>
      <c r="F724" s="1244"/>
      <c r="H724" s="401"/>
      <c r="I724" s="383"/>
      <c r="J724" s="401"/>
      <c r="K724" s="401"/>
    </row>
    <row r="725" spans="1:11">
      <c r="A725" s="383"/>
      <c r="B725" s="385" t="s">
        <v>2765</v>
      </c>
      <c r="C725" s="383"/>
      <c r="D725" s="1244" t="s">
        <v>516</v>
      </c>
      <c r="E725" s="1244"/>
      <c r="F725" s="1244"/>
      <c r="H725" s="401"/>
      <c r="I725" s="383"/>
      <c r="J725" s="401"/>
      <c r="K725" s="401"/>
    </row>
    <row r="726" spans="1:11">
      <c r="A726" s="383"/>
      <c r="B726" s="383"/>
      <c r="C726" s="383"/>
      <c r="D726" s="1244"/>
      <c r="E726" s="1244"/>
      <c r="F726" s="1244"/>
      <c r="H726" s="401"/>
      <c r="I726" s="383"/>
      <c r="J726" s="401"/>
      <c r="K726" s="401"/>
    </row>
    <row r="727" spans="1:11">
      <c r="A727" s="383"/>
      <c r="B727" s="383"/>
      <c r="C727" s="383"/>
      <c r="D727" s="1244"/>
      <c r="E727" s="1244"/>
      <c r="F727" s="1244"/>
      <c r="H727" s="401"/>
      <c r="I727" s="383"/>
      <c r="J727" s="401"/>
      <c r="K727" s="401"/>
    </row>
    <row r="728" spans="1:11">
      <c r="A728" s="383"/>
      <c r="B728" s="383"/>
      <c r="C728" s="383"/>
      <c r="D728" s="346"/>
      <c r="E728" s="346"/>
      <c r="F728" s="346"/>
      <c r="H728" s="401"/>
      <c r="I728" s="383"/>
      <c r="J728" s="401"/>
      <c r="K728" s="401"/>
    </row>
    <row r="729" spans="1:11">
      <c r="A729" s="383"/>
      <c r="B729" s="385" t="s">
        <v>2765</v>
      </c>
      <c r="C729" s="383"/>
      <c r="D729" s="1244" t="s">
        <v>517</v>
      </c>
      <c r="E729" s="1244"/>
      <c r="F729" s="1244"/>
      <c r="H729" s="401"/>
      <c r="I729" s="383"/>
      <c r="J729" s="401"/>
      <c r="K729" s="401"/>
    </row>
    <row r="730" spans="1:11">
      <c r="A730" s="383"/>
      <c r="B730" s="383"/>
      <c r="C730" s="383"/>
      <c r="D730" s="1244"/>
      <c r="E730" s="1244"/>
      <c r="F730" s="1244"/>
      <c r="H730" s="401"/>
      <c r="I730" s="383"/>
      <c r="J730" s="401"/>
      <c r="K730" s="401"/>
    </row>
    <row r="731" spans="1:11">
      <c r="A731" s="383"/>
      <c r="B731" s="383"/>
      <c r="C731" s="383"/>
      <c r="D731" s="1244"/>
      <c r="E731" s="1244"/>
      <c r="F731" s="1244"/>
      <c r="H731" s="401"/>
      <c r="I731" s="383"/>
      <c r="J731" s="401"/>
      <c r="K731" s="401"/>
    </row>
    <row r="732" spans="1:11">
      <c r="A732" s="383"/>
      <c r="B732" s="383"/>
      <c r="C732" s="383"/>
      <c r="H732" s="401"/>
      <c r="I732" s="383"/>
      <c r="J732" s="401"/>
      <c r="K732" s="401"/>
    </row>
    <row r="733" spans="1:11">
      <c r="A733" s="383"/>
      <c r="B733" s="385" t="s">
        <v>2765</v>
      </c>
      <c r="C733" s="383"/>
      <c r="D733" s="1244" t="s">
        <v>518</v>
      </c>
      <c r="E733" s="1244"/>
      <c r="F733" s="1244"/>
      <c r="H733" s="401"/>
      <c r="I733" s="383"/>
      <c r="J733" s="401"/>
      <c r="K733" s="401"/>
    </row>
    <row r="734" spans="1:11">
      <c r="A734" s="383"/>
      <c r="B734" s="383"/>
      <c r="C734" s="383"/>
      <c r="D734" s="1244"/>
      <c r="E734" s="1244"/>
      <c r="F734" s="1244"/>
      <c r="H734" s="401"/>
      <c r="I734" s="383"/>
      <c r="J734" s="401"/>
      <c r="K734" s="401"/>
    </row>
    <row r="735" spans="1:11">
      <c r="A735" s="383"/>
      <c r="B735" s="383"/>
      <c r="C735" s="383"/>
      <c r="D735" s="1244"/>
      <c r="E735" s="1244"/>
      <c r="F735" s="1244"/>
      <c r="H735" s="401"/>
      <c r="I735" s="383"/>
      <c r="J735" s="401"/>
      <c r="K735" s="401"/>
    </row>
    <row r="736" spans="1:11">
      <c r="A736" s="383"/>
      <c r="B736" s="383"/>
      <c r="C736" s="383"/>
      <c r="D736" s="1244"/>
      <c r="E736" s="1244"/>
      <c r="F736" s="1244"/>
      <c r="H736" s="401"/>
      <c r="I736" s="383"/>
      <c r="J736" s="401"/>
      <c r="K736" s="401"/>
    </row>
    <row r="737" spans="1:11">
      <c r="A737" s="383"/>
      <c r="B737" s="383"/>
      <c r="C737" s="383"/>
      <c r="H737" s="401"/>
      <c r="I737" s="383"/>
      <c r="J737" s="401"/>
      <c r="K737" s="401"/>
    </row>
    <row r="738" spans="1:11">
      <c r="A738" s="384"/>
      <c r="B738" s="385" t="s">
        <v>2765</v>
      </c>
      <c r="C738" s="383"/>
      <c r="D738" s="1244" t="s">
        <v>519</v>
      </c>
      <c r="E738" s="1244"/>
      <c r="F738" s="1244"/>
      <c r="H738" s="401"/>
      <c r="I738" s="383"/>
      <c r="J738" s="401"/>
      <c r="K738" s="401"/>
    </row>
    <row r="739" spans="1:11">
      <c r="A739" s="383"/>
      <c r="B739" s="383"/>
      <c r="C739" s="383"/>
      <c r="D739" s="1244"/>
      <c r="E739" s="1244"/>
      <c r="F739" s="1244"/>
      <c r="H739" s="401"/>
      <c r="I739" s="383"/>
      <c r="J739" s="401"/>
      <c r="K739" s="401"/>
    </row>
    <row r="740" spans="1:11">
      <c r="A740" s="383"/>
      <c r="B740" s="383"/>
      <c r="C740" s="383"/>
      <c r="D740" s="1244"/>
      <c r="E740" s="1244"/>
      <c r="F740" s="1244"/>
      <c r="H740" s="401"/>
      <c r="I740" s="383"/>
      <c r="J740" s="401"/>
      <c r="K740" s="401"/>
    </row>
    <row r="741" spans="1:11">
      <c r="A741" s="383"/>
      <c r="B741" s="383"/>
      <c r="C741" s="383"/>
      <c r="D741" s="1244"/>
      <c r="E741" s="1244"/>
      <c r="F741" s="1244"/>
      <c r="H741" s="401"/>
      <c r="I741" s="383"/>
      <c r="J741" s="401"/>
      <c r="K741" s="401"/>
    </row>
    <row r="742" spans="1:11">
      <c r="A742" s="383"/>
      <c r="B742" s="383"/>
      <c r="C742" s="383"/>
      <c r="D742" s="1244"/>
      <c r="E742" s="1244"/>
      <c r="F742" s="1244"/>
      <c r="H742" s="401"/>
      <c r="I742" s="383"/>
      <c r="J742" s="401"/>
      <c r="K742" s="401"/>
    </row>
    <row r="743" spans="1:11">
      <c r="A743" s="383"/>
      <c r="B743" s="383"/>
      <c r="C743" s="383"/>
      <c r="D743" s="392"/>
      <c r="H743" s="401"/>
      <c r="I743" s="383"/>
      <c r="J743" s="401"/>
      <c r="K743" s="401"/>
    </row>
    <row r="744" spans="1:11">
      <c r="A744" s="384"/>
      <c r="B744" s="385" t="s">
        <v>2765</v>
      </c>
      <c r="C744" s="383"/>
      <c r="D744" s="1244" t="s">
        <v>520</v>
      </c>
      <c r="E744" s="1244"/>
      <c r="F744" s="1244"/>
      <c r="H744" s="401"/>
      <c r="I744" s="383"/>
      <c r="J744" s="401"/>
      <c r="K744" s="401"/>
    </row>
    <row r="745" spans="1:11">
      <c r="A745" s="383"/>
      <c r="B745" s="383"/>
      <c r="C745" s="383"/>
      <c r="D745" s="1244"/>
      <c r="E745" s="1244"/>
      <c r="F745" s="1244"/>
      <c r="H745" s="401"/>
      <c r="I745" s="383"/>
      <c r="J745" s="401"/>
      <c r="K745" s="401"/>
    </row>
    <row r="746" spans="1:11">
      <c r="A746" s="383"/>
      <c r="B746" s="383"/>
      <c r="C746" s="383"/>
      <c r="D746" s="1244"/>
      <c r="E746" s="1244"/>
      <c r="F746" s="1244"/>
      <c r="H746" s="401"/>
      <c r="I746" s="383"/>
      <c r="J746" s="401"/>
      <c r="K746" s="401"/>
    </row>
    <row r="747" spans="1:11">
      <c r="A747" s="383"/>
      <c r="B747" s="383"/>
      <c r="C747" s="383"/>
      <c r="D747" s="1244"/>
      <c r="E747" s="1244"/>
      <c r="F747" s="1244"/>
      <c r="H747" s="401"/>
      <c r="I747" s="383"/>
      <c r="J747" s="401"/>
      <c r="K747" s="401"/>
    </row>
    <row r="748" spans="1:11">
      <c r="A748" s="383"/>
      <c r="B748" s="383"/>
      <c r="C748" s="383"/>
      <c r="D748" s="1244"/>
      <c r="E748" s="1244"/>
      <c r="F748" s="1244"/>
      <c r="H748" s="401"/>
      <c r="I748" s="383"/>
      <c r="J748" s="401"/>
      <c r="K748" s="401"/>
    </row>
    <row r="749" spans="1:11">
      <c r="A749" s="383"/>
      <c r="B749" s="383"/>
      <c r="C749" s="383"/>
      <c r="D749" s="1244"/>
      <c r="E749" s="1244"/>
      <c r="F749" s="1244"/>
      <c r="H749" s="401"/>
      <c r="I749" s="383"/>
      <c r="J749" s="401"/>
      <c r="K749" s="401"/>
    </row>
    <row r="750" spans="1:11">
      <c r="A750" s="383"/>
      <c r="B750" s="383"/>
      <c r="C750" s="383"/>
      <c r="D750" s="1244"/>
      <c r="E750" s="1244"/>
      <c r="F750" s="1244"/>
      <c r="H750" s="401"/>
      <c r="I750" s="383"/>
      <c r="J750" s="401"/>
      <c r="K750" s="401"/>
    </row>
    <row r="751" spans="1:11">
      <c r="A751" s="383"/>
      <c r="B751" s="383"/>
      <c r="C751" s="383"/>
      <c r="D751" s="1282" t="s">
        <v>521</v>
      </c>
      <c r="E751" s="1282"/>
      <c r="F751" s="1282"/>
      <c r="H751" s="401"/>
      <c r="I751" s="383"/>
      <c r="J751" s="401"/>
      <c r="K751" s="401"/>
    </row>
    <row r="752" spans="1:11">
      <c r="A752" s="383"/>
      <c r="B752" s="383"/>
      <c r="C752" s="383"/>
      <c r="D752" s="243"/>
      <c r="H752" s="401"/>
      <c r="I752" s="383"/>
      <c r="J752" s="401"/>
      <c r="K752" s="401"/>
    </row>
    <row r="753" spans="1:11">
      <c r="A753" s="1251" t="s">
        <v>522</v>
      </c>
      <c r="B753" s="1251"/>
      <c r="C753" s="1251"/>
      <c r="D753" s="1251"/>
      <c r="E753" s="1251"/>
      <c r="F753" s="1251"/>
      <c r="G753" s="1251"/>
      <c r="H753" s="920"/>
      <c r="I753" s="1045"/>
      <c r="J753" s="401"/>
      <c r="K753" s="401"/>
    </row>
    <row r="754" spans="1:11">
      <c r="A754" s="383"/>
      <c r="B754" s="383"/>
      <c r="C754" s="383"/>
      <c r="D754" s="392"/>
      <c r="G754" s="401"/>
      <c r="H754" s="401"/>
      <c r="I754" s="383"/>
      <c r="J754" s="401"/>
      <c r="K754" s="401"/>
    </row>
    <row r="755" spans="1:11" ht="13.75" customHeight="1">
      <c r="C755" s="383"/>
      <c r="D755" s="1246" t="s">
        <v>523</v>
      </c>
      <c r="E755" s="1246"/>
      <c r="F755" s="1246"/>
      <c r="G755" s="401"/>
      <c r="H755" s="401"/>
      <c r="I755" s="383"/>
      <c r="J755" s="401"/>
      <c r="K755" s="401"/>
    </row>
    <row r="756" spans="1:11">
      <c r="A756" s="383"/>
      <c r="B756" s="383"/>
      <c r="C756" s="383"/>
      <c r="D756" s="1250" t="s">
        <v>524</v>
      </c>
      <c r="E756" s="1250"/>
      <c r="F756" s="1250"/>
      <c r="G756" s="401"/>
      <c r="H756" s="401"/>
      <c r="I756" s="383"/>
      <c r="J756" s="401"/>
      <c r="K756" s="401"/>
    </row>
    <row r="757" spans="1:11">
      <c r="A757" s="383"/>
      <c r="B757" s="383"/>
      <c r="C757" s="383"/>
      <c r="G757" s="401"/>
      <c r="H757" s="401"/>
      <c r="I757" s="383"/>
      <c r="J757" s="401"/>
      <c r="K757" s="401"/>
    </row>
    <row r="758" spans="1:11">
      <c r="A758" s="384"/>
      <c r="B758" s="385" t="s">
        <v>2764</v>
      </c>
      <c r="D758" s="1244" t="s">
        <v>525</v>
      </c>
      <c r="E758" s="1244"/>
      <c r="F758" s="1244"/>
      <c r="G758" s="401"/>
      <c r="H758" s="401"/>
      <c r="I758" s="383"/>
      <c r="J758" s="401"/>
      <c r="K758" s="401"/>
    </row>
    <row r="759" spans="1:11" ht="10.5" customHeight="1">
      <c r="D759" s="1244"/>
      <c r="E759" s="1244"/>
      <c r="F759" s="1244"/>
      <c r="G759" s="401"/>
      <c r="H759" s="401"/>
      <c r="I759" s="383"/>
      <c r="J759" s="401"/>
      <c r="K759" s="401"/>
    </row>
    <row r="760" spans="1:11">
      <c r="D760" s="1244"/>
      <c r="E760" s="1244"/>
      <c r="F760" s="1244"/>
      <c r="G760" s="401"/>
      <c r="H760" s="401"/>
      <c r="I760" s="383"/>
      <c r="J760" s="401"/>
      <c r="K760" s="401"/>
    </row>
    <row r="761" spans="1:11">
      <c r="D761" s="1244"/>
      <c r="E761" s="1244"/>
      <c r="F761" s="1244"/>
      <c r="G761" s="401"/>
      <c r="H761" s="401"/>
      <c r="I761" s="383"/>
      <c r="J761" s="401"/>
      <c r="K761" s="401"/>
    </row>
    <row r="762" spans="1:11">
      <c r="D762" s="1244"/>
      <c r="E762" s="1244"/>
      <c r="F762" s="1244"/>
      <c r="G762" s="401"/>
      <c r="H762" s="401"/>
      <c r="I762" s="383"/>
      <c r="J762" s="401"/>
      <c r="K762" s="401"/>
    </row>
    <row r="763" spans="1:11" ht="15.75" customHeight="1">
      <c r="D763" s="1244"/>
      <c r="E763" s="1244"/>
      <c r="F763" s="1244"/>
      <c r="G763" s="401"/>
      <c r="H763" s="401"/>
      <c r="I763" s="383"/>
      <c r="J763" s="401"/>
      <c r="K763" s="401"/>
    </row>
    <row r="764" spans="1:11">
      <c r="D764" s="399"/>
      <c r="E764" s="347"/>
      <c r="F764" s="347"/>
      <c r="G764" s="401"/>
      <c r="H764" s="401"/>
      <c r="I764" s="383"/>
      <c r="J764" s="401"/>
      <c r="K764" s="401"/>
    </row>
    <row r="765" spans="1:11" s="405" customFormat="1">
      <c r="A765" s="403"/>
      <c r="B765" s="385" t="s">
        <v>2764</v>
      </c>
      <c r="C765" s="404"/>
      <c r="D765" s="1244" t="s">
        <v>526</v>
      </c>
      <c r="E765" s="1244"/>
      <c r="F765" s="1244"/>
      <c r="I765" s="1046"/>
    </row>
    <row r="766" spans="1:11" s="405" customFormat="1">
      <c r="A766" s="404"/>
      <c r="B766" s="404"/>
      <c r="C766" s="404"/>
      <c r="D766" s="1244"/>
      <c r="E766" s="1244"/>
      <c r="F766" s="1244"/>
      <c r="I766" s="1046"/>
    </row>
    <row r="767" spans="1:11" s="405" customFormat="1">
      <c r="A767" s="404"/>
      <c r="B767" s="404"/>
      <c r="C767" s="404"/>
      <c r="D767" s="1244"/>
      <c r="E767" s="1244"/>
      <c r="F767" s="1244"/>
      <c r="I767" s="1046"/>
    </row>
    <row r="768" spans="1:11" s="405" customFormat="1">
      <c r="A768" s="404"/>
      <c r="B768" s="404"/>
      <c r="C768" s="404"/>
      <c r="D768" s="1244"/>
      <c r="E768" s="1244"/>
      <c r="F768" s="1244"/>
      <c r="I768" s="1046"/>
    </row>
    <row r="769" spans="1:11" s="405" customFormat="1">
      <c r="A769" s="404"/>
      <c r="B769" s="404"/>
      <c r="C769" s="404"/>
      <c r="D769" s="399"/>
      <c r="I769" s="1046"/>
    </row>
    <row r="770" spans="1:11" s="405" customFormat="1">
      <c r="A770" s="384"/>
      <c r="B770" s="385" t="s">
        <v>2765</v>
      </c>
      <c r="C770" s="404"/>
      <c r="D770" s="1269" t="s">
        <v>527</v>
      </c>
      <c r="E770" s="1269"/>
      <c r="F770" s="1269"/>
      <c r="I770" s="1046"/>
    </row>
    <row r="771" spans="1:11" s="405" customFormat="1">
      <c r="A771" s="404"/>
      <c r="B771" s="404"/>
      <c r="C771" s="404"/>
      <c r="D771" s="1269"/>
      <c r="E771" s="1269"/>
      <c r="F771" s="1269"/>
      <c r="I771" s="1046"/>
    </row>
    <row r="772" spans="1:11" s="405" customFormat="1">
      <c r="A772" s="404"/>
      <c r="B772" s="404"/>
      <c r="C772" s="404"/>
      <c r="D772" s="1269"/>
      <c r="E772" s="1269"/>
      <c r="F772" s="1269"/>
      <c r="I772" s="1046"/>
    </row>
    <row r="773" spans="1:11">
      <c r="D773" s="399"/>
      <c r="E773" s="347"/>
      <c r="F773" s="347"/>
      <c r="G773" s="401"/>
      <c r="H773" s="401"/>
      <c r="I773" s="383"/>
      <c r="J773" s="401"/>
      <c r="K773" s="401"/>
    </row>
    <row r="774" spans="1:11">
      <c r="A774" s="384"/>
      <c r="B774" s="385" t="s">
        <v>2764</v>
      </c>
      <c r="D774" s="1244" t="s">
        <v>528</v>
      </c>
      <c r="E774" s="1244"/>
      <c r="F774" s="1244"/>
      <c r="G774" s="401"/>
      <c r="H774" s="401"/>
      <c r="I774" s="383"/>
      <c r="J774" s="401"/>
      <c r="K774" s="401"/>
    </row>
    <row r="775" spans="1:11">
      <c r="D775" s="1244"/>
      <c r="E775" s="1244"/>
      <c r="F775" s="1244"/>
      <c r="G775" s="401"/>
      <c r="H775" s="401"/>
      <c r="I775" s="383"/>
      <c r="J775" s="401"/>
      <c r="K775" s="401"/>
    </row>
    <row r="776" spans="1:11">
      <c r="D776" s="346"/>
      <c r="E776" s="346"/>
      <c r="F776" s="346"/>
      <c r="G776" s="401"/>
      <c r="H776" s="401"/>
      <c r="I776" s="383"/>
      <c r="J776" s="401"/>
      <c r="K776" s="401"/>
    </row>
    <row r="777" spans="1:11">
      <c r="B777" s="385" t="s">
        <v>2765</v>
      </c>
      <c r="D777" s="1244" t="s">
        <v>529</v>
      </c>
      <c r="E777" s="1244"/>
      <c r="F777" s="1244"/>
      <c r="G777" s="401"/>
      <c r="H777" s="401"/>
      <c r="I777" s="383"/>
      <c r="J777" s="401"/>
      <c r="K777" s="401"/>
    </row>
    <row r="778" spans="1:11">
      <c r="D778" s="1244"/>
      <c r="E778" s="1244"/>
      <c r="F778" s="1244"/>
      <c r="G778" s="401"/>
      <c r="H778" s="401"/>
      <c r="I778" s="383"/>
      <c r="J778" s="401"/>
      <c r="K778" s="401"/>
    </row>
    <row r="779" spans="1:11">
      <c r="D779" s="1244"/>
      <c r="E779" s="1244"/>
      <c r="F779" s="1244"/>
      <c r="G779" s="401"/>
      <c r="H779" s="401"/>
      <c r="I779" s="383"/>
      <c r="J779" s="401"/>
      <c r="K779" s="401"/>
    </row>
    <row r="780" spans="1:11">
      <c r="D780" s="346"/>
      <c r="E780" s="346"/>
      <c r="F780" s="346"/>
      <c r="G780" s="401"/>
      <c r="H780" s="401"/>
      <c r="I780" s="383"/>
      <c r="J780" s="401"/>
      <c r="K780" s="401"/>
    </row>
    <row r="781" spans="1:11">
      <c r="A781" s="1276" t="s">
        <v>530</v>
      </c>
      <c r="B781" s="1276"/>
      <c r="C781" s="1276"/>
      <c r="D781" s="1276"/>
      <c r="E781" s="1276"/>
      <c r="F781" s="1276"/>
      <c r="G781" s="1276"/>
      <c r="H781" s="918"/>
      <c r="I781" s="1041"/>
    </row>
    <row r="782" spans="1:11">
      <c r="A782" s="49"/>
      <c r="B782" s="49"/>
      <c r="C782" s="256"/>
      <c r="D782" s="3"/>
      <c r="E782" s="3"/>
      <c r="F782" s="3"/>
      <c r="G782" s="3"/>
      <c r="I782" s="390"/>
    </row>
    <row r="783" spans="1:11">
      <c r="A783" s="49"/>
      <c r="B783" s="49"/>
      <c r="C783" s="256"/>
      <c r="D783" s="1275" t="s">
        <v>531</v>
      </c>
      <c r="E783" s="1275"/>
      <c r="F783" s="1275"/>
      <c r="G783" s="3"/>
      <c r="I783" s="390"/>
    </row>
    <row r="784" spans="1:11">
      <c r="A784" s="49"/>
      <c r="B784" s="49"/>
      <c r="C784" s="256"/>
      <c r="D784" s="1256" t="s">
        <v>532</v>
      </c>
      <c r="E784" s="1256"/>
      <c r="F784" s="1256"/>
      <c r="G784" s="3"/>
      <c r="I784" s="390"/>
    </row>
    <row r="785" spans="1:9">
      <c r="A785" s="49"/>
      <c r="B785" s="49"/>
      <c r="C785" s="256"/>
      <c r="D785" s="348"/>
      <c r="E785" s="348"/>
      <c r="F785" s="348"/>
      <c r="G785" s="3"/>
      <c r="I785" s="390"/>
    </row>
    <row r="786" spans="1:9">
      <c r="A786" s="49"/>
      <c r="B786" s="385" t="s">
        <v>2764</v>
      </c>
      <c r="C786" s="256"/>
      <c r="D786" s="1277" t="s">
        <v>533</v>
      </c>
      <c r="E786" s="1277"/>
      <c r="F786" s="1277"/>
      <c r="G786" s="3"/>
      <c r="I786" s="383"/>
    </row>
    <row r="787" spans="1:9">
      <c r="A787" s="49"/>
      <c r="B787" s="49"/>
      <c r="C787" s="256"/>
      <c r="D787" s="1277"/>
      <c r="E787" s="1277"/>
      <c r="F787" s="1277"/>
      <c r="G787" s="3"/>
      <c r="I787" s="390"/>
    </row>
    <row r="788" spans="1:9">
      <c r="A788" s="121"/>
      <c r="B788" s="121"/>
      <c r="C788" s="121"/>
      <c r="D788" s="1277"/>
      <c r="E788" s="1277"/>
      <c r="F788" s="1277"/>
      <c r="G788" s="84"/>
      <c r="I788" s="390"/>
    </row>
    <row r="789" spans="1:9">
      <c r="A789" s="256"/>
      <c r="B789" s="256"/>
      <c r="C789" s="256"/>
      <c r="D789" s="120"/>
      <c r="E789" s="3"/>
      <c r="F789" s="3"/>
      <c r="G789" s="3"/>
      <c r="I789" s="390"/>
    </row>
    <row r="790" spans="1:9">
      <c r="A790" s="119"/>
      <c r="B790" s="385" t="s">
        <v>2765</v>
      </c>
      <c r="C790" s="119"/>
      <c r="D790" s="1277" t="s">
        <v>534</v>
      </c>
      <c r="E790" s="1277"/>
      <c r="F790" s="1277"/>
      <c r="G790" s="3"/>
      <c r="I790" s="383"/>
    </row>
    <row r="791" spans="1:9">
      <c r="A791" s="119"/>
      <c r="B791" s="119"/>
      <c r="C791" s="119"/>
      <c r="D791" s="1277"/>
      <c r="E791" s="1277"/>
      <c r="F791" s="1277"/>
      <c r="G791" s="3"/>
      <c r="I791" s="390"/>
    </row>
    <row r="792" spans="1:9">
      <c r="A792" s="119"/>
      <c r="B792" s="119"/>
      <c r="C792" s="119"/>
      <c r="D792" s="1277"/>
      <c r="E792" s="1277"/>
      <c r="F792" s="1277"/>
      <c r="G792" s="3"/>
      <c r="I792" s="390"/>
    </row>
    <row r="793" spans="1:9">
      <c r="A793" s="121"/>
      <c r="B793" s="121"/>
      <c r="C793" s="121"/>
      <c r="D793" s="3"/>
      <c r="E793" s="881"/>
      <c r="F793" s="881"/>
      <c r="G793" s="881"/>
      <c r="I793" s="390"/>
    </row>
    <row r="794" spans="1:9">
      <c r="A794" s="122"/>
      <c r="B794" s="385" t="s">
        <v>2765</v>
      </c>
      <c r="C794" s="882"/>
      <c r="D794" s="1277" t="s">
        <v>535</v>
      </c>
      <c r="E794" s="1277"/>
      <c r="F794" s="1277"/>
      <c r="G794" s="881"/>
      <c r="I794" s="383"/>
    </row>
    <row r="795" spans="1:9">
      <c r="A795" s="122"/>
      <c r="B795" s="122"/>
      <c r="C795" s="882"/>
      <c r="D795" s="1277"/>
      <c r="E795" s="1277"/>
      <c r="F795" s="1277"/>
      <c r="G795" s="881"/>
      <c r="I795" s="390"/>
    </row>
    <row r="796" spans="1:9">
      <c r="A796" s="122"/>
      <c r="B796" s="122"/>
      <c r="C796" s="882"/>
      <c r="D796" s="1277"/>
      <c r="E796" s="1277"/>
      <c r="F796" s="1277"/>
      <c r="G796" s="881"/>
      <c r="I796" s="390"/>
    </row>
    <row r="797" spans="1:9">
      <c r="A797" s="122"/>
      <c r="B797" s="122"/>
      <c r="C797" s="882"/>
      <c r="D797" s="84"/>
      <c r="E797" s="3"/>
      <c r="F797" s="3"/>
      <c r="G797" s="881"/>
      <c r="I797" s="390"/>
    </row>
    <row r="798" spans="1:9">
      <c r="A798" s="122"/>
      <c r="B798" s="385" t="s">
        <v>2764</v>
      </c>
      <c r="C798" s="882"/>
      <c r="D798" s="1277" t="s">
        <v>536</v>
      </c>
      <c r="E798" s="1277"/>
      <c r="F798" s="1277"/>
      <c r="G798" s="881"/>
      <c r="I798" s="383"/>
    </row>
    <row r="799" spans="1:9">
      <c r="A799" s="122"/>
      <c r="B799" s="122"/>
      <c r="C799" s="882"/>
      <c r="D799" s="1277"/>
      <c r="E799" s="1277"/>
      <c r="F799" s="1277"/>
      <c r="G799" s="881"/>
      <c r="I799" s="390"/>
    </row>
    <row r="800" spans="1:9">
      <c r="A800" s="122"/>
      <c r="B800" s="122"/>
      <c r="C800" s="882"/>
      <c r="D800" s="1277"/>
      <c r="E800" s="1277"/>
      <c r="F800" s="1277"/>
      <c r="G800" s="881"/>
      <c r="I800" s="390"/>
    </row>
    <row r="801" spans="1:9">
      <c r="A801" s="122"/>
      <c r="B801" s="122"/>
      <c r="C801" s="882"/>
      <c r="D801" s="1277"/>
      <c r="E801" s="1277"/>
      <c r="F801" s="1277"/>
      <c r="G801" s="881"/>
      <c r="I801" s="390"/>
    </row>
    <row r="802" spans="1:9">
      <c r="A802" s="122"/>
      <c r="B802" s="122"/>
      <c r="C802" s="882"/>
      <c r="D802" s="1277"/>
      <c r="E802" s="1277"/>
      <c r="F802" s="1277"/>
      <c r="G802" s="881"/>
      <c r="I802" s="390"/>
    </row>
    <row r="803" spans="1:9">
      <c r="A803" s="122"/>
      <c r="B803" s="122"/>
      <c r="C803" s="882"/>
      <c r="D803" s="1277"/>
      <c r="E803" s="1277"/>
      <c r="F803" s="1277"/>
      <c r="G803" s="881"/>
      <c r="I803" s="390"/>
    </row>
    <row r="804" spans="1:9">
      <c r="A804" s="122"/>
      <c r="B804" s="122"/>
      <c r="C804" s="882"/>
      <c r="D804" s="1277" t="s">
        <v>537</v>
      </c>
      <c r="E804" s="1277"/>
      <c r="F804" s="1277"/>
      <c r="G804" s="881"/>
      <c r="I804" s="390"/>
    </row>
    <row r="805" spans="1:9">
      <c r="A805" s="122"/>
      <c r="B805" s="122"/>
      <c r="C805" s="882"/>
      <c r="D805" s="1277"/>
      <c r="E805" s="1277"/>
      <c r="F805" s="1277"/>
      <c r="G805" s="881"/>
      <c r="I805" s="390"/>
    </row>
    <row r="806" spans="1:9">
      <c r="A806" s="122"/>
      <c r="B806" s="122"/>
      <c r="C806" s="882"/>
      <c r="D806" s="1277"/>
      <c r="E806" s="1277"/>
      <c r="F806" s="1277"/>
      <c r="G806" s="881"/>
      <c r="I806" s="390"/>
    </row>
    <row r="807" spans="1:9">
      <c r="A807" s="122"/>
      <c r="B807" s="256"/>
      <c r="C807" s="882"/>
      <c r="D807" s="883"/>
      <c r="E807" s="883"/>
      <c r="F807" s="883"/>
      <c r="G807" s="881"/>
      <c r="I807" s="390"/>
    </row>
    <row r="808" spans="1:9">
      <c r="A808" s="122"/>
      <c r="B808" s="385" t="s">
        <v>2765</v>
      </c>
      <c r="C808" s="882"/>
      <c r="D808" s="1277" t="s">
        <v>538</v>
      </c>
      <c r="E808" s="1277"/>
      <c r="F808" s="1277"/>
      <c r="G808" s="881"/>
      <c r="I808" s="383"/>
    </row>
    <row r="809" spans="1:9">
      <c r="A809" s="122"/>
      <c r="B809" s="122"/>
      <c r="C809" s="882"/>
      <c r="D809" s="1277"/>
      <c r="E809" s="1277"/>
      <c r="F809" s="1277"/>
      <c r="G809" s="881"/>
      <c r="I809" s="390"/>
    </row>
    <row r="810" spans="1:9">
      <c r="A810" s="122"/>
      <c r="B810" s="122"/>
      <c r="C810" s="882"/>
      <c r="D810" s="1277"/>
      <c r="E810" s="1277"/>
      <c r="F810" s="1277"/>
      <c r="G810" s="881"/>
      <c r="I810" s="390"/>
    </row>
    <row r="811" spans="1:9">
      <c r="A811" s="122"/>
      <c r="B811" s="122"/>
      <c r="C811" s="882"/>
      <c r="D811" s="1277"/>
      <c r="E811" s="1277"/>
      <c r="F811" s="1277"/>
      <c r="G811" s="881"/>
      <c r="I811" s="390"/>
    </row>
    <row r="812" spans="1:9">
      <c r="A812" s="122"/>
      <c r="B812" s="122"/>
      <c r="C812" s="882"/>
      <c r="D812" s="1277"/>
      <c r="E812" s="1277"/>
      <c r="F812" s="1277"/>
      <c r="G812" s="881"/>
      <c r="I812" s="390"/>
    </row>
    <row r="813" spans="1:9">
      <c r="A813" s="122"/>
      <c r="B813" s="122"/>
      <c r="C813" s="882"/>
      <c r="D813" s="1277"/>
      <c r="E813" s="1277"/>
      <c r="F813" s="1277"/>
      <c r="G813" s="881"/>
      <c r="I813" s="390"/>
    </row>
    <row r="814" spans="1:9">
      <c r="A814" s="122"/>
      <c r="B814" s="122"/>
      <c r="C814" s="882"/>
      <c r="D814" s="875"/>
      <c r="E814" s="875"/>
      <c r="F814" s="875"/>
      <c r="G814" s="881"/>
      <c r="I814" s="390"/>
    </row>
    <row r="815" spans="1:9">
      <c r="A815" s="122"/>
      <c r="B815" s="385" t="s">
        <v>2765</v>
      </c>
      <c r="C815" s="882"/>
      <c r="D815" s="1277" t="s">
        <v>539</v>
      </c>
      <c r="E815" s="1277"/>
      <c r="F815" s="1277"/>
      <c r="G815" s="881"/>
      <c r="I815" s="383"/>
    </row>
    <row r="816" spans="1:9">
      <c r="A816" s="122"/>
      <c r="B816" s="122"/>
      <c r="C816" s="882"/>
      <c r="D816" s="1277"/>
      <c r="E816" s="1277"/>
      <c r="F816" s="1277"/>
      <c r="G816" s="881"/>
      <c r="I816" s="390"/>
    </row>
    <row r="817" spans="1:9">
      <c r="A817" s="122"/>
      <c r="B817" s="122"/>
      <c r="C817" s="882"/>
      <c r="D817" s="1277"/>
      <c r="E817" s="1277"/>
      <c r="F817" s="1277"/>
      <c r="G817" s="881"/>
      <c r="I817" s="390"/>
    </row>
    <row r="818" spans="1:9">
      <c r="A818" s="122"/>
      <c r="B818" s="122"/>
      <c r="C818" s="882"/>
      <c r="D818" s="1277"/>
      <c r="E818" s="1277"/>
      <c r="F818" s="1277"/>
      <c r="G818" s="881"/>
      <c r="I818" s="390"/>
    </row>
    <row r="819" spans="1:9">
      <c r="A819" s="122"/>
      <c r="B819" s="122"/>
      <c r="C819" s="882"/>
      <c r="D819" s="1277"/>
      <c r="E819" s="1277"/>
      <c r="F819" s="1277"/>
      <c r="G819" s="881"/>
      <c r="I819" s="390"/>
    </row>
    <row r="820" spans="1:9">
      <c r="A820" s="122"/>
      <c r="B820" s="122"/>
      <c r="C820" s="882"/>
      <c r="D820" s="1277"/>
      <c r="E820" s="1277"/>
      <c r="F820" s="1277"/>
      <c r="G820" s="881"/>
      <c r="I820" s="390"/>
    </row>
    <row r="821" spans="1:9">
      <c r="A821" s="122"/>
      <c r="B821" s="122"/>
      <c r="C821" s="882"/>
      <c r="D821" s="875"/>
      <c r="E821" s="875"/>
      <c r="F821" s="875"/>
      <c r="G821" s="881"/>
      <c r="I821" s="390"/>
    </row>
    <row r="822" spans="1:9">
      <c r="A822" s="122"/>
      <c r="B822" s="385" t="s">
        <v>2765</v>
      </c>
      <c r="C822" s="882"/>
      <c r="D822" s="1249" t="s">
        <v>540</v>
      </c>
      <c r="E822" s="1249"/>
      <c r="F822" s="1249"/>
      <c r="G822" s="881"/>
      <c r="I822" s="383"/>
    </row>
    <row r="823" spans="1:9">
      <c r="A823" s="122"/>
      <c r="B823" s="122"/>
      <c r="C823" s="882"/>
      <c r="D823" s="1249"/>
      <c r="E823" s="1249"/>
      <c r="F823" s="1249"/>
      <c r="G823" s="881"/>
      <c r="I823" s="390"/>
    </row>
    <row r="824" spans="1:9">
      <c r="A824" s="12"/>
      <c r="B824" s="12"/>
      <c r="C824" s="882"/>
      <c r="D824" s="1249"/>
      <c r="E824" s="1249"/>
      <c r="F824" s="1249"/>
      <c r="G824" s="881"/>
      <c r="I824" s="390"/>
    </row>
    <row r="825" spans="1:9">
      <c r="A825" s="122"/>
      <c r="B825" s="12"/>
      <c r="C825" s="882"/>
      <c r="D825" s="1249"/>
      <c r="E825" s="1249"/>
      <c r="F825" s="1249"/>
      <c r="G825" s="881"/>
      <c r="I825" s="390"/>
    </row>
    <row r="826" spans="1:9" ht="12.75" customHeight="1">
      <c r="A826" s="122"/>
      <c r="B826" s="12"/>
      <c r="C826" s="882"/>
      <c r="D826" s="1249"/>
      <c r="E826" s="1249"/>
      <c r="F826" s="1249"/>
      <c r="G826" s="881"/>
      <c r="I826" s="390"/>
    </row>
    <row r="827" spans="1:9" ht="12.75" customHeight="1">
      <c r="A827" s="122"/>
      <c r="B827" s="12"/>
      <c r="C827" s="882"/>
      <c r="D827" s="1249"/>
      <c r="E827" s="1249"/>
      <c r="F827" s="1249"/>
      <c r="G827" s="881"/>
      <c r="I827" s="390"/>
    </row>
    <row r="828" spans="1:9" ht="12.75" customHeight="1">
      <c r="A828" s="12"/>
      <c r="B828" s="12"/>
      <c r="C828" s="882"/>
      <c r="D828" s="881"/>
      <c r="E828" s="3"/>
      <c r="F828" s="3"/>
      <c r="G828" s="881"/>
      <c r="I828" s="390"/>
    </row>
    <row r="829" spans="1:9" ht="12.75" customHeight="1">
      <c r="A829" s="1270" t="s">
        <v>541</v>
      </c>
      <c r="B829" s="1270"/>
      <c r="C829" s="1270"/>
      <c r="D829" s="1270"/>
      <c r="E829" s="1270"/>
      <c r="F829" s="1270"/>
      <c r="G829" s="1270"/>
      <c r="H829" s="918"/>
      <c r="I829" s="1041"/>
    </row>
    <row r="830" spans="1:9" ht="12.75" customHeight="1">
      <c r="A830" s="119"/>
      <c r="B830" s="119"/>
      <c r="C830" s="882"/>
      <c r="D830" s="881"/>
      <c r="E830" s="881"/>
      <c r="F830" s="881"/>
      <c r="G830" s="881"/>
      <c r="I830" s="390"/>
    </row>
    <row r="831" spans="1:9" ht="12.75" customHeight="1">
      <c r="A831" s="122"/>
      <c r="B831" s="122"/>
      <c r="C831" s="256"/>
      <c r="D831" s="1274" t="s">
        <v>542</v>
      </c>
      <c r="E831" s="1274"/>
      <c r="F831" s="1274"/>
      <c r="G831" s="3"/>
      <c r="I831" s="390"/>
    </row>
    <row r="832" spans="1:9" ht="14.25" customHeight="1">
      <c r="A832" s="122"/>
      <c r="B832" s="122"/>
      <c r="C832" s="256"/>
      <c r="D832" s="1221" t="s">
        <v>543</v>
      </c>
      <c r="E832" s="1221"/>
      <c r="F832" s="1221"/>
      <c r="G832" s="3"/>
      <c r="I832" s="390"/>
    </row>
    <row r="833" spans="1:9" ht="12.75" customHeight="1">
      <c r="A833" s="122"/>
      <c r="B833" s="122"/>
      <c r="C833" s="256"/>
      <c r="D833" s="343"/>
      <c r="E833" s="343"/>
      <c r="F833" s="343"/>
      <c r="G833" s="3"/>
      <c r="I833" s="390"/>
    </row>
    <row r="834" spans="1:9" ht="12.75" customHeight="1">
      <c r="A834" s="256"/>
      <c r="B834" s="385" t="s">
        <v>2764</v>
      </c>
      <c r="C834" s="882"/>
      <c r="D834" s="1221" t="s">
        <v>544</v>
      </c>
      <c r="E834" s="1221"/>
      <c r="F834" s="1221"/>
      <c r="G834" s="3"/>
      <c r="I834" s="390" t="s">
        <v>545</v>
      </c>
    </row>
    <row r="835" spans="1:9" ht="14.25" customHeight="1">
      <c r="A835" s="12"/>
      <c r="B835" s="12"/>
      <c r="C835" s="882"/>
      <c r="E835" s="926" t="s">
        <v>374</v>
      </c>
      <c r="F835" s="928"/>
      <c r="G835" s="3"/>
      <c r="I835" s="390"/>
    </row>
    <row r="836" spans="1:9" ht="12.75" customHeight="1">
      <c r="A836" s="12"/>
      <c r="B836" s="12"/>
      <c r="C836" s="882"/>
      <c r="D836" s="884"/>
      <c r="E836" s="3"/>
      <c r="F836" s="3"/>
      <c r="G836" s="3"/>
      <c r="I836" s="390"/>
    </row>
    <row r="837" spans="1:9" ht="14.25" hidden="1" customHeight="1">
      <c r="A837" s="12"/>
      <c r="B837" s="385" t="s">
        <v>309</v>
      </c>
      <c r="C837" s="882"/>
      <c r="D837" s="1279" t="s">
        <v>546</v>
      </c>
      <c r="E837" s="1279"/>
      <c r="F837" s="1279"/>
      <c r="G837" s="3"/>
      <c r="I837" s="390"/>
    </row>
    <row r="838" spans="1:9" ht="12.75" hidden="1" customHeight="1">
      <c r="A838" s="12"/>
      <c r="B838" s="12"/>
      <c r="C838" s="882"/>
      <c r="D838" s="1279"/>
      <c r="E838" s="1279"/>
      <c r="F838" s="1279"/>
      <c r="G838" s="3"/>
      <c r="I838" s="390"/>
    </row>
    <row r="839" spans="1:9" ht="12.75" hidden="1" customHeight="1">
      <c r="A839" s="12"/>
      <c r="B839" s="12"/>
      <c r="C839" s="882"/>
      <c r="D839" s="1279"/>
      <c r="E839" s="1279"/>
      <c r="F839" s="1279"/>
      <c r="G839" s="3"/>
      <c r="I839" s="390"/>
    </row>
    <row r="840" spans="1:9" ht="12.75" hidden="1" customHeight="1">
      <c r="A840" s="12"/>
      <c r="B840" s="12"/>
      <c r="C840" s="882"/>
      <c r="D840" s="1279"/>
      <c r="E840" s="1279"/>
      <c r="F840" s="1279"/>
      <c r="G840" s="3"/>
      <c r="I840" s="390"/>
    </row>
    <row r="841" spans="1:9" ht="12.75" hidden="1" customHeight="1">
      <c r="A841" s="12"/>
      <c r="B841" s="12"/>
      <c r="C841" s="882"/>
      <c r="D841" s="1279"/>
      <c r="E841" s="1279"/>
      <c r="F841" s="1279"/>
      <c r="G841" s="3"/>
      <c r="I841" s="390"/>
    </row>
    <row r="842" spans="1:9" ht="12.75" hidden="1" customHeight="1">
      <c r="A842" s="12"/>
      <c r="B842" s="12"/>
      <c r="C842" s="882"/>
      <c r="D842" s="1279"/>
      <c r="E842" s="1279"/>
      <c r="F842" s="1279"/>
      <c r="G842" s="3"/>
      <c r="I842" s="390"/>
    </row>
    <row r="843" spans="1:9" ht="12.75" hidden="1" customHeight="1">
      <c r="A843" s="12"/>
      <c r="B843" s="12"/>
      <c r="C843" s="882"/>
      <c r="D843" s="1279"/>
      <c r="E843" s="1279"/>
      <c r="F843" s="1279"/>
      <c r="G843" s="3"/>
      <c r="I843" s="390"/>
    </row>
    <row r="844" spans="1:9" ht="12.75" hidden="1" customHeight="1">
      <c r="A844" s="12"/>
      <c r="B844" s="12"/>
      <c r="C844" s="882"/>
      <c r="D844" s="1279"/>
      <c r="E844" s="1279"/>
      <c r="F844" s="1279"/>
      <c r="G844" s="3"/>
      <c r="I844" s="390"/>
    </row>
    <row r="845" spans="1:9" ht="12.75" hidden="1" customHeight="1">
      <c r="A845" s="12"/>
      <c r="B845" s="12"/>
      <c r="C845" s="882"/>
      <c r="D845" s="1279"/>
      <c r="E845" s="1279"/>
      <c r="F845" s="1279"/>
      <c r="G845" s="3"/>
      <c r="I845" s="390"/>
    </row>
    <row r="846" spans="1:9" ht="12.75" hidden="1" customHeight="1">
      <c r="A846" s="12"/>
      <c r="B846" s="12"/>
      <c r="C846" s="882"/>
      <c r="D846" s="1279"/>
      <c r="E846" s="1279"/>
      <c r="F846" s="1279"/>
      <c r="G846" s="3"/>
      <c r="I846" s="390"/>
    </row>
    <row r="847" spans="1:9" ht="12.75" hidden="1" customHeight="1">
      <c r="A847" s="12"/>
      <c r="B847" s="12"/>
      <c r="C847" s="882"/>
      <c r="D847" s="884"/>
      <c r="E847" s="3"/>
      <c r="F847" s="3"/>
      <c r="G847" s="3"/>
      <c r="I847" s="390"/>
    </row>
    <row r="848" spans="1:9" ht="12.75" customHeight="1">
      <c r="A848" s="122"/>
      <c r="B848" s="385" t="s">
        <v>2764</v>
      </c>
      <c r="C848" s="882"/>
      <c r="D848" s="1221" t="s">
        <v>547</v>
      </c>
      <c r="E848" s="1221"/>
      <c r="F848" s="1221"/>
      <c r="G848" s="3"/>
      <c r="I848" s="390" t="s">
        <v>548</v>
      </c>
    </row>
    <row r="849" spans="1:9" ht="12.75" customHeight="1">
      <c r="A849" s="122"/>
      <c r="B849" s="122"/>
      <c r="C849" s="882"/>
      <c r="D849" s="1221"/>
      <c r="E849" s="1221"/>
      <c r="F849" s="1221"/>
      <c r="G849" s="3"/>
      <c r="I849" s="390"/>
    </row>
    <row r="850" spans="1:9" ht="12.75" customHeight="1">
      <c r="A850" s="122"/>
      <c r="B850" s="122"/>
      <c r="C850" s="882"/>
      <c r="D850" s="1221"/>
      <c r="E850" s="1221"/>
      <c r="F850" s="1221"/>
      <c r="G850" s="3"/>
      <c r="I850" s="390"/>
    </row>
    <row r="851" spans="1:9" ht="12.75" customHeight="1">
      <c r="A851" s="122"/>
      <c r="B851" s="122"/>
      <c r="C851" s="882"/>
      <c r="D851" s="84"/>
      <c r="E851" s="3"/>
      <c r="F851" s="3"/>
      <c r="G851" s="3"/>
      <c r="I851" s="390"/>
    </row>
    <row r="852" spans="1:9" ht="12.75" customHeight="1">
      <c r="A852" s="885"/>
      <c r="B852" s="385" t="s">
        <v>2765</v>
      </c>
      <c r="C852" s="882"/>
      <c r="D852" s="1274" t="s">
        <v>549</v>
      </c>
      <c r="E852" s="1274"/>
      <c r="F852" s="1274"/>
      <c r="G852" s="3"/>
      <c r="I852" s="390"/>
    </row>
    <row r="853" spans="1:9" ht="12.75" customHeight="1">
      <c r="A853" s="256"/>
      <c r="B853" s="885"/>
      <c r="C853" s="882"/>
      <c r="D853" s="1274"/>
      <c r="E853" s="1274"/>
      <c r="F853" s="1274"/>
      <c r="G853" s="3"/>
      <c r="I853" s="390"/>
    </row>
    <row r="854" spans="1:9" ht="12.75" customHeight="1">
      <c r="A854" s="122"/>
      <c r="B854" s="256"/>
      <c r="C854" s="882"/>
      <c r="D854" s="1221" t="s">
        <v>550</v>
      </c>
      <c r="E854" s="1221"/>
      <c r="F854" s="1221"/>
      <c r="G854" s="3"/>
      <c r="I854" s="390"/>
    </row>
    <row r="855" spans="1:9" ht="12.75" customHeight="1">
      <c r="A855" s="122"/>
      <c r="B855" s="122"/>
      <c r="C855" s="882"/>
      <c r="D855" s="1221"/>
      <c r="E855" s="1221"/>
      <c r="F855" s="1221"/>
      <c r="G855" s="3"/>
      <c r="I855" s="390"/>
    </row>
    <row r="856" spans="1:9" ht="12.75" customHeight="1">
      <c r="A856" s="122"/>
      <c r="B856" s="122"/>
      <c r="C856" s="882"/>
      <c r="D856" s="1221"/>
      <c r="E856" s="1221"/>
      <c r="F856" s="1221"/>
      <c r="G856" s="3"/>
      <c r="I856" s="390"/>
    </row>
    <row r="857" spans="1:9" ht="12.75" customHeight="1">
      <c r="A857" s="122"/>
      <c r="B857" s="122"/>
      <c r="C857" s="882"/>
      <c r="D857" s="1221"/>
      <c r="E857" s="1221"/>
      <c r="F857" s="1221"/>
      <c r="G857" s="3"/>
      <c r="I857" s="390"/>
    </row>
    <row r="858" spans="1:9" ht="12.75" customHeight="1">
      <c r="A858" s="122"/>
      <c r="B858" s="122"/>
      <c r="C858" s="882"/>
      <c r="D858" s="1221"/>
      <c r="E858" s="1221"/>
      <c r="F858" s="1221"/>
      <c r="G858" s="3"/>
      <c r="I858" s="390"/>
    </row>
    <row r="859" spans="1:9" ht="12.75" customHeight="1">
      <c r="A859" s="122"/>
      <c r="B859" s="122"/>
      <c r="C859" s="882"/>
      <c r="D859" s="1221"/>
      <c r="E859" s="1221"/>
      <c r="F859" s="1221"/>
      <c r="G859" s="3"/>
      <c r="I859" s="390"/>
    </row>
    <row r="860" spans="1:9" ht="12.75" customHeight="1">
      <c r="A860" s="122"/>
      <c r="B860" s="122"/>
      <c r="C860" s="882"/>
      <c r="D860" s="84"/>
      <c r="E860" s="3"/>
      <c r="F860" s="3"/>
      <c r="G860" s="3"/>
      <c r="I860" s="390"/>
    </row>
    <row r="861" spans="1:9" ht="12.75" customHeight="1">
      <c r="A861" s="122"/>
      <c r="B861" s="385" t="s">
        <v>2765</v>
      </c>
      <c r="C861" s="882"/>
      <c r="D861" s="1221" t="s">
        <v>551</v>
      </c>
      <c r="E861" s="1221"/>
      <c r="F861" s="1221"/>
      <c r="G861" s="3"/>
      <c r="I861" s="390" t="s">
        <v>552</v>
      </c>
    </row>
    <row r="862" spans="1:9" ht="12.75" customHeight="1">
      <c r="A862" s="122"/>
      <c r="B862" s="122"/>
      <c r="C862" s="882"/>
      <c r="D862" s="1221" t="s">
        <v>553</v>
      </c>
      <c r="E862" s="1221"/>
      <c r="F862" s="1221"/>
      <c r="G862" s="3"/>
      <c r="I862" s="390"/>
    </row>
    <row r="863" spans="1:9" ht="12.75" customHeight="1">
      <c r="A863" s="122"/>
      <c r="B863" s="122"/>
      <c r="C863" s="882"/>
      <c r="E863" s="926" t="s">
        <v>383</v>
      </c>
      <c r="F863" s="928"/>
      <c r="G863" s="3"/>
      <c r="I863" s="390"/>
    </row>
    <row r="864" spans="1:9" ht="12.75" customHeight="1">
      <c r="A864" s="122"/>
      <c r="B864" s="122"/>
      <c r="C864" s="882"/>
      <c r="D864" s="84"/>
      <c r="E864" s="3"/>
      <c r="F864" s="3"/>
      <c r="G864" s="3"/>
      <c r="I864" s="390"/>
    </row>
    <row r="865" spans="1:9" ht="12.75" customHeight="1">
      <c r="A865" s="122"/>
      <c r="B865" s="385" t="s">
        <v>2765</v>
      </c>
      <c r="C865" s="882"/>
      <c r="D865" s="1221" t="s">
        <v>554</v>
      </c>
      <c r="E865" s="1221"/>
      <c r="F865" s="1221"/>
      <c r="G865" s="3"/>
      <c r="I865" s="390" t="s">
        <v>555</v>
      </c>
    </row>
    <row r="866" spans="1:9" ht="12.75" customHeight="1">
      <c r="A866" s="122"/>
      <c r="B866" s="122"/>
      <c r="C866" s="882"/>
      <c r="D866" s="1221"/>
      <c r="E866" s="1221"/>
      <c r="F866" s="1221"/>
      <c r="G866" s="3"/>
      <c r="I866" s="390"/>
    </row>
    <row r="867" spans="1:9" ht="12.75" customHeight="1">
      <c r="A867" s="122"/>
      <c r="B867" s="122"/>
      <c r="C867" s="882"/>
      <c r="D867" s="1221"/>
      <c r="E867" s="1221"/>
      <c r="F867" s="1221"/>
      <c r="G867" s="3"/>
      <c r="I867" s="390"/>
    </row>
    <row r="868" spans="1:9" ht="12.75" customHeight="1">
      <c r="A868" s="122"/>
      <c r="B868" s="122"/>
      <c r="C868" s="882"/>
      <c r="D868" s="1221"/>
      <c r="E868" s="1221"/>
      <c r="F868" s="1221"/>
      <c r="G868" s="3"/>
      <c r="I868" s="390"/>
    </row>
    <row r="869" spans="1:9" ht="12.75" customHeight="1">
      <c r="A869" s="119"/>
      <c r="B869" s="119"/>
      <c r="C869" s="119"/>
      <c r="D869" s="84"/>
      <c r="E869" s="3"/>
      <c r="F869" s="3"/>
      <c r="G869" s="3"/>
      <c r="I869" s="390"/>
    </row>
    <row r="870" spans="1:9" ht="12.75" customHeight="1">
      <c r="A870" s="876" t="s">
        <v>556</v>
      </c>
      <c r="B870" s="876"/>
      <c r="C870" s="886"/>
      <c r="D870" s="886"/>
      <c r="E870" s="886"/>
      <c r="F870" s="886"/>
      <c r="G870" s="886"/>
      <c r="H870" s="918"/>
      <c r="I870" s="1041"/>
    </row>
    <row r="871" spans="1:9" ht="12.75" customHeight="1">
      <c r="A871" s="119"/>
      <c r="B871" s="119"/>
      <c r="C871" s="119"/>
      <c r="D871" s="887"/>
      <c r="E871" s="3"/>
      <c r="F871" s="3"/>
      <c r="G871" s="3"/>
      <c r="I871" s="390"/>
    </row>
    <row r="872" spans="1:9" ht="12.75" customHeight="1">
      <c r="A872" s="256"/>
      <c r="B872" s="256"/>
      <c r="C872" s="121"/>
      <c r="D872" s="1283" t="s">
        <v>557</v>
      </c>
      <c r="E872" s="1283"/>
      <c r="F872" s="1283"/>
      <c r="G872" s="881"/>
      <c r="I872" s="390"/>
    </row>
    <row r="873" spans="1:9" ht="12.75" customHeight="1">
      <c r="A873" s="256"/>
      <c r="B873" s="256"/>
      <c r="C873" s="121"/>
      <c r="D873" s="1278" t="s">
        <v>558</v>
      </c>
      <c r="E873" s="1278"/>
      <c r="F873" s="1278"/>
      <c r="G873" s="881"/>
      <c r="I873" s="390"/>
    </row>
    <row r="874" spans="1:9" ht="12.75" customHeight="1">
      <c r="A874" s="256"/>
      <c r="B874" s="256"/>
      <c r="C874" s="121"/>
      <c r="D874" s="888"/>
      <c r="E874" s="888"/>
      <c r="F874" s="888"/>
      <c r="G874" s="881"/>
      <c r="I874" s="390"/>
    </row>
    <row r="875" spans="1:9" ht="12.75" customHeight="1">
      <c r="A875" s="122"/>
      <c r="B875" s="385" t="s">
        <v>2764</v>
      </c>
      <c r="C875" s="256"/>
      <c r="D875" s="1261" t="s">
        <v>559</v>
      </c>
      <c r="E875" s="1261"/>
      <c r="F875" s="1261"/>
      <c r="G875" s="881"/>
      <c r="I875" s="390" t="s">
        <v>552</v>
      </c>
    </row>
    <row r="876" spans="1:9" ht="12.75" customHeight="1">
      <c r="A876" s="256"/>
      <c r="B876" s="256"/>
      <c r="C876" s="256"/>
      <c r="D876" s="2" t="s">
        <v>354</v>
      </c>
      <c r="E876" s="926" t="s">
        <v>383</v>
      </c>
      <c r="F876" s="929"/>
      <c r="G876" s="881"/>
      <c r="I876" s="390"/>
    </row>
    <row r="877" spans="1:9" ht="12.75" customHeight="1">
      <c r="A877" s="256"/>
      <c r="B877" s="256"/>
      <c r="C877" s="256"/>
      <c r="D877" s="84"/>
      <c r="E877" s="881"/>
      <c r="F877" s="881"/>
      <c r="G877" s="881"/>
      <c r="I877" s="390"/>
    </row>
    <row r="878" spans="1:9" ht="12.75" customHeight="1">
      <c r="A878" s="122"/>
      <c r="B878" s="385" t="s">
        <v>2764</v>
      </c>
      <c r="C878" s="256"/>
      <c r="D878" s="1221" t="s">
        <v>560</v>
      </c>
      <c r="E878" s="1271"/>
      <c r="F878" s="1271"/>
      <c r="G878" s="3"/>
      <c r="I878" s="390" t="s">
        <v>555</v>
      </c>
    </row>
    <row r="879" spans="1:9" ht="12.75" customHeight="1">
      <c r="A879" s="256"/>
      <c r="B879" s="256"/>
      <c r="C879" s="256"/>
      <c r="D879" s="1271"/>
      <c r="E879" s="1271"/>
      <c r="F879" s="1271"/>
      <c r="G879" s="3"/>
      <c r="I879" s="390"/>
    </row>
    <row r="880" spans="1:9" ht="12.75" customHeight="1">
      <c r="A880" s="256"/>
      <c r="B880" s="256"/>
      <c r="C880" s="256"/>
      <c r="D880" s="84"/>
      <c r="E880" s="3"/>
      <c r="F880" s="3"/>
      <c r="G880" s="3"/>
      <c r="I880" s="390"/>
    </row>
    <row r="881" spans="1:9" ht="12.75" customHeight="1">
      <c r="A881" s="256"/>
      <c r="B881" s="385" t="s">
        <v>2765</v>
      </c>
      <c r="C881" s="256"/>
      <c r="D881" s="1272" t="s">
        <v>561</v>
      </c>
      <c r="E881" s="1272"/>
      <c r="F881" s="1272"/>
      <c r="G881" s="881"/>
      <c r="I881" s="390"/>
    </row>
    <row r="882" spans="1:9" ht="12.75" customHeight="1">
      <c r="A882" s="256"/>
      <c r="B882" s="889"/>
      <c r="C882" s="256"/>
      <c r="D882" s="1272"/>
      <c r="E882" s="1272"/>
      <c r="F882" s="1272"/>
      <c r="G882" s="881"/>
      <c r="I882" s="390"/>
    </row>
    <row r="883" spans="1:9" ht="12.75" customHeight="1">
      <c r="A883" s="122"/>
      <c r="B883"/>
      <c r="C883" s="256"/>
      <c r="D883" s="1221" t="s">
        <v>550</v>
      </c>
      <c r="E883" s="1221"/>
      <c r="F883" s="1221"/>
      <c r="G883" s="881"/>
      <c r="I883" s="390"/>
    </row>
    <row r="884" spans="1:9" ht="12.75" customHeight="1">
      <c r="A884" s="122"/>
      <c r="B884" s="122"/>
      <c r="C884" s="256"/>
      <c r="D884" s="1221"/>
      <c r="E884" s="1221"/>
      <c r="F884" s="1221"/>
      <c r="G884" s="881"/>
      <c r="I884" s="390"/>
    </row>
    <row r="885" spans="1:9" ht="12.75" customHeight="1">
      <c r="A885" s="122"/>
      <c r="B885" s="122"/>
      <c r="C885" s="256"/>
      <c r="D885" s="1221"/>
      <c r="E885" s="1221"/>
      <c r="F885" s="1221"/>
      <c r="G885" s="881"/>
      <c r="I885" s="390"/>
    </row>
    <row r="886" spans="1:9" ht="12.75" customHeight="1">
      <c r="A886" s="122"/>
      <c r="B886" s="122"/>
      <c r="C886" s="256"/>
      <c r="D886" s="1221"/>
      <c r="E886" s="1221"/>
      <c r="F886" s="1221"/>
      <c r="G886" s="881"/>
      <c r="I886" s="390"/>
    </row>
    <row r="887" spans="1:9" ht="12.75" customHeight="1">
      <c r="A887" s="122"/>
      <c r="B887" s="122"/>
      <c r="C887" s="256"/>
      <c r="D887" s="1221"/>
      <c r="E887" s="1221"/>
      <c r="F887" s="1221"/>
      <c r="G887" s="881"/>
      <c r="I887" s="390"/>
    </row>
    <row r="888" spans="1:9" ht="12.75" customHeight="1">
      <c r="A888" s="122"/>
      <c r="B888" s="122"/>
      <c r="C888" s="256"/>
      <c r="D888" s="1221"/>
      <c r="E888" s="1221"/>
      <c r="F888" s="1221"/>
      <c r="G888" s="881"/>
      <c r="I888" s="390"/>
    </row>
    <row r="889" spans="1:9" ht="12.75" customHeight="1">
      <c r="A889" s="122"/>
      <c r="B889" s="122"/>
      <c r="C889" s="256"/>
      <c r="D889" s="84"/>
      <c r="E889" s="881"/>
      <c r="F889" s="881"/>
      <c r="G889" s="881"/>
      <c r="I889" s="390"/>
    </row>
    <row r="890" spans="1:9" ht="12.75" customHeight="1">
      <c r="A890" s="122"/>
      <c r="B890" s="385" t="s">
        <v>2765</v>
      </c>
      <c r="C890" s="256"/>
      <c r="D890" s="1262" t="s">
        <v>551</v>
      </c>
      <c r="E890" s="1262"/>
      <c r="F890" s="1262"/>
      <c r="G890" s="881"/>
      <c r="I890" s="390"/>
    </row>
    <row r="891" spans="1:9" ht="12.75" customHeight="1">
      <c r="A891" s="122"/>
      <c r="B891" s="122"/>
      <c r="C891" s="256"/>
      <c r="D891" s="1262" t="s">
        <v>553</v>
      </c>
      <c r="E891" s="1262"/>
      <c r="F891" s="1262"/>
      <c r="G891" s="881"/>
      <c r="I891" s="390"/>
    </row>
    <row r="892" spans="1:9" ht="12.75" customHeight="1">
      <c r="A892" s="122"/>
      <c r="B892" s="122"/>
      <c r="C892" s="256"/>
      <c r="D892" s="2" t="s">
        <v>562</v>
      </c>
      <c r="E892" s="926" t="s">
        <v>383</v>
      </c>
      <c r="F892" s="930"/>
      <c r="G892" s="881"/>
      <c r="I892" s="390"/>
    </row>
    <row r="893" spans="1:9" ht="12.75" customHeight="1">
      <c r="A893" s="122"/>
      <c r="B893" s="122"/>
      <c r="C893" s="256"/>
      <c r="D893" s="84"/>
      <c r="E893" s="881"/>
      <c r="F893" s="881"/>
      <c r="G893" s="881"/>
      <c r="I893" s="390"/>
    </row>
    <row r="894" spans="1:9" ht="12.75" customHeight="1">
      <c r="A894" s="122"/>
      <c r="B894" s="385" t="s">
        <v>2765</v>
      </c>
      <c r="C894" s="256"/>
      <c r="D894" s="1221" t="s">
        <v>554</v>
      </c>
      <c r="E894" s="1221"/>
      <c r="F894" s="1221"/>
      <c r="G894" s="881"/>
      <c r="I894" s="390"/>
    </row>
    <row r="895" spans="1:9" ht="12.75" customHeight="1">
      <c r="A895" s="122"/>
      <c r="B895" s="122"/>
      <c r="C895" s="256"/>
      <c r="D895" s="1221"/>
      <c r="E895" s="1221"/>
      <c r="F895" s="1221"/>
      <c r="G895" s="881"/>
      <c r="I895" s="390"/>
    </row>
    <row r="896" spans="1:9" ht="12.75" customHeight="1">
      <c r="A896" s="122"/>
      <c r="B896" s="122"/>
      <c r="C896" s="256"/>
      <c r="D896" s="1221"/>
      <c r="E896" s="1221"/>
      <c r="F896" s="1221"/>
      <c r="G896" s="881"/>
      <c r="I896" s="390"/>
    </row>
    <row r="897" spans="1:9" ht="12.75" customHeight="1">
      <c r="A897" s="122"/>
      <c r="B897" s="122"/>
      <c r="C897" s="256"/>
      <c r="D897" s="1221"/>
      <c r="E897" s="1221"/>
      <c r="F897" s="1221"/>
      <c r="G897" s="881"/>
      <c r="I897" s="390"/>
    </row>
    <row r="898" spans="1:9" ht="12.75" customHeight="1">
      <c r="A898" s="84"/>
      <c r="B898" s="84"/>
      <c r="C898" s="882"/>
      <c r="D898" s="881"/>
      <c r="E898" s="881"/>
      <c r="F898" s="881"/>
      <c r="G898" s="881"/>
      <c r="I898" s="390"/>
    </row>
    <row r="899" spans="1:9" ht="12.75" customHeight="1">
      <c r="A899" s="1270" t="s">
        <v>563</v>
      </c>
      <c r="B899" s="1270"/>
      <c r="C899" s="1270"/>
      <c r="D899" s="1270"/>
      <c r="E899" s="1270"/>
      <c r="F899" s="1270"/>
      <c r="G899" s="1270"/>
      <c r="H899" s="918"/>
      <c r="I899" s="1041"/>
    </row>
    <row r="900" spans="1:9" ht="12.75" customHeight="1">
      <c r="A900" s="49"/>
      <c r="B900" s="49"/>
      <c r="C900" s="49"/>
      <c r="D900" s="49"/>
      <c r="E900" s="49"/>
      <c r="F900" s="49"/>
      <c r="G900" s="49"/>
      <c r="I900" s="390"/>
    </row>
    <row r="901" spans="1:9" ht="12.75" customHeight="1">
      <c r="A901" s="49"/>
      <c r="B901" s="49"/>
      <c r="C901" s="49"/>
      <c r="D901" s="1286" t="s">
        <v>564</v>
      </c>
      <c r="E901" s="1286"/>
      <c r="F901" s="1286"/>
      <c r="G901" s="49"/>
      <c r="I901" s="390"/>
    </row>
    <row r="902" spans="1:9" ht="12.75" customHeight="1">
      <c r="A902" s="49"/>
      <c r="B902" s="49"/>
      <c r="C902" s="49"/>
      <c r="D902" s="874"/>
      <c r="E902" s="874"/>
      <c r="F902" s="874"/>
      <c r="G902" s="49"/>
      <c r="I902" s="390"/>
    </row>
    <row r="903" spans="1:9" ht="12.75" customHeight="1">
      <c r="A903" s="49"/>
      <c r="B903" s="385" t="s">
        <v>2764</v>
      </c>
      <c r="C903" s="49"/>
      <c r="D903" s="877" t="s">
        <v>565</v>
      </c>
      <c r="E903" s="874"/>
      <c r="F903" s="874"/>
      <c r="G903" s="49"/>
      <c r="I903" s="390"/>
    </row>
    <row r="904" spans="1:9" ht="12.75" customHeight="1">
      <c r="A904" s="49"/>
      <c r="B904" s="49"/>
      <c r="C904" s="49"/>
      <c r="D904" s="874"/>
      <c r="E904" s="874"/>
      <c r="F904" s="874"/>
      <c r="G904" s="49"/>
      <c r="I904" s="390"/>
    </row>
    <row r="905" spans="1:9" ht="12.75" customHeight="1">
      <c r="A905" s="256"/>
      <c r="B905" s="256"/>
      <c r="C905" s="882"/>
      <c r="D905" s="1286" t="s">
        <v>566</v>
      </c>
      <c r="E905" s="1286"/>
      <c r="F905" s="1286"/>
      <c r="G905" s="881"/>
      <c r="I905" s="390"/>
    </row>
    <row r="906" spans="1:9" ht="12.75" customHeight="1">
      <c r="A906" s="119"/>
      <c r="B906" s="119"/>
      <c r="C906" s="119"/>
      <c r="D906" s="1261" t="s">
        <v>567</v>
      </c>
      <c r="E906" s="1261"/>
      <c r="F906" s="1261"/>
      <c r="G906" s="881"/>
      <c r="I906" s="390"/>
    </row>
    <row r="907" spans="1:9" ht="12.75" customHeight="1">
      <c r="A907" s="882"/>
      <c r="B907" s="882"/>
      <c r="C907" s="882"/>
      <c r="D907" s="2"/>
      <c r="E907" s="881"/>
      <c r="F907" s="881"/>
      <c r="G907" s="881"/>
      <c r="I907" s="390"/>
    </row>
    <row r="908" spans="1:9" ht="12.75" customHeight="1">
      <c r="A908" s="122"/>
      <c r="B908" s="385" t="s">
        <v>2764</v>
      </c>
      <c r="C908" s="256"/>
      <c r="D908" s="1221" t="s">
        <v>568</v>
      </c>
      <c r="E908" s="1221"/>
      <c r="F908" s="1221"/>
      <c r="G908" s="3"/>
      <c r="I908" s="390"/>
    </row>
    <row r="909" spans="1:9" ht="12.75" customHeight="1">
      <c r="A909" s="256"/>
      <c r="B909" s="256"/>
      <c r="C909" s="256"/>
      <c r="D909" s="1221"/>
      <c r="E909" s="1221"/>
      <c r="F909" s="1221"/>
      <c r="G909" s="3"/>
      <c r="I909" s="390"/>
    </row>
    <row r="910" spans="1:9" ht="12.75" customHeight="1">
      <c r="A910" s="119"/>
      <c r="B910" s="119"/>
      <c r="C910" s="119"/>
      <c r="D910" s="1221" t="s">
        <v>569</v>
      </c>
      <c r="E910" s="1221"/>
      <c r="F910" s="1221"/>
      <c r="G910" s="881"/>
      <c r="I910" s="390"/>
    </row>
    <row r="911" spans="1:9" ht="12.75" customHeight="1">
      <c r="A911" s="119"/>
      <c r="B911" s="119"/>
      <c r="C911" s="119"/>
      <c r="D911" s="1221"/>
      <c r="E911" s="1221"/>
      <c r="F911" s="1221"/>
      <c r="G911" s="881"/>
      <c r="I911" s="390"/>
    </row>
    <row r="912" spans="1:9" ht="12.75" customHeight="1">
      <c r="A912" s="119"/>
      <c r="B912" s="119"/>
      <c r="C912" s="119"/>
      <c r="D912" s="3"/>
      <c r="E912" s="3"/>
      <c r="F912" s="881"/>
      <c r="G912" s="881"/>
      <c r="I912" s="390"/>
    </row>
    <row r="913" spans="1:9" ht="12.75" customHeight="1">
      <c r="A913" s="122"/>
      <c r="B913" s="385" t="s">
        <v>2764</v>
      </c>
      <c r="C913" s="121"/>
      <c r="D913" s="1225" t="s">
        <v>570</v>
      </c>
      <c r="E913" s="1225"/>
      <c r="F913" s="1225"/>
      <c r="G913" s="881"/>
      <c r="I913" s="390"/>
    </row>
    <row r="914" spans="1:9" ht="12.75" customHeight="1">
      <c r="A914" s="122"/>
      <c r="B914" s="122"/>
      <c r="C914" s="121"/>
      <c r="D914" s="1225"/>
      <c r="E914" s="1225"/>
      <c r="F914" s="1225"/>
      <c r="G914" s="881"/>
      <c r="I914" s="390"/>
    </row>
    <row r="915" spans="1:9" ht="12.75" customHeight="1">
      <c r="A915" s="122"/>
      <c r="B915" s="122"/>
      <c r="C915" s="121"/>
      <c r="D915" s="1225"/>
      <c r="E915" s="1225"/>
      <c r="F915" s="1225"/>
      <c r="G915" s="881"/>
      <c r="I915" s="390"/>
    </row>
    <row r="916" spans="1:9" ht="12.75" customHeight="1">
      <c r="A916" s="122"/>
      <c r="B916" s="122"/>
      <c r="C916" s="121"/>
      <c r="D916" s="1225"/>
      <c r="E916" s="1225"/>
      <c r="F916" s="1225"/>
      <c r="G916" s="881"/>
      <c r="I916" s="390"/>
    </row>
    <row r="917" spans="1:9" ht="12.75" customHeight="1">
      <c r="A917" s="122"/>
      <c r="B917" s="122"/>
      <c r="C917" s="121"/>
      <c r="D917" s="1225"/>
      <c r="E917" s="1225"/>
      <c r="F917" s="1225"/>
      <c r="G917" s="881"/>
      <c r="I917" s="390"/>
    </row>
    <row r="918" spans="1:9" ht="12.75" customHeight="1">
      <c r="A918" s="121"/>
      <c r="B918" s="121"/>
      <c r="C918" s="121"/>
      <c r="D918" s="1225"/>
      <c r="E918" s="1225"/>
      <c r="F918" s="1225"/>
      <c r="G918" s="881"/>
      <c r="I918" s="390"/>
    </row>
    <row r="919" spans="1:9" ht="12.75" customHeight="1">
      <c r="A919" s="121"/>
      <c r="B919" s="121"/>
      <c r="C919" s="121"/>
      <c r="D919" s="1225"/>
      <c r="E919" s="1225"/>
      <c r="F919" s="1225"/>
      <c r="G919" s="881"/>
      <c r="I919" s="390"/>
    </row>
    <row r="920" spans="1:9" ht="12.75" customHeight="1">
      <c r="A920" s="121"/>
      <c r="B920" s="121"/>
      <c r="C920" s="121"/>
      <c r="D920" s="1225"/>
      <c r="E920" s="1225"/>
      <c r="F920" s="1225"/>
      <c r="G920" s="881"/>
      <c r="I920" s="390"/>
    </row>
    <row r="921" spans="1:9" ht="12.75" customHeight="1">
      <c r="A921" s="121"/>
      <c r="B921" s="121"/>
      <c r="C921" s="121"/>
      <c r="D921" s="239"/>
      <c r="E921" s="239"/>
      <c r="F921" s="239"/>
      <c r="G921" s="881"/>
      <c r="I921" s="390"/>
    </row>
    <row r="922" spans="1:9" ht="12.75" customHeight="1">
      <c r="A922" s="882"/>
      <c r="B922" s="385" t="s">
        <v>2765</v>
      </c>
      <c r="C922" s="882"/>
      <c r="D922" s="1221" t="s">
        <v>571</v>
      </c>
      <c r="E922" s="1221"/>
      <c r="F922" s="1221"/>
      <c r="G922" s="881"/>
      <c r="I922" s="390"/>
    </row>
    <row r="923" spans="1:9" ht="12.75" customHeight="1">
      <c r="A923" s="882"/>
      <c r="B923" s="882"/>
      <c r="C923" s="882"/>
      <c r="D923" s="1221"/>
      <c r="E923" s="1221"/>
      <c r="F923" s="1221"/>
      <c r="G923" s="881"/>
      <c r="I923" s="390"/>
    </row>
    <row r="924" spans="1:9" ht="12.75" customHeight="1">
      <c r="A924" s="882"/>
      <c r="B924" s="882"/>
      <c r="C924" s="882"/>
      <c r="D924" s="881"/>
      <c r="E924" s="881"/>
      <c r="F924" s="881"/>
      <c r="G924" s="881"/>
      <c r="I924" s="390"/>
    </row>
    <row r="925" spans="1:9" ht="12.75" customHeight="1">
      <c r="A925" s="882"/>
      <c r="B925" s="385" t="s">
        <v>2765</v>
      </c>
      <c r="C925" s="882"/>
      <c r="D925" s="1249" t="s">
        <v>572</v>
      </c>
      <c r="E925" s="1249"/>
      <c r="F925" s="1249"/>
      <c r="G925" s="881"/>
      <c r="I925" s="390"/>
    </row>
    <row r="926" spans="1:9" ht="12.75" customHeight="1">
      <c r="A926" s="882"/>
      <c r="B926" s="882"/>
      <c r="C926" s="882"/>
      <c r="D926" s="1249"/>
      <c r="E926" s="1249"/>
      <c r="F926" s="1249"/>
      <c r="G926" s="881"/>
      <c r="I926" s="390"/>
    </row>
    <row r="927" spans="1:9" ht="12.75" customHeight="1">
      <c r="A927" s="882"/>
      <c r="B927" s="882"/>
      <c r="C927" s="882"/>
      <c r="D927" s="1249"/>
      <c r="E927" s="1249"/>
      <c r="F927" s="1249"/>
      <c r="G927" s="881"/>
      <c r="I927" s="390"/>
    </row>
    <row r="928" spans="1:9" ht="12.75" customHeight="1">
      <c r="A928" s="882"/>
      <c r="B928" s="882"/>
      <c r="C928" s="882"/>
      <c r="D928" s="1249"/>
      <c r="E928" s="1249"/>
      <c r="F928" s="1249"/>
      <c r="G928" s="881"/>
      <c r="I928" s="390"/>
    </row>
    <row r="929" spans="1:9" ht="12.75" customHeight="1">
      <c r="A929" s="882"/>
      <c r="B929" s="882"/>
      <c r="C929" s="882"/>
      <c r="D929" s="84"/>
      <c r="E929" s="881"/>
      <c r="F929" s="881"/>
      <c r="G929" s="881"/>
      <c r="I929" s="390"/>
    </row>
    <row r="930" spans="1:9" ht="12.75" customHeight="1">
      <c r="A930" s="882"/>
      <c r="B930" s="385" t="s">
        <v>2765</v>
      </c>
      <c r="C930" s="882"/>
      <c r="D930" s="1261" t="s">
        <v>573</v>
      </c>
      <c r="E930" s="1261"/>
      <c r="F930" s="1261"/>
      <c r="G930" s="881"/>
      <c r="I930" s="390"/>
    </row>
    <row r="931" spans="1:9" ht="12.75" customHeight="1">
      <c r="A931" s="882"/>
      <c r="B931" s="882"/>
      <c r="C931" s="882"/>
      <c r="D931" s="84"/>
      <c r="E931" s="881"/>
      <c r="F931" s="881"/>
      <c r="G931" s="881"/>
      <c r="I931" s="390"/>
    </row>
    <row r="932" spans="1:9" ht="12.75" customHeight="1">
      <c r="A932" s="882"/>
      <c r="B932" s="385" t="s">
        <v>2765</v>
      </c>
      <c r="C932" s="882"/>
      <c r="D932" s="1261" t="s">
        <v>574</v>
      </c>
      <c r="E932" s="1261"/>
      <c r="F932" s="1261"/>
      <c r="G932" s="881"/>
      <c r="I932" s="390"/>
    </row>
    <row r="933" spans="1:9" ht="12.75" customHeight="1">
      <c r="A933" s="121"/>
      <c r="B933" s="121"/>
      <c r="C933" s="121"/>
      <c r="D933" s="2"/>
      <c r="E933" s="3"/>
      <c r="F933" s="881"/>
      <c r="G933" s="881"/>
      <c r="I933" s="390"/>
    </row>
    <row r="934" spans="1:9" ht="12.75" customHeight="1">
      <c r="A934" s="890"/>
      <c r="B934" s="385" t="s">
        <v>2764</v>
      </c>
      <c r="C934" s="891"/>
      <c r="D934" s="1225" t="s">
        <v>575</v>
      </c>
      <c r="E934" s="1225"/>
      <c r="F934" s="1225"/>
      <c r="G934" s="892"/>
      <c r="I934" s="390"/>
    </row>
    <row r="935" spans="1:9" ht="12.75" customHeight="1">
      <c r="A935" s="890"/>
      <c r="B935" s="890"/>
      <c r="C935" s="891"/>
      <c r="D935" s="1225"/>
      <c r="E935" s="1225"/>
      <c r="F935" s="1225"/>
      <c r="G935" s="892"/>
      <c r="I935" s="390"/>
    </row>
    <row r="936" spans="1:9" ht="12.75" customHeight="1">
      <c r="A936" s="890"/>
      <c r="B936" s="890"/>
      <c r="C936" s="891"/>
      <c r="D936" s="1225"/>
      <c r="E936" s="1225"/>
      <c r="F936" s="1225"/>
      <c r="G936" s="892"/>
      <c r="I936" s="390"/>
    </row>
    <row r="937" spans="1:9" ht="12.75" customHeight="1">
      <c r="A937" s="890"/>
      <c r="B937" s="890"/>
      <c r="C937" s="891"/>
      <c r="D937" s="1225"/>
      <c r="E937" s="1225"/>
      <c r="F937" s="1225"/>
      <c r="G937" s="892"/>
      <c r="I937" s="390"/>
    </row>
    <row r="938" spans="1:9" ht="12.75" customHeight="1">
      <c r="A938" s="890"/>
      <c r="B938" s="890"/>
      <c r="C938" s="891"/>
      <c r="D938" s="1225"/>
      <c r="E938" s="1225"/>
      <c r="F938" s="1225"/>
      <c r="G938" s="892"/>
      <c r="I938" s="390"/>
    </row>
    <row r="939" spans="1:9" ht="12.75" customHeight="1">
      <c r="A939" s="890"/>
      <c r="B939" s="890"/>
      <c r="C939" s="891"/>
      <c r="D939" s="1225"/>
      <c r="E939" s="1225"/>
      <c r="F939" s="1225"/>
      <c r="G939" s="892"/>
      <c r="I939" s="390"/>
    </row>
    <row r="940" spans="1:9" ht="12.75" customHeight="1">
      <c r="A940" s="890"/>
      <c r="B940" s="890"/>
      <c r="C940" s="891"/>
      <c r="D940" s="1225"/>
      <c r="E940" s="1225"/>
      <c r="F940" s="1225"/>
      <c r="G940" s="892"/>
      <c r="I940" s="390"/>
    </row>
    <row r="941" spans="1:9" ht="12.75" customHeight="1">
      <c r="A941" s="890"/>
      <c r="B941" s="890"/>
      <c r="C941" s="891"/>
      <c r="D941" s="1225"/>
      <c r="E941" s="1225"/>
      <c r="F941" s="1225"/>
      <c r="G941" s="892"/>
      <c r="I941" s="390"/>
    </row>
    <row r="942" spans="1:9" ht="12.75" customHeight="1">
      <c r="A942" s="890"/>
      <c r="B942" s="890"/>
      <c r="C942" s="891"/>
      <c r="D942" s="1225"/>
      <c r="E942" s="1225"/>
      <c r="F942" s="1225"/>
      <c r="G942" s="892"/>
      <c r="I942" s="390"/>
    </row>
    <row r="943" spans="1:9" ht="12.75" customHeight="1">
      <c r="A943" s="121"/>
      <c r="B943" s="121"/>
      <c r="C943" s="121"/>
      <c r="D943" s="2"/>
      <c r="E943" s="3"/>
      <c r="F943" s="881"/>
      <c r="G943" s="881"/>
      <c r="I943" s="390"/>
    </row>
    <row r="944" spans="1:9" ht="12.75" customHeight="1">
      <c r="A944" s="122"/>
      <c r="B944" s="385" t="s">
        <v>2764</v>
      </c>
      <c r="C944" s="121"/>
      <c r="D944" s="1280" t="s">
        <v>576</v>
      </c>
      <c r="E944" s="1280"/>
      <c r="F944" s="1280"/>
      <c r="G944" s="881"/>
      <c r="I944" s="390"/>
    </row>
    <row r="945" spans="1:9" ht="12.75" customHeight="1">
      <c r="A945" s="122"/>
      <c r="B945" s="122"/>
      <c r="C945" s="121"/>
      <c r="D945" s="1280"/>
      <c r="E945" s="1280"/>
      <c r="F945" s="1280"/>
      <c r="G945" s="881"/>
      <c r="I945" s="390"/>
    </row>
    <row r="946" spans="1:9" ht="12.75" customHeight="1">
      <c r="A946" s="122"/>
      <c r="B946" s="122"/>
      <c r="C946" s="121"/>
      <c r="D946" s="1280"/>
      <c r="E946" s="1280"/>
      <c r="F946" s="1280"/>
      <c r="G946" s="881"/>
      <c r="I946" s="390"/>
    </row>
    <row r="947" spans="1:9" ht="12.75" customHeight="1">
      <c r="A947" s="122"/>
      <c r="B947" s="122"/>
      <c r="C947" s="121"/>
      <c r="D947" s="1280"/>
      <c r="E947" s="1280"/>
      <c r="F947" s="1280"/>
      <c r="G947" s="881"/>
      <c r="I947" s="390"/>
    </row>
    <row r="948" spans="1:9" ht="12.75" customHeight="1">
      <c r="A948" s="122"/>
      <c r="B948" s="122"/>
      <c r="C948" s="121"/>
      <c r="D948" s="1280"/>
      <c r="E948" s="1280"/>
      <c r="F948" s="1280"/>
      <c r="G948" s="881"/>
      <c r="I948" s="390"/>
    </row>
    <row r="949" spans="1:9" ht="12.75" customHeight="1">
      <c r="A949" s="122"/>
      <c r="B949" s="122"/>
      <c r="C949" s="121"/>
      <c r="D949" s="1280"/>
      <c r="E949" s="1280"/>
      <c r="F949" s="1280"/>
      <c r="G949" s="881"/>
      <c r="I949" s="390"/>
    </row>
    <row r="950" spans="1:9" ht="12.75" customHeight="1">
      <c r="A950" s="122"/>
      <c r="B950" s="122"/>
      <c r="C950" s="121"/>
      <c r="D950" s="1280"/>
      <c r="E950" s="1280"/>
      <c r="F950" s="1280"/>
      <c r="G950" s="881"/>
      <c r="I950" s="390"/>
    </row>
    <row r="951" spans="1:9" ht="12.75" customHeight="1">
      <c r="A951" s="122"/>
      <c r="B951" s="122"/>
      <c r="C951" s="121"/>
      <c r="D951" s="916"/>
      <c r="E951" s="916"/>
      <c r="F951" s="916"/>
      <c r="G951" s="881"/>
      <c r="I951" s="390"/>
    </row>
    <row r="952" spans="1:9" ht="12.75" customHeight="1">
      <c r="A952" s="122"/>
      <c r="B952" s="385" t="s">
        <v>2764</v>
      </c>
      <c r="C952" s="121"/>
      <c r="D952" s="1224" t="s">
        <v>577</v>
      </c>
      <c r="E952" s="1224"/>
      <c r="F952" s="1224"/>
      <c r="G952" s="881"/>
      <c r="I952" s="390"/>
    </row>
    <row r="953" spans="1:9" ht="12.75" customHeight="1">
      <c r="A953" s="122"/>
      <c r="B953" s="122"/>
      <c r="C953" s="121"/>
      <c r="D953" s="1224"/>
      <c r="E953" s="1224"/>
      <c r="F953" s="1224"/>
      <c r="G953" s="881"/>
      <c r="I953" s="390"/>
    </row>
    <row r="954" spans="1:9" ht="12.75" customHeight="1">
      <c r="A954" s="122"/>
      <c r="B954" s="122"/>
      <c r="C954" s="121"/>
      <c r="D954" s="1224"/>
      <c r="E954" s="1224"/>
      <c r="F954" s="1224"/>
      <c r="G954" s="881"/>
      <c r="I954" s="390"/>
    </row>
    <row r="955" spans="1:9" ht="12.75" customHeight="1">
      <c r="A955" s="122"/>
      <c r="B955" s="122"/>
      <c r="C955" s="121"/>
      <c r="D955" s="1224"/>
      <c r="E955" s="1224"/>
      <c r="F955" s="1224"/>
      <c r="G955" s="881"/>
      <c r="I955" s="390"/>
    </row>
    <row r="956" spans="1:9" ht="12.75" customHeight="1">
      <c r="A956" s="122"/>
      <c r="B956" s="122"/>
      <c r="C956" s="121"/>
      <c r="D956" s="1224"/>
      <c r="E956" s="1224"/>
      <c r="F956" s="1224"/>
      <c r="G956" s="881"/>
      <c r="I956" s="390"/>
    </row>
    <row r="957" spans="1:9" ht="12.75" customHeight="1">
      <c r="A957" s="122"/>
      <c r="B957" s="122"/>
      <c r="C957" s="121"/>
      <c r="D957" s="1224"/>
      <c r="E957" s="1224"/>
      <c r="F957" s="1224"/>
      <c r="G957" s="881"/>
      <c r="I957" s="390"/>
    </row>
    <row r="958" spans="1:9" ht="12.75" customHeight="1">
      <c r="A958" s="122"/>
      <c r="B958" s="122"/>
      <c r="C958" s="121"/>
      <c r="D958" s="916"/>
      <c r="E958" s="916"/>
      <c r="F958" s="916"/>
      <c r="G958" s="881"/>
      <c r="I958" s="390"/>
    </row>
    <row r="959" spans="1:9" ht="12.75" customHeight="1">
      <c r="A959" s="882"/>
      <c r="B959" s="385" t="s">
        <v>2765</v>
      </c>
      <c r="C959" s="882"/>
      <c r="D959" s="1249" t="s">
        <v>578</v>
      </c>
      <c r="E959" s="1249"/>
      <c r="F959" s="1249"/>
      <c r="G959" s="881"/>
      <c r="I959" s="390"/>
    </row>
    <row r="960" spans="1:9" ht="12.75" customHeight="1">
      <c r="A960" s="882"/>
      <c r="B960" s="882"/>
      <c r="C960" s="882"/>
      <c r="D960" s="1249"/>
      <c r="E960" s="1249"/>
      <c r="F960" s="1249"/>
      <c r="G960" s="881"/>
      <c r="I960" s="390"/>
    </row>
    <row r="961" spans="1:9" ht="12.75" customHeight="1">
      <c r="A961" s="882"/>
      <c r="B961" s="882"/>
      <c r="C961" s="882"/>
      <c r="D961" s="1249"/>
      <c r="E961" s="1249"/>
      <c r="F961" s="1249"/>
      <c r="G961" s="881"/>
      <c r="I961" s="390"/>
    </row>
    <row r="962" spans="1:9" ht="12.75" customHeight="1">
      <c r="A962" s="122"/>
      <c r="B962" s="122"/>
      <c r="C962" s="121"/>
      <c r="D962" s="916"/>
      <c r="E962" s="916"/>
      <c r="F962" s="916"/>
      <c r="G962" s="881"/>
      <c r="I962" s="390"/>
    </row>
    <row r="963" spans="1:9" ht="12.75" customHeight="1">
      <c r="A963" s="122"/>
      <c r="B963" s="122"/>
      <c r="C963" s="121"/>
      <c r="D963" s="743"/>
      <c r="E963" s="3"/>
      <c r="F963" s="881"/>
      <c r="G963" s="881"/>
      <c r="I963" s="390"/>
    </row>
    <row r="964" spans="1:9" ht="12.75" customHeight="1">
      <c r="A964" s="122"/>
      <c r="B964" s="385" t="s">
        <v>2765</v>
      </c>
      <c r="C964" s="121"/>
      <c r="D964" s="1225" t="s">
        <v>579</v>
      </c>
      <c r="E964" s="1225"/>
      <c r="F964" s="1225"/>
      <c r="G964" s="881"/>
      <c r="I964" s="390"/>
    </row>
    <row r="965" spans="1:9" ht="12.75" customHeight="1">
      <c r="A965" s="122"/>
      <c r="B965" s="122"/>
      <c r="C965" s="121"/>
      <c r="D965" s="1225"/>
      <c r="E965" s="1225"/>
      <c r="F965" s="1225"/>
      <c r="G965" s="881"/>
      <c r="I965" s="390"/>
    </row>
    <row r="966" spans="1:9" ht="12.75" customHeight="1">
      <c r="A966" s="122"/>
      <c r="B966" s="122"/>
      <c r="C966" s="121"/>
      <c r="D966" s="1225"/>
      <c r="E966" s="1225"/>
      <c r="F966" s="1225"/>
      <c r="G966" s="881"/>
      <c r="I966" s="390"/>
    </row>
    <row r="967" spans="1:9" ht="12.75" customHeight="1">
      <c r="A967" s="122"/>
      <c r="B967" s="122"/>
      <c r="C967" s="121"/>
      <c r="D967" s="1225"/>
      <c r="E967" s="1225"/>
      <c r="F967" s="1225"/>
      <c r="G967" s="881"/>
      <c r="I967" s="390"/>
    </row>
    <row r="968" spans="1:9" ht="12.75" customHeight="1">
      <c r="A968" s="882"/>
      <c r="B968" s="882"/>
      <c r="C968" s="882"/>
      <c r="D968" s="873"/>
      <c r="E968" s="873"/>
      <c r="F968" s="873"/>
      <c r="G968" s="873"/>
      <c r="I968" s="390"/>
    </row>
    <row r="969" spans="1:9" ht="12.75" customHeight="1">
      <c r="A969" s="256"/>
      <c r="B969" s="256"/>
      <c r="C969" s="256"/>
      <c r="D969" s="1283" t="s">
        <v>580</v>
      </c>
      <c r="E969" s="1283"/>
      <c r="F969" s="1283"/>
      <c r="G969" s="3"/>
      <c r="I969" s="390"/>
    </row>
    <row r="970" spans="1:9" ht="12.75" customHeight="1">
      <c r="A970" s="122"/>
      <c r="B970" s="385" t="s">
        <v>2765</v>
      </c>
      <c r="C970" s="256"/>
      <c r="D970" s="1261" t="s">
        <v>581</v>
      </c>
      <c r="E970" s="1261"/>
      <c r="F970" s="1261"/>
      <c r="G970" s="3"/>
      <c r="I970" s="390"/>
    </row>
    <row r="971" spans="1:9" ht="12.75" customHeight="1">
      <c r="A971" s="256"/>
      <c r="B971" s="256"/>
      <c r="C971" s="256"/>
      <c r="D971" s="3"/>
      <c r="E971" s="3"/>
      <c r="F971" s="3"/>
      <c r="G971" s="3"/>
      <c r="I971" s="390"/>
    </row>
    <row r="972" spans="1:9" ht="12.75" customHeight="1">
      <c r="A972" s="256"/>
      <c r="B972" s="256"/>
      <c r="C972" s="256"/>
      <c r="D972" s="1283" t="s">
        <v>582</v>
      </c>
      <c r="E972" s="1283"/>
      <c r="F972" s="1283"/>
      <c r="G972"/>
      <c r="I972" s="390"/>
    </row>
    <row r="973" spans="1:9" ht="12.75" customHeight="1">
      <c r="A973" s="122"/>
      <c r="B973" s="385" t="s">
        <v>2765</v>
      </c>
      <c r="C973" s="256"/>
      <c r="D973" s="1221" t="s">
        <v>583</v>
      </c>
      <c r="E973" s="1221"/>
      <c r="F973" s="1221"/>
      <c r="G973"/>
      <c r="I973" s="390"/>
    </row>
    <row r="974" spans="1:9" ht="12.75" customHeight="1">
      <c r="A974" s="122"/>
      <c r="B974" s="122"/>
      <c r="C974" s="256"/>
      <c r="D974" s="1221"/>
      <c r="E974" s="1221"/>
      <c r="F974" s="1221"/>
      <c r="G974"/>
      <c r="I974" s="390"/>
    </row>
    <row r="975" spans="1:9" ht="12.75" customHeight="1">
      <c r="A975" s="122"/>
      <c r="B975" s="122"/>
      <c r="C975" s="256"/>
      <c r="D975" s="1221"/>
      <c r="E975" s="1221"/>
      <c r="F975" s="1221"/>
      <c r="G975"/>
      <c r="I975" s="390"/>
    </row>
    <row r="976" spans="1:9" ht="12.75" customHeight="1">
      <c r="A976" s="122"/>
      <c r="B976" s="122"/>
      <c r="C976" s="256"/>
      <c r="D976" s="1221"/>
      <c r="E976" s="1221"/>
      <c r="F976" s="1221"/>
      <c r="G976"/>
      <c r="I976" s="390"/>
    </row>
    <row r="977" spans="1:9" ht="12.75" customHeight="1">
      <c r="A977" s="122"/>
      <c r="B977" s="122"/>
      <c r="C977" s="256"/>
      <c r="D977" s="1221"/>
      <c r="E977" s="1221"/>
      <c r="F977" s="1221"/>
      <c r="G977"/>
      <c r="I977" s="390"/>
    </row>
    <row r="978" spans="1:9" ht="12.75" customHeight="1">
      <c r="A978" s="122"/>
      <c r="B978" s="122"/>
      <c r="C978" s="256"/>
      <c r="D978" s="1221"/>
      <c r="E978" s="1221"/>
      <c r="F978" s="1221"/>
      <c r="G978"/>
      <c r="I978" s="390"/>
    </row>
    <row r="979" spans="1:9" ht="12.75" customHeight="1">
      <c r="A979" s="122"/>
      <c r="B979" s="122"/>
      <c r="C979" s="256"/>
      <c r="D979" s="1221"/>
      <c r="E979" s="1221"/>
      <c r="F979" s="1221"/>
      <c r="G979"/>
      <c r="I979" s="390"/>
    </row>
    <row r="980" spans="1:9" ht="12.75" customHeight="1">
      <c r="A980" s="122"/>
      <c r="B980" s="122"/>
      <c r="C980" s="256"/>
      <c r="D980" s="1221"/>
      <c r="E980" s="1221"/>
      <c r="F980" s="1221"/>
      <c r="G980"/>
      <c r="I980" s="390"/>
    </row>
    <row r="981" spans="1:9" ht="12.75" customHeight="1">
      <c r="A981" s="122"/>
      <c r="B981" s="122"/>
      <c r="C981" s="256"/>
      <c r="D981" s="1221"/>
      <c r="E981" s="1221"/>
      <c r="F981" s="1221"/>
      <c r="G981"/>
      <c r="I981" s="390"/>
    </row>
    <row r="982" spans="1:9" ht="12.75" customHeight="1">
      <c r="A982" s="122"/>
      <c r="B982" s="122"/>
      <c r="C982" s="256"/>
      <c r="D982" s="1221"/>
      <c r="E982" s="1221"/>
      <c r="F982" s="1221"/>
      <c r="G982"/>
      <c r="I982" s="390"/>
    </row>
    <row r="983" spans="1:9" ht="12.75" customHeight="1">
      <c r="A983" s="122"/>
      <c r="B983" s="122"/>
      <c r="C983" s="256"/>
      <c r="D983" s="1221"/>
      <c r="E983" s="1221"/>
      <c r="F983" s="1221"/>
      <c r="G983"/>
      <c r="I983" s="390"/>
    </row>
    <row r="984" spans="1:9" ht="12.75" customHeight="1">
      <c r="A984" s="122"/>
      <c r="B984" s="122"/>
      <c r="C984" s="256"/>
      <c r="D984" s="1221"/>
      <c r="E984" s="1221"/>
      <c r="F984" s="1221"/>
      <c r="G984"/>
      <c r="I984" s="390"/>
    </row>
    <row r="985" spans="1:9" ht="12.75" customHeight="1">
      <c r="A985" s="122"/>
      <c r="B985" s="122"/>
      <c r="C985" s="256"/>
      <c r="D985" s="1221"/>
      <c r="E985" s="1221"/>
      <c r="F985" s="1221"/>
      <c r="G985"/>
      <c r="I985" s="390"/>
    </row>
    <row r="986" spans="1:9" ht="12.75" customHeight="1">
      <c r="A986" s="122"/>
      <c r="B986" s="122"/>
      <c r="C986" s="256"/>
      <c r="D986" s="1221"/>
      <c r="E986" s="1221"/>
      <c r="F986" s="1221"/>
      <c r="G986"/>
      <c r="I986" s="390"/>
    </row>
    <row r="987" spans="1:9" ht="12.75" customHeight="1">
      <c r="A987" s="122"/>
      <c r="B987" s="122"/>
      <c r="C987" s="256"/>
      <c r="D987" s="1221"/>
      <c r="E987" s="1221"/>
      <c r="F987" s="1221"/>
      <c r="G987" s="3"/>
      <c r="I987" s="390"/>
    </row>
    <row r="988" spans="1:9" ht="12.75" customHeight="1">
      <c r="A988" s="256"/>
      <c r="B988" s="256"/>
      <c r="C988" s="256"/>
      <c r="D988" s="3"/>
      <c r="E988" s="3"/>
      <c r="F988" s="3"/>
      <c r="G988" s="3"/>
      <c r="I988" s="390"/>
    </row>
    <row r="989" spans="1:9" ht="12.75" customHeight="1">
      <c r="A989" s="1270" t="s">
        <v>584</v>
      </c>
      <c r="B989" s="1270"/>
      <c r="C989" s="1270"/>
      <c r="D989" s="1270"/>
      <c r="E989" s="1270"/>
      <c r="F989" s="1270"/>
      <c r="G989" s="1270"/>
      <c r="H989" s="918"/>
      <c r="I989" s="1041"/>
    </row>
    <row r="990" spans="1:9" ht="12.75" customHeight="1">
      <c r="A990" s="84"/>
      <c r="B990" s="84"/>
      <c r="C990" s="256"/>
      <c r="D990" s="3"/>
      <c r="E990" s="3"/>
      <c r="F990" s="3"/>
      <c r="G990" s="3"/>
      <c r="I990" s="390"/>
    </row>
    <row r="991" spans="1:9" ht="12.75" customHeight="1">
      <c r="A991" s="256"/>
      <c r="B991" s="256"/>
      <c r="C991" s="882"/>
      <c r="D991" s="1283" t="s">
        <v>585</v>
      </c>
      <c r="E991" s="1283"/>
      <c r="F991" s="1283"/>
      <c r="G991" s="3"/>
      <c r="I991" s="390"/>
    </row>
    <row r="992" spans="1:9" ht="12.75" customHeight="1">
      <c r="A992" s="119"/>
      <c r="B992" s="119"/>
      <c r="C992" s="119"/>
      <c r="D992" s="1261" t="s">
        <v>586</v>
      </c>
      <c r="E992" s="1261"/>
      <c r="F992" s="1261"/>
      <c r="G992" s="3"/>
      <c r="I992" s="390"/>
    </row>
    <row r="993" spans="1:9" ht="12.75" customHeight="1">
      <c r="A993" s="119"/>
      <c r="B993" s="119"/>
      <c r="C993" s="119"/>
      <c r="D993" s="3"/>
      <c r="E993" s="3"/>
      <c r="F993" s="881"/>
      <c r="G993"/>
      <c r="I993" s="390"/>
    </row>
    <row r="994" spans="1:9" ht="12.75" customHeight="1">
      <c r="A994" s="256"/>
      <c r="B994" s="385" t="s">
        <v>2764</v>
      </c>
      <c r="C994" s="256"/>
      <c r="D994" s="1285" t="s">
        <v>587</v>
      </c>
      <c r="E994" s="1285"/>
      <c r="F994" s="1285"/>
      <c r="G994"/>
      <c r="I994" s="390"/>
    </row>
    <row r="995" spans="1:9" ht="12.75" customHeight="1">
      <c r="A995" s="256"/>
      <c r="B995" s="256"/>
      <c r="C995" s="256"/>
      <c r="D995" s="1285"/>
      <c r="E995" s="1285"/>
      <c r="F995" s="1285"/>
      <c r="G995"/>
      <c r="I995" s="390"/>
    </row>
    <row r="996" spans="1:9" ht="12.75" customHeight="1">
      <c r="A996" s="256"/>
      <c r="B996" s="256"/>
      <c r="C996" s="256"/>
      <c r="D996" s="928"/>
      <c r="E996" s="926" t="s">
        <v>588</v>
      </c>
      <c r="F996" s="928"/>
      <c r="G996"/>
      <c r="I996" s="390"/>
    </row>
    <row r="997" spans="1:9" ht="12.75" customHeight="1">
      <c r="A997" s="256"/>
      <c r="B997" s="256"/>
      <c r="C997" s="256"/>
      <c r="D997" s="1227" t="s">
        <v>589</v>
      </c>
      <c r="E997" s="1227"/>
      <c r="F997" s="1227"/>
      <c r="G997"/>
      <c r="I997" s="390"/>
    </row>
    <row r="998" spans="1:9" ht="12.75" customHeight="1">
      <c r="A998" s="256"/>
      <c r="B998" s="256"/>
      <c r="C998" s="256"/>
      <c r="D998" s="1227"/>
      <c r="E998" s="1227"/>
      <c r="F998" s="1227"/>
      <c r="G998"/>
      <c r="I998" s="390"/>
    </row>
    <row r="999" spans="1:9" ht="12.75" customHeight="1">
      <c r="A999" s="121"/>
      <c r="B999" s="121"/>
      <c r="C999" s="121"/>
      <c r="D999" s="1227"/>
      <c r="E999" s="1227"/>
      <c r="F999" s="1227"/>
      <c r="G999"/>
      <c r="I999" s="390"/>
    </row>
    <row r="1000" spans="1:9" ht="12.75" customHeight="1">
      <c r="A1000" s="121"/>
      <c r="B1000" s="121"/>
      <c r="C1000" s="121"/>
      <c r="D1000" s="1227"/>
      <c r="E1000" s="1227"/>
      <c r="F1000" s="1227"/>
      <c r="G1000"/>
      <c r="I1000" s="390"/>
    </row>
    <row r="1001" spans="1:9" ht="12.75" customHeight="1">
      <c r="A1001" s="121"/>
      <c r="B1001" s="121"/>
      <c r="C1001" s="121"/>
      <c r="D1001" s="239"/>
      <c r="E1001" s="239"/>
      <c r="F1001" s="239"/>
      <c r="G1001"/>
      <c r="I1001" s="390"/>
    </row>
    <row r="1002" spans="1:9" ht="12.75" customHeight="1">
      <c r="A1002" s="121"/>
      <c r="B1002" s="385" t="s">
        <v>2765</v>
      </c>
      <c r="C1002" s="121"/>
      <c r="D1002" s="1221" t="s">
        <v>590</v>
      </c>
      <c r="E1002" s="1221"/>
      <c r="F1002" s="1221"/>
      <c r="G1002"/>
      <c r="I1002" s="390"/>
    </row>
    <row r="1003" spans="1:9" ht="12.75" customHeight="1">
      <c r="A1003" s="121"/>
      <c r="B1003" s="121"/>
      <c r="C1003" s="121"/>
      <c r="D1003" s="1221"/>
      <c r="E1003" s="1221"/>
      <c r="F1003" s="1221"/>
      <c r="G1003"/>
      <c r="I1003" s="390"/>
    </row>
    <row r="1004" spans="1:9" ht="12.75" customHeight="1">
      <c r="A1004" s="121"/>
      <c r="B1004" s="121"/>
      <c r="C1004" s="121"/>
      <c r="D1004" s="1221"/>
      <c r="E1004" s="1221"/>
      <c r="F1004" s="1221"/>
      <c r="G1004"/>
      <c r="I1004" s="390"/>
    </row>
    <row r="1005" spans="1:9" ht="12.75" customHeight="1">
      <c r="A1005" s="121"/>
      <c r="B1005" s="121"/>
      <c r="C1005" s="121"/>
      <c r="D1005" s="1221"/>
      <c r="E1005" s="1221"/>
      <c r="F1005" s="1221"/>
      <c r="G1005"/>
      <c r="I1005" s="390"/>
    </row>
    <row r="1006" spans="1:9" ht="12.75" customHeight="1">
      <c r="A1006" s="121"/>
      <c r="B1006" s="121"/>
      <c r="C1006" s="121"/>
      <c r="D1006" s="343"/>
      <c r="E1006" s="343"/>
      <c r="F1006" s="343"/>
      <c r="G1006"/>
      <c r="I1006" s="390"/>
    </row>
    <row r="1007" spans="1:9" ht="12.75" customHeight="1">
      <c r="A1007" s="121"/>
      <c r="B1007" s="385" t="s">
        <v>2765</v>
      </c>
      <c r="C1007" s="121"/>
      <c r="D1007" s="1221" t="s">
        <v>591</v>
      </c>
      <c r="E1007" s="1221"/>
      <c r="F1007" s="1221"/>
      <c r="G1007"/>
      <c r="I1007" s="390"/>
    </row>
    <row r="1008" spans="1:9" ht="12.75" customHeight="1">
      <c r="A1008" s="121"/>
      <c r="B1008" s="121"/>
      <c r="C1008" s="121"/>
      <c r="D1008" s="1221"/>
      <c r="E1008" s="1221"/>
      <c r="F1008" s="1221"/>
      <c r="G1008"/>
      <c r="I1008" s="390"/>
    </row>
    <row r="1009" spans="1:9" ht="12.75" customHeight="1">
      <c r="A1009" s="121"/>
      <c r="B1009" s="121"/>
      <c r="C1009" s="121"/>
      <c r="D1009" s="343"/>
      <c r="E1009" s="343"/>
      <c r="F1009" s="343"/>
      <c r="G1009"/>
      <c r="I1009" s="390"/>
    </row>
    <row r="1010" spans="1:9" ht="12.75" customHeight="1">
      <c r="A1010" s="122"/>
      <c r="B1010" s="385" t="s">
        <v>2764</v>
      </c>
      <c r="C1010" s="256"/>
      <c r="D1010" s="1261" t="s">
        <v>592</v>
      </c>
      <c r="E1010" s="1261"/>
      <c r="F1010" s="1261"/>
      <c r="G1010"/>
      <c r="I1010" s="390"/>
    </row>
    <row r="1011" spans="1:9" ht="12.75" customHeight="1">
      <c r="A1011" s="256"/>
      <c r="B1011" s="256"/>
      <c r="C1011" s="256"/>
      <c r="D1011" s="3"/>
      <c r="E1011" s="3"/>
      <c r="F1011" s="3"/>
      <c r="G1011"/>
      <c r="I1011" s="390"/>
    </row>
    <row r="1012" spans="1:9" ht="12.75" customHeight="1">
      <c r="A1012" s="122"/>
      <c r="B1012" s="385" t="s">
        <v>2765</v>
      </c>
      <c r="C1012" s="256"/>
      <c r="D1012" s="1261" t="s">
        <v>593</v>
      </c>
      <c r="E1012" s="1261"/>
      <c r="F1012" s="1261"/>
      <c r="G1012"/>
      <c r="I1012" s="390"/>
    </row>
    <row r="1013" spans="1:9" ht="12.75" customHeight="1">
      <c r="A1013" s="256"/>
      <c r="B1013" s="256"/>
      <c r="C1013" s="256"/>
      <c r="D1013" s="84"/>
      <c r="E1013" s="3"/>
      <c r="F1013" s="3"/>
      <c r="G1013"/>
      <c r="I1013" s="390"/>
    </row>
    <row r="1014" spans="1:9" ht="12.75" customHeight="1">
      <c r="A1014" s="122"/>
      <c r="B1014" s="385" t="s">
        <v>2764</v>
      </c>
      <c r="C1014" s="256"/>
      <c r="D1014" s="1261" t="s">
        <v>594</v>
      </c>
      <c r="E1014" s="1261"/>
      <c r="F1014" s="1261"/>
      <c r="G1014"/>
      <c r="I1014" s="390"/>
    </row>
    <row r="1015" spans="1:9" ht="12.75" customHeight="1">
      <c r="A1015" s="256"/>
      <c r="B1015" s="256"/>
      <c r="C1015" s="256"/>
      <c r="D1015" s="84"/>
      <c r="E1015" s="3"/>
      <c r="F1015" s="3"/>
      <c r="G1015"/>
      <c r="I1015" s="390"/>
    </row>
    <row r="1016" spans="1:9" ht="12.75" customHeight="1">
      <c r="A1016" s="122"/>
      <c r="B1016" s="385" t="s">
        <v>2765</v>
      </c>
      <c r="C1016" s="256"/>
      <c r="D1016" s="1221" t="s">
        <v>595</v>
      </c>
      <c r="E1016" s="1221"/>
      <c r="F1016" s="1221"/>
      <c r="G1016"/>
      <c r="I1016" s="390"/>
    </row>
    <row r="1017" spans="1:9" ht="12.75" customHeight="1">
      <c r="A1017" s="122"/>
      <c r="B1017" s="122"/>
      <c r="C1017" s="256"/>
      <c r="D1017" s="1221"/>
      <c r="E1017" s="1221"/>
      <c r="F1017" s="1221"/>
      <c r="G1017"/>
      <c r="I1017" s="390"/>
    </row>
    <row r="1018" spans="1:9" ht="12.75" customHeight="1">
      <c r="A1018" s="122"/>
      <c r="B1018" s="122"/>
      <c r="C1018" s="256"/>
      <c r="D1018" s="84"/>
      <c r="E1018" s="3"/>
      <c r="F1018" s="3"/>
      <c r="G1018" s="3"/>
      <c r="I1018" s="390"/>
    </row>
    <row r="1019" spans="1:9" ht="12.75" customHeight="1">
      <c r="A1019" s="168"/>
      <c r="B1019" s="385" t="s">
        <v>2765</v>
      </c>
      <c r="C1019" s="893"/>
      <c r="D1019" s="1277" t="s">
        <v>596</v>
      </c>
      <c r="E1019" s="1277"/>
      <c r="F1019" s="1277"/>
      <c r="G1019" s="894"/>
      <c r="I1019" s="390"/>
    </row>
    <row r="1020" spans="1:9" ht="12.75" customHeight="1">
      <c r="A1020" s="893"/>
      <c r="B1020" s="893"/>
      <c r="C1020" s="893"/>
      <c r="D1020" s="1277"/>
      <c r="E1020" s="1277"/>
      <c r="F1020" s="1277"/>
      <c r="G1020" s="894"/>
      <c r="I1020" s="390"/>
    </row>
    <row r="1021" spans="1:9" ht="12.75" customHeight="1">
      <c r="A1021" s="893"/>
      <c r="B1021" s="893"/>
      <c r="C1021" s="893"/>
      <c r="D1021" s="877"/>
      <c r="E1021" s="894"/>
      <c r="F1021" s="894"/>
      <c r="G1021" s="894"/>
      <c r="I1021" s="390"/>
    </row>
    <row r="1022" spans="1:9" ht="12.75" customHeight="1">
      <c r="A1022" s="168"/>
      <c r="B1022" s="385" t="s">
        <v>2765</v>
      </c>
      <c r="C1022" s="893"/>
      <c r="D1022" s="1284" t="s">
        <v>597</v>
      </c>
      <c r="E1022" s="1284"/>
      <c r="F1022" s="1284"/>
      <c r="G1022" s="894"/>
      <c r="I1022" s="390"/>
    </row>
    <row r="1023" spans="1:9" ht="12.75" customHeight="1">
      <c r="A1023" s="893"/>
      <c r="B1023" s="893"/>
      <c r="C1023" s="893"/>
      <c r="D1023" s="877"/>
      <c r="E1023" s="894"/>
      <c r="F1023" s="894"/>
      <c r="G1023" s="894"/>
      <c r="I1023" s="390"/>
    </row>
    <row r="1024" spans="1:9" ht="12.75" customHeight="1">
      <c r="A1024" s="122"/>
      <c r="B1024" s="385" t="s">
        <v>2765</v>
      </c>
      <c r="C1024" s="256"/>
      <c r="D1024" s="1261" t="s">
        <v>598</v>
      </c>
      <c r="E1024" s="1261"/>
      <c r="F1024" s="1261"/>
      <c r="G1024" s="3"/>
      <c r="I1024" s="390"/>
    </row>
    <row r="1025" spans="1:9" ht="12.75" customHeight="1">
      <c r="A1025" s="122"/>
      <c r="B1025" s="122"/>
      <c r="C1025" s="256"/>
      <c r="D1025" s="84"/>
      <c r="E1025" s="3"/>
      <c r="F1025" s="3"/>
      <c r="G1025" s="3"/>
      <c r="I1025" s="390"/>
    </row>
    <row r="1026" spans="1:9" ht="12.75" customHeight="1">
      <c r="A1026" s="122"/>
      <c r="B1026" s="385" t="s">
        <v>2765</v>
      </c>
      <c r="C1026" s="256"/>
      <c r="D1026" s="1221" t="s">
        <v>599</v>
      </c>
      <c r="E1026" s="1221"/>
      <c r="F1026" s="1221"/>
      <c r="G1026" s="3"/>
      <c r="I1026" s="390"/>
    </row>
    <row r="1027" spans="1:9" ht="12.75" customHeight="1">
      <c r="A1027" s="122"/>
      <c r="B1027" s="122"/>
      <c r="C1027" s="256"/>
      <c r="D1027" s="1221"/>
      <c r="E1027" s="1221"/>
      <c r="F1027" s="1221"/>
      <c r="G1027" s="3"/>
      <c r="I1027" s="390"/>
    </row>
    <row r="1028" spans="1:9" ht="12.75" customHeight="1">
      <c r="A1028" s="256"/>
      <c r="B1028" s="256"/>
      <c r="C1028" s="256"/>
      <c r="D1028" s="3"/>
      <c r="E1028" s="3"/>
      <c r="F1028" s="3"/>
      <c r="G1028" s="3"/>
      <c r="I1028" s="390"/>
    </row>
    <row r="1029" spans="1:9" ht="12.75" customHeight="1">
      <c r="A1029" s="1270" t="s">
        <v>600</v>
      </c>
      <c r="B1029" s="1270"/>
      <c r="C1029" s="1270"/>
      <c r="D1029" s="1270"/>
      <c r="E1029" s="1270"/>
      <c r="F1029" s="1270"/>
      <c r="G1029" s="1270"/>
      <c r="H1029" s="918"/>
      <c r="I1029" s="1041"/>
    </row>
    <row r="1030" spans="1:9" ht="12.75" customHeight="1">
      <c r="A1030" s="256"/>
      <c r="B1030" s="256"/>
      <c r="C1030" s="256"/>
      <c r="D1030" s="3"/>
      <c r="E1030" s="3"/>
      <c r="F1030" s="3"/>
      <c r="G1030" s="3"/>
      <c r="I1030" s="390"/>
    </row>
    <row r="1031" spans="1:9" ht="12.75" customHeight="1">
      <c r="A1031" s="256"/>
      <c r="B1031" s="256"/>
      <c r="C1031" s="256"/>
      <c r="D1031" s="1286" t="s">
        <v>601</v>
      </c>
      <c r="E1031" s="1286"/>
      <c r="F1031" s="1286"/>
      <c r="G1031" s="3"/>
      <c r="I1031" s="390"/>
    </row>
    <row r="1032" spans="1:9" ht="12.75" customHeight="1">
      <c r="A1032" s="256"/>
      <c r="B1032" s="256"/>
      <c r="C1032" s="256"/>
      <c r="D1032" s="1284" t="s">
        <v>602</v>
      </c>
      <c r="E1032" s="1284"/>
      <c r="F1032" s="1284"/>
      <c r="G1032" s="3"/>
      <c r="I1032" s="390"/>
    </row>
    <row r="1033" spans="1:9" ht="12.75" customHeight="1">
      <c r="A1033" s="119"/>
      <c r="B1033" s="119"/>
      <c r="C1033" s="119"/>
      <c r="D1033" s="3"/>
      <c r="E1033" s="3"/>
      <c r="F1033" s="3"/>
      <c r="G1033" s="3"/>
      <c r="I1033" s="390"/>
    </row>
    <row r="1034" spans="1:9" ht="12.75" customHeight="1">
      <c r="A1034" s="122"/>
      <c r="B1034" s="122"/>
      <c r="C1034" s="121"/>
      <c r="D1034" s="1286" t="s">
        <v>603</v>
      </c>
      <c r="E1034" s="1286"/>
      <c r="F1034" s="1286"/>
      <c r="G1034" s="3"/>
      <c r="I1034" s="390"/>
    </row>
    <row r="1035" spans="1:9" ht="12.75" customHeight="1">
      <c r="A1035" s="256"/>
      <c r="B1035" s="385" t="s">
        <v>2764</v>
      </c>
      <c r="C1035" s="256"/>
      <c r="D1035" s="1284" t="s">
        <v>604</v>
      </c>
      <c r="E1035" s="1284"/>
      <c r="F1035" s="1284"/>
      <c r="G1035" s="3"/>
      <c r="I1035" s="390"/>
    </row>
    <row r="1036" spans="1:9" ht="12.75" customHeight="1">
      <c r="A1036" s="256"/>
      <c r="B1036" s="122"/>
      <c r="C1036" s="256"/>
      <c r="D1036" s="1284" t="s">
        <v>605</v>
      </c>
      <c r="E1036" s="1284"/>
      <c r="F1036" s="1284"/>
      <c r="G1036" s="3"/>
      <c r="I1036" s="390"/>
    </row>
    <row r="1037" spans="1:9" ht="12.75" customHeight="1">
      <c r="A1037" s="256"/>
      <c r="B1037" s="256"/>
      <c r="C1037" s="256"/>
      <c r="D1037" s="1284"/>
      <c r="E1037" s="1284"/>
      <c r="F1037" s="1284"/>
      <c r="G1037" s="3"/>
      <c r="I1037" s="390"/>
    </row>
    <row r="1038" spans="1:9" ht="12.75" customHeight="1">
      <c r="A1038" s="1270" t="s">
        <v>606</v>
      </c>
      <c r="B1038" s="1270"/>
      <c r="C1038" s="1270"/>
      <c r="D1038" s="1270"/>
      <c r="E1038" s="1270"/>
      <c r="F1038" s="1270"/>
      <c r="G1038" s="1270"/>
      <c r="H1038" s="918"/>
      <c r="I1038" s="1041"/>
    </row>
    <row r="1039" spans="1:9" ht="12.75" customHeight="1">
      <c r="A1039" s="84"/>
      <c r="B1039" s="84"/>
      <c r="C1039" s="256"/>
      <c r="D1039" s="3"/>
      <c r="E1039" s="3"/>
      <c r="F1039" s="3"/>
      <c r="G1039" s="3"/>
      <c r="I1039" s="390"/>
    </row>
    <row r="1040" spans="1:9" ht="12.75" hidden="1" customHeight="1">
      <c r="A1040" s="84"/>
      <c r="B1040" s="304"/>
      <c r="D1040" s="1291" t="s">
        <v>607</v>
      </c>
      <c r="E1040" s="1291"/>
      <c r="F1040" s="1291"/>
      <c r="G1040" s="3"/>
      <c r="I1040" s="390"/>
    </row>
    <row r="1041" spans="1:9" ht="12.75" hidden="1" customHeight="1">
      <c r="A1041" s="84"/>
      <c r="B1041" s="385" t="s">
        <v>309</v>
      </c>
      <c r="D1041" s="1253" t="s">
        <v>604</v>
      </c>
      <c r="E1041" s="1253"/>
      <c r="F1041" s="1253"/>
      <c r="G1041" s="3"/>
      <c r="I1041" s="390"/>
    </row>
    <row r="1042" spans="1:9" ht="12.75" hidden="1" customHeight="1">
      <c r="A1042" s="84"/>
      <c r="B1042" s="304"/>
      <c r="D1042" s="1253" t="s">
        <v>608</v>
      </c>
      <c r="E1042" s="1253"/>
      <c r="F1042" s="1253"/>
      <c r="G1042" s="3"/>
      <c r="I1042" s="390"/>
    </row>
    <row r="1043" spans="1:9" ht="12.75" hidden="1" customHeight="1">
      <c r="A1043" s="84"/>
      <c r="B1043" s="304"/>
      <c r="D1043" s="345"/>
      <c r="E1043" s="345"/>
      <c r="F1043" s="345"/>
      <c r="G1043" s="3"/>
      <c r="I1043" s="390"/>
    </row>
    <row r="1044" spans="1:9" ht="12.75" customHeight="1">
      <c r="A1044" s="84"/>
      <c r="B1044" s="84"/>
      <c r="C1044" s="256"/>
      <c r="D1044" s="1292" t="s">
        <v>609</v>
      </c>
      <c r="E1044" s="1292"/>
      <c r="F1044" s="1292"/>
      <c r="G1044" s="3"/>
      <c r="I1044" s="390"/>
    </row>
    <row r="1045" spans="1:9" ht="12.75" customHeight="1">
      <c r="A1045" s="223"/>
      <c r="B1045" s="223"/>
      <c r="C1045" s="223"/>
      <c r="D1045" s="1262" t="s">
        <v>610</v>
      </c>
      <c r="E1045" s="1262"/>
      <c r="F1045" s="1262"/>
      <c r="G1045" s="73"/>
      <c r="I1045" s="390"/>
    </row>
    <row r="1046" spans="1:9" ht="12.75" customHeight="1">
      <c r="A1046" s="122"/>
      <c r="B1046" s="385" t="s">
        <v>2765</v>
      </c>
      <c r="C1046" s="256"/>
      <c r="D1046" s="1262" t="s">
        <v>611</v>
      </c>
      <c r="E1046" s="1262"/>
      <c r="F1046" s="1262"/>
      <c r="G1046" s="3"/>
      <c r="I1046" s="390"/>
    </row>
    <row r="1047" spans="1:9" ht="12.75" customHeight="1">
      <c r="A1047" s="256"/>
      <c r="B1047" s="256"/>
      <c r="C1047" s="256"/>
      <c r="D1047" s="926" t="s">
        <v>612</v>
      </c>
      <c r="E1047" s="71"/>
      <c r="F1047" s="71"/>
      <c r="G1047" s="3"/>
      <c r="I1047" s="390"/>
    </row>
    <row r="1048" spans="1:9">
      <c r="A1048" s="304"/>
      <c r="B1048" s="304"/>
      <c r="C1048" s="304"/>
      <c r="I1048" s="390"/>
    </row>
    <row r="1049" spans="1:9">
      <c r="A1049" s="1270" t="s">
        <v>613</v>
      </c>
      <c r="B1049" s="1270"/>
      <c r="C1049" s="1270"/>
      <c r="D1049" s="1270"/>
      <c r="E1049" s="1270"/>
      <c r="F1049" s="1270"/>
      <c r="G1049" s="1270"/>
      <c r="H1049" s="918"/>
      <c r="I1049" s="1041"/>
    </row>
    <row r="1050" spans="1:9">
      <c r="A1050" s="304"/>
      <c r="B1050" s="304"/>
      <c r="C1050" s="304"/>
      <c r="I1050" s="390"/>
    </row>
    <row r="1051" spans="1:9">
      <c r="A1051" s="304"/>
      <c r="B1051" s="304"/>
      <c r="C1051" s="304"/>
      <c r="D1051" s="306" t="s">
        <v>614</v>
      </c>
      <c r="I1051" s="390"/>
    </row>
    <row r="1052" spans="1:9">
      <c r="A1052" s="304"/>
      <c r="B1052" s="304"/>
      <c r="C1052" s="304"/>
      <c r="D1052" s="304" t="s">
        <v>615</v>
      </c>
      <c r="I1052" s="390"/>
    </row>
    <row r="1053" spans="1:9">
      <c r="A1053" s="304"/>
      <c r="B1053" s="304"/>
      <c r="C1053" s="304"/>
      <c r="D1053" s="306"/>
      <c r="I1053" s="390"/>
    </row>
    <row r="1054" spans="1:9">
      <c r="A1054" s="304"/>
      <c r="B1054" s="385" t="s">
        <v>2765</v>
      </c>
      <c r="C1054" s="304"/>
      <c r="D1054" s="1288" t="s">
        <v>616</v>
      </c>
      <c r="E1054" s="1288"/>
      <c r="F1054" s="1288"/>
      <c r="I1054" s="390"/>
    </row>
    <row r="1055" spans="1:9">
      <c r="A1055" s="304"/>
      <c r="B1055" s="304"/>
      <c r="C1055" s="304"/>
      <c r="D1055" s="1288"/>
      <c r="E1055" s="1288"/>
      <c r="F1055" s="1288"/>
      <c r="I1055" s="390"/>
    </row>
    <row r="1056" spans="1:9">
      <c r="A1056" s="304"/>
      <c r="B1056" s="304"/>
      <c r="C1056" s="304"/>
      <c r="D1056" s="1288"/>
      <c r="E1056" s="1288"/>
      <c r="F1056" s="1288"/>
      <c r="I1056" s="390"/>
    </row>
    <row r="1057" spans="1:9">
      <c r="A1057" s="304"/>
      <c r="B1057" s="304"/>
      <c r="C1057" s="304"/>
      <c r="D1057" s="1288"/>
      <c r="E1057" s="1288"/>
      <c r="F1057" s="1288"/>
      <c r="I1057" s="390"/>
    </row>
    <row r="1058" spans="1:9">
      <c r="A1058" s="304"/>
      <c r="B1058" s="304"/>
      <c r="C1058" s="304"/>
      <c r="I1058" s="390"/>
    </row>
    <row r="1059" spans="1:9">
      <c r="A1059" s="304"/>
      <c r="B1059" s="304"/>
      <c r="C1059" s="304"/>
      <c r="D1059" s="306" t="s">
        <v>617</v>
      </c>
      <c r="I1059" s="390"/>
    </row>
    <row r="1060" spans="1:9">
      <c r="A1060" s="304"/>
      <c r="B1060" s="304"/>
      <c r="C1060" s="304"/>
      <c r="D1060" s="304" t="s">
        <v>618</v>
      </c>
      <c r="I1060" s="390"/>
    </row>
    <row r="1061" spans="1:9">
      <c r="A1061" s="304"/>
      <c r="B1061" s="304"/>
      <c r="C1061" s="304"/>
      <c r="I1061" s="390"/>
    </row>
    <row r="1062" spans="1:9">
      <c r="A1062" s="304"/>
      <c r="B1062" s="385" t="s">
        <v>2764</v>
      </c>
      <c r="C1062" s="304"/>
      <c r="D1062" s="304" t="s">
        <v>565</v>
      </c>
      <c r="I1062" s="390"/>
    </row>
    <row r="1063" spans="1:9">
      <c r="A1063" s="304"/>
      <c r="B1063" s="304"/>
      <c r="C1063" s="304"/>
      <c r="I1063" s="390"/>
    </row>
    <row r="1064" spans="1:9">
      <c r="A1064" s="304"/>
      <c r="B1064" s="385" t="s">
        <v>2765</v>
      </c>
      <c r="C1064" s="304"/>
      <c r="D1064" s="1288" t="s">
        <v>619</v>
      </c>
      <c r="E1064" s="1288"/>
      <c r="F1064" s="1288"/>
      <c r="I1064" s="390"/>
    </row>
    <row r="1065" spans="1:9">
      <c r="A1065" s="304"/>
      <c r="B1065" s="304"/>
      <c r="C1065" s="304"/>
      <c r="D1065" s="1288"/>
      <c r="E1065" s="1288"/>
      <c r="F1065" s="1288"/>
      <c r="I1065" s="390"/>
    </row>
    <row r="1066" spans="1:9">
      <c r="A1066" s="304"/>
      <c r="B1066" s="304"/>
      <c r="C1066" s="304"/>
      <c r="D1066" s="1288"/>
      <c r="E1066" s="1288"/>
      <c r="F1066" s="1288"/>
      <c r="I1066" s="390"/>
    </row>
    <row r="1067" spans="1:9">
      <c r="A1067" s="304"/>
      <c r="B1067" s="304"/>
      <c r="C1067" s="304"/>
      <c r="D1067" s="1288"/>
      <c r="E1067" s="1288"/>
      <c r="F1067" s="1288"/>
      <c r="I1067" s="390"/>
    </row>
    <row r="1068" spans="1:9">
      <c r="A1068" s="304"/>
      <c r="B1068" s="304"/>
      <c r="C1068" s="304"/>
      <c r="D1068" s="1288"/>
      <c r="E1068" s="1288"/>
      <c r="F1068" s="1288"/>
      <c r="I1068" s="390"/>
    </row>
    <row r="1069" spans="1:9">
      <c r="A1069" s="304"/>
      <c r="B1069" s="304"/>
      <c r="C1069" s="304"/>
      <c r="I1069" s="390"/>
    </row>
    <row r="1070" spans="1:9">
      <c r="A1070" s="1270" t="s">
        <v>620</v>
      </c>
      <c r="B1070" s="1270"/>
      <c r="C1070" s="1270"/>
      <c r="D1070" s="1270"/>
      <c r="E1070" s="1270"/>
      <c r="F1070" s="1270"/>
      <c r="G1070" s="1270"/>
      <c r="H1070" s="918"/>
      <c r="I1070" s="1041"/>
    </row>
    <row r="1071" spans="1:9">
      <c r="A1071" s="304"/>
      <c r="B1071" s="304"/>
      <c r="C1071" s="304"/>
      <c r="I1071" s="390"/>
    </row>
    <row r="1072" spans="1:9">
      <c r="A1072" s="304"/>
      <c r="B1072" s="304"/>
      <c r="C1072" s="304"/>
      <c r="I1072" s="390"/>
    </row>
    <row r="1073" spans="1:9">
      <c r="A1073" s="304"/>
      <c r="B1073" s="385" t="s">
        <v>2764</v>
      </c>
      <c r="C1073" s="304"/>
      <c r="D1073" s="426" t="s">
        <v>621</v>
      </c>
      <c r="I1073" s="390"/>
    </row>
    <row r="1074" spans="1:9">
      <c r="A1074" s="304"/>
      <c r="B1074" s="304"/>
      <c r="C1074" s="304"/>
      <c r="D1074" s="426" t="s">
        <v>622</v>
      </c>
      <c r="I1074" s="390"/>
    </row>
    <row r="1075" spans="1:9">
      <c r="A1075" s="304"/>
      <c r="B1075" s="304"/>
      <c r="C1075" s="304"/>
      <c r="D1075" s="426"/>
      <c r="I1075" s="390"/>
    </row>
    <row r="1076" spans="1:9">
      <c r="A1076" s="304"/>
      <c r="B1076" s="385" t="s">
        <v>2765</v>
      </c>
      <c r="C1076" s="304"/>
      <c r="D1076" s="426" t="s">
        <v>623</v>
      </c>
      <c r="I1076" s="390"/>
    </row>
    <row r="1077" spans="1:9">
      <c r="A1077" s="304"/>
      <c r="B1077" s="304"/>
      <c r="C1077" s="304"/>
      <c r="D1077" s="426" t="s">
        <v>624</v>
      </c>
      <c r="I1077" s="390"/>
    </row>
    <row r="1078" spans="1:9">
      <c r="A1078" s="304"/>
      <c r="B1078" s="304"/>
      <c r="C1078" s="304"/>
      <c r="D1078" s="426"/>
      <c r="I1078" s="390"/>
    </row>
    <row r="1079" spans="1:9">
      <c r="A1079" s="304"/>
      <c r="B1079" s="385" t="s">
        <v>2765</v>
      </c>
      <c r="C1079" s="304"/>
      <c r="D1079" s="85" t="s">
        <v>625</v>
      </c>
      <c r="I1079" s="390"/>
    </row>
    <row r="1080" spans="1:9">
      <c r="A1080" s="304"/>
      <c r="B1080" s="304"/>
      <c r="C1080" s="304"/>
      <c r="D1080" s="1221" t="s">
        <v>626</v>
      </c>
      <c r="E1080" s="1221"/>
      <c r="F1080" s="1221"/>
      <c r="I1080" s="390"/>
    </row>
    <row r="1081" spans="1:9">
      <c r="A1081" s="304"/>
      <c r="B1081" s="304"/>
      <c r="C1081" s="304"/>
      <c r="D1081" s="1221"/>
      <c r="E1081" s="1221"/>
      <c r="F1081" s="1221"/>
      <c r="I1081" s="390"/>
    </row>
    <row r="1082" spans="1:9">
      <c r="A1082" s="304"/>
      <c r="B1082" s="304"/>
      <c r="C1082" s="304"/>
      <c r="D1082" s="1221"/>
      <c r="E1082" s="1221"/>
      <c r="F1082" s="1221"/>
      <c r="I1082" s="390"/>
    </row>
    <row r="1083" spans="1:9">
      <c r="A1083" s="304"/>
      <c r="B1083" s="304"/>
      <c r="C1083" s="304"/>
      <c r="D1083" s="1221"/>
      <c r="E1083" s="1221"/>
      <c r="F1083" s="1221"/>
      <c r="I1083" s="390"/>
    </row>
    <row r="1084" spans="1:9">
      <c r="A1084" s="304"/>
      <c r="B1084" s="304"/>
      <c r="C1084" s="304"/>
      <c r="D1084" s="85" t="s">
        <v>627</v>
      </c>
      <c r="I1084" s="390"/>
    </row>
    <row r="1085" spans="1:9">
      <c r="A1085" s="304"/>
      <c r="B1085" s="304"/>
      <c r="C1085" s="304"/>
      <c r="D1085" s="85"/>
      <c r="I1085" s="390"/>
    </row>
    <row r="1086" spans="1:9">
      <c r="A1086" s="304"/>
      <c r="B1086" s="304"/>
      <c r="C1086" s="304"/>
      <c r="D1086" s="426" t="s">
        <v>628</v>
      </c>
      <c r="I1086" s="390"/>
    </row>
    <row r="1087" spans="1:9">
      <c r="A1087" s="304"/>
      <c r="B1087" s="385" t="s">
        <v>2765</v>
      </c>
      <c r="C1087" s="304"/>
      <c r="D1087" s="1287" t="s">
        <v>629</v>
      </c>
      <c r="E1087" s="1287"/>
      <c r="F1087" s="1287"/>
      <c r="I1087" s="390"/>
    </row>
    <row r="1088" spans="1:9">
      <c r="A1088" s="304"/>
      <c r="B1088" s="304"/>
      <c r="C1088" s="304"/>
      <c r="D1088" s="1287"/>
      <c r="E1088" s="1287"/>
      <c r="F1088" s="1287"/>
      <c r="I1088" s="390"/>
    </row>
    <row r="1089" spans="1:9">
      <c r="A1089" s="304"/>
      <c r="B1089" s="304"/>
      <c r="C1089" s="304"/>
      <c r="D1089" s="1287"/>
      <c r="E1089" s="1287"/>
      <c r="F1089" s="1287"/>
      <c r="I1089" s="390"/>
    </row>
    <row r="1090" spans="1:9">
      <c r="A1090" s="304"/>
      <c r="B1090" s="304"/>
      <c r="C1090" s="304"/>
      <c r="D1090" s="1287"/>
      <c r="E1090" s="1287"/>
      <c r="F1090" s="1287"/>
      <c r="I1090" s="390"/>
    </row>
    <row r="1091" spans="1:9">
      <c r="A1091" s="304"/>
      <c r="B1091" s="304"/>
      <c r="C1091" s="304"/>
      <c r="D1091" s="1287"/>
      <c r="E1091" s="1287"/>
      <c r="F1091" s="1287"/>
      <c r="I1091" s="390"/>
    </row>
    <row r="1092" spans="1:9">
      <c r="A1092" s="304"/>
      <c r="B1092" s="304"/>
      <c r="C1092" s="304"/>
      <c r="D1092" s="426" t="s">
        <v>630</v>
      </c>
      <c r="I1092" s="390"/>
    </row>
    <row r="1093" spans="1:9">
      <c r="A1093" s="304"/>
      <c r="B1093" s="304"/>
      <c r="C1093" s="304"/>
      <c r="I1093" s="390"/>
    </row>
    <row r="1094" spans="1:9">
      <c r="A1094" s="304"/>
      <c r="B1094" s="385" t="s">
        <v>2765</v>
      </c>
      <c r="C1094" s="304"/>
      <c r="D1094" s="1237" t="s">
        <v>631</v>
      </c>
      <c r="E1094" s="1237"/>
      <c r="F1094" s="1237"/>
      <c r="I1094" s="390"/>
    </row>
    <row r="1095" spans="1:9">
      <c r="A1095" s="304"/>
      <c r="B1095" s="304"/>
      <c r="C1095" s="304"/>
      <c r="D1095" s="1237"/>
      <c r="E1095" s="1237"/>
      <c r="F1095" s="1237"/>
      <c r="I1095" s="390"/>
    </row>
    <row r="1096" spans="1:9">
      <c r="A1096" s="304"/>
      <c r="B1096" s="304"/>
      <c r="C1096" s="304"/>
      <c r="D1096" s="1237"/>
      <c r="E1096" s="1237"/>
      <c r="F1096" s="1237"/>
      <c r="I1096" s="390"/>
    </row>
    <row r="1097" spans="1:9">
      <c r="A1097" s="304"/>
      <c r="B1097" s="304"/>
      <c r="C1097" s="304"/>
      <c r="I1097" s="390"/>
    </row>
    <row r="1098" spans="1:9">
      <c r="A1098" s="1270" t="s">
        <v>632</v>
      </c>
      <c r="B1098" s="1270"/>
      <c r="C1098" s="1270"/>
      <c r="D1098" s="1270"/>
      <c r="E1098" s="1270"/>
      <c r="F1098" s="1270"/>
      <c r="G1098" s="1270"/>
      <c r="H1098" s="918"/>
      <c r="I1098" s="1041"/>
    </row>
    <row r="1099" spans="1:9">
      <c r="A1099" s="304"/>
      <c r="B1099" s="304"/>
      <c r="C1099" s="304"/>
      <c r="I1099" s="390"/>
    </row>
    <row r="1100" spans="1:9">
      <c r="A1100" s="304"/>
      <c r="B1100" s="304"/>
      <c r="C1100" s="304"/>
      <c r="I1100" s="390"/>
    </row>
    <row r="1101" spans="1:9" ht="12.75" customHeight="1">
      <c r="A1101" s="304"/>
      <c r="B1101" s="385" t="s">
        <v>2765</v>
      </c>
      <c r="C1101" s="304"/>
      <c r="D1101" s="1289" t="s">
        <v>633</v>
      </c>
      <c r="E1101" s="1289"/>
      <c r="F1101" s="1289"/>
      <c r="I1101" s="390"/>
    </row>
    <row r="1102" spans="1:9">
      <c r="A1102" s="304"/>
      <c r="B1102" s="304"/>
      <c r="C1102" s="304"/>
      <c r="D1102" s="1289"/>
      <c r="E1102" s="1289"/>
      <c r="F1102" s="1289"/>
      <c r="I1102" s="390"/>
    </row>
    <row r="1103" spans="1:9">
      <c r="A1103" s="304"/>
      <c r="B1103" s="304"/>
      <c r="C1103" s="304"/>
      <c r="D1103" s="1290" t="s">
        <v>634</v>
      </c>
      <c r="E1103" s="1221"/>
      <c r="F1103" s="1221"/>
      <c r="I1103" s="390"/>
    </row>
    <row r="1104" spans="1:9">
      <c r="A1104" s="304"/>
      <c r="B1104" s="304"/>
      <c r="C1104" s="304"/>
      <c r="D1104" s="426"/>
      <c r="I1104" s="390"/>
    </row>
    <row r="1105" spans="1:9">
      <c r="A1105" s="304"/>
      <c r="B1105" s="385" t="s">
        <v>2765</v>
      </c>
      <c r="C1105" s="304"/>
      <c r="D1105" s="1287" t="s">
        <v>635</v>
      </c>
      <c r="E1105" s="1287"/>
      <c r="F1105" s="1287"/>
      <c r="I1105" s="390"/>
    </row>
    <row r="1106" spans="1:9">
      <c r="A1106" s="304"/>
      <c r="B1106" s="304"/>
      <c r="C1106" s="304"/>
      <c r="D1106" s="1287"/>
      <c r="E1106" s="1287"/>
      <c r="F1106" s="1287"/>
      <c r="I1106" s="390"/>
    </row>
    <row r="1107" spans="1:9">
      <c r="A1107" s="304"/>
      <c r="B1107" s="304"/>
      <c r="C1107" s="304"/>
      <c r="D1107" s="426"/>
      <c r="I1107" s="390"/>
    </row>
    <row r="1108" spans="1:9">
      <c r="A1108" s="304"/>
      <c r="B1108" s="385" t="s">
        <v>2764</v>
      </c>
      <c r="C1108" s="304"/>
      <c r="D1108" s="1287" t="s">
        <v>636</v>
      </c>
      <c r="E1108" s="1287"/>
      <c r="F1108" s="1287"/>
      <c r="I1108" s="390"/>
    </row>
    <row r="1109" spans="1:9">
      <c r="A1109" s="304"/>
      <c r="B1109" s="304"/>
      <c r="C1109" s="304"/>
      <c r="D1109" s="1287"/>
      <c r="E1109" s="1287"/>
      <c r="F1109" s="1287"/>
      <c r="I1109" s="390"/>
    </row>
    <row r="1110" spans="1:9">
      <c r="A1110" s="304"/>
      <c r="B1110" s="304"/>
      <c r="C1110" s="304"/>
      <c r="D1110" s="1287"/>
      <c r="E1110" s="1287"/>
      <c r="F1110" s="1287"/>
      <c r="I1110" s="390"/>
    </row>
    <row r="1111" spans="1:9">
      <c r="A1111" s="304"/>
      <c r="B1111" s="304"/>
      <c r="C1111" s="304"/>
      <c r="D1111" s="1287"/>
      <c r="E1111" s="1287"/>
      <c r="F1111" s="1287"/>
      <c r="I1111" s="390"/>
    </row>
    <row r="1112" spans="1:9">
      <c r="A1112" s="304"/>
      <c r="B1112" s="304"/>
      <c r="C1112" s="304"/>
      <c r="D1112" s="1287"/>
      <c r="E1112" s="1287"/>
      <c r="F1112" s="1287"/>
      <c r="I1112" s="390"/>
    </row>
    <row r="1113" spans="1:9">
      <c r="A1113" s="304"/>
      <c r="B1113" s="304"/>
      <c r="C1113" s="304"/>
      <c r="D1113" s="1287"/>
      <c r="E1113" s="1287"/>
      <c r="F1113" s="1287"/>
      <c r="I1113" s="390"/>
    </row>
    <row r="1114" spans="1:9" ht="12.5">
      <c r="A1114" s="304"/>
      <c r="B1114" s="304"/>
      <c r="C1114" s="304"/>
      <c r="D1114" s="426"/>
      <c r="I1114" s="380"/>
    </row>
    <row r="1115" spans="1:9">
      <c r="A1115" s="304"/>
      <c r="B1115" s="385" t="s">
        <v>2765</v>
      </c>
      <c r="C1115" s="304"/>
      <c r="D1115" s="1287" t="s">
        <v>637</v>
      </c>
      <c r="E1115" s="1287"/>
      <c r="F1115" s="1287"/>
      <c r="I1115" s="390"/>
    </row>
    <row r="1116" spans="1:9">
      <c r="A1116" s="304"/>
      <c r="B1116" s="304"/>
      <c r="C1116" s="304"/>
      <c r="D1116" s="1287"/>
      <c r="E1116" s="1287"/>
      <c r="F1116" s="1287"/>
      <c r="I1116" s="390"/>
    </row>
    <row r="1117" spans="1:9">
      <c r="A1117" s="304"/>
      <c r="B1117" s="304"/>
      <c r="C1117" s="304"/>
      <c r="D1117" s="1287"/>
      <c r="E1117" s="1287"/>
      <c r="F1117" s="1287"/>
      <c r="I1117" s="390"/>
    </row>
    <row r="1118" spans="1:9">
      <c r="A1118" s="304"/>
      <c r="B1118" s="304"/>
      <c r="C1118" s="304"/>
      <c r="D1118" s="426"/>
      <c r="I1118" s="390"/>
    </row>
    <row r="1119" spans="1:9">
      <c r="A1119" s="304"/>
      <c r="B1119" s="385" t="s">
        <v>2765</v>
      </c>
      <c r="C1119" s="304"/>
      <c r="D1119" s="1227" t="s">
        <v>638</v>
      </c>
      <c r="E1119" s="1227"/>
      <c r="F1119" s="1227"/>
      <c r="I1119" s="390"/>
    </row>
    <row r="1120" spans="1:9">
      <c r="A1120" s="304"/>
      <c r="B1120" s="304"/>
      <c r="C1120" s="304"/>
      <c r="D1120" s="1227"/>
      <c r="E1120" s="1227"/>
      <c r="F1120" s="1227"/>
      <c r="I1120" s="390"/>
    </row>
    <row r="1121" spans="1:9">
      <c r="A1121" s="304"/>
      <c r="B1121" s="304"/>
      <c r="C1121" s="304"/>
      <c r="D1121" s="1227"/>
      <c r="E1121" s="1227"/>
      <c r="F1121" s="1227"/>
      <c r="I1121" s="390"/>
    </row>
    <row r="1122" spans="1:9">
      <c r="A1122" s="304"/>
      <c r="B1122" s="304"/>
      <c r="C1122" s="304"/>
      <c r="D1122" s="873"/>
      <c r="E1122" s="873"/>
      <c r="F1122" s="873"/>
      <c r="I1122" s="390"/>
    </row>
    <row r="1123" spans="1:9" ht="15.75" customHeight="1">
      <c r="A1123" s="304"/>
      <c r="B1123" s="385" t="s">
        <v>2765</v>
      </c>
      <c r="C1123" s="304"/>
      <c r="D1123" s="1221" t="s">
        <v>639</v>
      </c>
      <c r="E1123" s="1221"/>
      <c r="F1123" s="1221"/>
      <c r="I1123" s="390"/>
    </row>
    <row r="1124" spans="1:9">
      <c r="A1124" s="304"/>
      <c r="B1124" s="304"/>
      <c r="C1124" s="304"/>
      <c r="D1124" s="1221"/>
      <c r="E1124" s="1221"/>
      <c r="F1124" s="1221"/>
      <c r="I1124" s="390"/>
    </row>
    <row r="1125" spans="1:9">
      <c r="A1125" s="304"/>
      <c r="B1125" s="304"/>
      <c r="C1125" s="304"/>
      <c r="D1125" s="1221"/>
      <c r="E1125" s="1221"/>
      <c r="F1125" s="1221"/>
      <c r="I1125" s="390"/>
    </row>
    <row r="1126" spans="1:9">
      <c r="A1126" s="304"/>
      <c r="B1126" s="304"/>
      <c r="C1126" s="304"/>
      <c r="D1126" s="1221"/>
      <c r="E1126" s="1221"/>
      <c r="F1126" s="1221"/>
      <c r="I1126" s="390"/>
    </row>
    <row r="1127" spans="1:9">
      <c r="A1127" s="304"/>
      <c r="B1127" s="304"/>
      <c r="C1127" s="304"/>
      <c r="D1127" s="873"/>
      <c r="E1127" s="873"/>
      <c r="F1127" s="873"/>
      <c r="I1127" s="390"/>
    </row>
    <row r="1128" spans="1:9" ht="12.5">
      <c r="A1128" s="304"/>
      <c r="B1128" s="304"/>
      <c r="C1128" s="304"/>
      <c r="I1128" s="1047"/>
    </row>
    <row r="1129" spans="1:9">
      <c r="A1129" s="304"/>
      <c r="B1129" s="304"/>
      <c r="C1129" s="304"/>
      <c r="I1129" s="390"/>
    </row>
    <row r="1130" spans="1:9">
      <c r="A1130" s="304"/>
      <c r="B1130" s="304"/>
      <c r="C1130" s="304"/>
      <c r="I1130" s="390"/>
    </row>
    <row r="1131" spans="1:9">
      <c r="A1131" s="304"/>
      <c r="B1131" s="304"/>
      <c r="C1131" s="304"/>
    </row>
    <row r="1132" spans="1:9">
      <c r="A1132" s="304"/>
      <c r="B1132" s="304"/>
      <c r="C1132" s="304"/>
    </row>
    <row r="1133" spans="1:9">
      <c r="A1133" s="304"/>
      <c r="B1133" s="304"/>
      <c r="C1133" s="304"/>
    </row>
    <row r="1134" spans="1:9">
      <c r="A1134" s="304"/>
      <c r="B1134" s="304"/>
      <c r="C1134" s="304"/>
    </row>
    <row r="1135" spans="1:9">
      <c r="A1135" s="304"/>
      <c r="B1135" s="304"/>
      <c r="C1135" s="304"/>
    </row>
    <row r="1136" spans="1:9">
      <c r="A1136" s="304"/>
      <c r="B1136" s="304"/>
      <c r="C1136" s="304"/>
    </row>
    <row r="1137" spans="1:3">
      <c r="A1137" s="304"/>
      <c r="B1137" s="304"/>
      <c r="C1137" s="304"/>
    </row>
    <row r="1138" spans="1:3">
      <c r="A1138" s="304"/>
      <c r="B1138" s="304"/>
      <c r="C1138" s="304"/>
    </row>
    <row r="1139" spans="1:3">
      <c r="A1139" s="304"/>
      <c r="B1139" s="304"/>
      <c r="C1139" s="304"/>
    </row>
    <row r="1140" spans="1:3">
      <c r="A1140" s="304"/>
      <c r="B1140" s="304"/>
      <c r="C1140" s="304"/>
    </row>
    <row r="1141" spans="1:3">
      <c r="A1141" s="304"/>
      <c r="B1141" s="304"/>
      <c r="C1141" s="304"/>
    </row>
    <row r="1142" spans="1:3">
      <c r="A1142" s="304"/>
      <c r="B1142" s="304"/>
      <c r="C1142" s="304"/>
    </row>
    <row r="1143" spans="1:3">
      <c r="A1143" s="304"/>
      <c r="B1143" s="304"/>
      <c r="C1143" s="304"/>
    </row>
    <row r="1144" spans="1:3">
      <c r="A1144" s="304"/>
      <c r="B1144" s="304"/>
      <c r="C1144" s="304"/>
    </row>
    <row r="1145" spans="1:3">
      <c r="A1145" s="304"/>
      <c r="B1145" s="304"/>
      <c r="C1145" s="304"/>
    </row>
    <row r="1146" spans="1:3"/>
    <row r="1147" spans="1:3"/>
    <row r="1148" spans="1:3"/>
    <row r="1149" spans="1:3"/>
    <row r="1150" spans="1:3"/>
    <row r="1151" spans="1:3"/>
    <row r="1152" spans="1:3"/>
    <row r="1153" spans="1:3">
      <c r="A1153" s="304"/>
      <c r="B1153" s="304"/>
      <c r="C1153" s="304"/>
    </row>
    <row r="1154" spans="1:3">
      <c r="A1154" s="304"/>
      <c r="B1154" s="304"/>
      <c r="C1154" s="304"/>
    </row>
    <row r="1155" spans="1:3">
      <c r="A1155" s="304"/>
      <c r="B1155" s="304"/>
      <c r="C1155" s="304"/>
    </row>
    <row r="1156" spans="1:3">
      <c r="A1156" s="304"/>
      <c r="B1156" s="304"/>
      <c r="C1156" s="304"/>
    </row>
    <row r="1157" spans="1:3">
      <c r="A1157" s="304"/>
      <c r="B1157" s="304"/>
      <c r="C1157" s="304"/>
    </row>
    <row r="1158" spans="1:3">
      <c r="A1158" s="304"/>
      <c r="B1158" s="304"/>
      <c r="C1158" s="304"/>
    </row>
    <row r="1159" spans="1:3">
      <c r="A1159" s="304"/>
      <c r="B1159" s="304"/>
      <c r="C1159" s="304"/>
    </row>
    <row r="1160" spans="1:3">
      <c r="A1160" s="304"/>
      <c r="B1160" s="304"/>
      <c r="C1160" s="304"/>
    </row>
    <row r="1161" spans="1:3">
      <c r="A1161" s="304"/>
      <c r="B1161" s="304"/>
      <c r="C1161" s="304"/>
    </row>
    <row r="1162" spans="1:3">
      <c r="A1162" s="304"/>
      <c r="B1162" s="304"/>
      <c r="C1162" s="304"/>
    </row>
    <row r="1163" spans="1:3">
      <c r="A1163" s="304"/>
      <c r="B1163" s="304"/>
      <c r="C1163" s="304"/>
    </row>
    <row r="1164" spans="1:3">
      <c r="A1164" s="304"/>
      <c r="B1164" s="304"/>
      <c r="C1164" s="304"/>
    </row>
    <row r="1165" spans="1:3">
      <c r="A1165" s="304"/>
      <c r="B1165" s="304"/>
      <c r="C1165" s="304"/>
    </row>
    <row r="1166" spans="1:3">
      <c r="A1166" s="304"/>
      <c r="B1166" s="304"/>
      <c r="C1166" s="304"/>
    </row>
    <row r="1167" spans="1:3">
      <c r="A1167" s="304"/>
      <c r="B1167" s="304"/>
      <c r="C1167" s="304"/>
    </row>
    <row r="1168" spans="1:3">
      <c r="A1168" s="304"/>
      <c r="B1168" s="304"/>
      <c r="C1168" s="304"/>
    </row>
    <row r="1169" spans="1:3">
      <c r="A1169" s="304"/>
      <c r="B1169" s="304"/>
      <c r="C1169" s="304"/>
    </row>
    <row r="1170" spans="1:3">
      <c r="A1170" s="304"/>
      <c r="B1170" s="304"/>
      <c r="C1170" s="304"/>
    </row>
    <row r="1171" spans="1:3">
      <c r="A1171" s="304"/>
      <c r="B1171" s="304"/>
      <c r="C1171" s="304"/>
    </row>
    <row r="1172" spans="1:3">
      <c r="A1172" s="304"/>
      <c r="B1172" s="304"/>
      <c r="C1172" s="304"/>
    </row>
    <row r="1173" spans="1:3">
      <c r="A1173" s="304"/>
      <c r="B1173" s="304"/>
      <c r="C1173" s="304"/>
    </row>
    <row r="1174" spans="1:3">
      <c r="A1174" s="304"/>
      <c r="B1174" s="304"/>
      <c r="C1174" s="304"/>
    </row>
    <row r="1175" spans="1:3">
      <c r="A1175" s="304"/>
      <c r="B1175" s="304"/>
      <c r="C1175" s="304"/>
    </row>
    <row r="1176" spans="1:3">
      <c r="A1176" s="304"/>
      <c r="B1176" s="304"/>
      <c r="C1176" s="304"/>
    </row>
    <row r="1177" spans="1:3">
      <c r="A1177" s="304"/>
      <c r="B1177" s="304"/>
      <c r="C1177" s="304"/>
    </row>
    <row r="1178" spans="1:3">
      <c r="A1178" s="304"/>
      <c r="B1178" s="304"/>
      <c r="C1178" s="304"/>
    </row>
    <row r="1179" spans="1:3">
      <c r="A1179" s="304"/>
      <c r="B1179" s="304"/>
      <c r="C1179" s="304"/>
    </row>
    <row r="1180" spans="1:3">
      <c r="A1180" s="304"/>
      <c r="B1180" s="304"/>
      <c r="C1180" s="304"/>
    </row>
    <row r="1181" spans="1:3">
      <c r="A1181" s="304"/>
      <c r="B1181" s="304"/>
      <c r="C1181" s="304"/>
    </row>
    <row r="1182" spans="1:3">
      <c r="A1182" s="304"/>
      <c r="B1182" s="304"/>
      <c r="C1182" s="304"/>
    </row>
    <row r="1183" spans="1:3">
      <c r="A1183" s="304"/>
      <c r="B1183" s="304"/>
      <c r="C1183" s="304"/>
    </row>
    <row r="1184" spans="1:3">
      <c r="A1184" s="304"/>
      <c r="B1184" s="304"/>
      <c r="C1184" s="304"/>
    </row>
    <row r="1185" spans="1:3">
      <c r="A1185" s="304"/>
      <c r="B1185" s="304"/>
      <c r="C1185" s="304"/>
    </row>
    <row r="1186" spans="1:3">
      <c r="A1186" s="304"/>
      <c r="B1186" s="304"/>
      <c r="C1186" s="304"/>
    </row>
    <row r="1187" spans="1:3">
      <c r="A1187" s="304"/>
      <c r="B1187" s="304"/>
      <c r="C1187" s="304"/>
    </row>
    <row r="1188" spans="1:3">
      <c r="A1188" s="304"/>
      <c r="B1188" s="304"/>
      <c r="C1188" s="304"/>
    </row>
    <row r="1189" spans="1:3">
      <c r="A1189" s="304"/>
      <c r="B1189" s="304"/>
      <c r="C1189" s="304"/>
    </row>
    <row r="1190" spans="1:3">
      <c r="A1190" s="304"/>
      <c r="B1190" s="304"/>
      <c r="C1190" s="304"/>
    </row>
    <row r="1191" spans="1:3">
      <c r="A1191" s="304"/>
      <c r="B1191" s="304"/>
      <c r="C1191" s="304"/>
    </row>
    <row r="1192" spans="1:3">
      <c r="A1192" s="304"/>
      <c r="B1192" s="304"/>
      <c r="C1192" s="304"/>
    </row>
    <row r="1193" spans="1:3">
      <c r="A1193" s="304"/>
      <c r="B1193" s="304"/>
      <c r="C1193" s="304"/>
    </row>
    <row r="1194" spans="1:3">
      <c r="A1194" s="304"/>
      <c r="B1194" s="304"/>
      <c r="C1194" s="304"/>
    </row>
    <row r="1195" spans="1:3">
      <c r="A1195" s="304"/>
      <c r="B1195" s="304"/>
      <c r="C1195" s="304"/>
    </row>
    <row r="1196" spans="1:3">
      <c r="A1196" s="304"/>
      <c r="B1196" s="304"/>
      <c r="C1196" s="304"/>
    </row>
    <row r="1197" spans="1:3">
      <c r="A1197" s="304"/>
      <c r="B1197" s="304"/>
      <c r="C1197" s="304"/>
    </row>
    <row r="1198" spans="1:3">
      <c r="A1198" s="304"/>
      <c r="B1198" s="304"/>
      <c r="C1198" s="304"/>
    </row>
    <row r="1199" spans="1:3">
      <c r="A1199" s="304"/>
      <c r="B1199" s="304"/>
      <c r="C1199" s="304"/>
    </row>
    <row r="1200" spans="1:3">
      <c r="A1200" s="304"/>
      <c r="B1200" s="304"/>
      <c r="C1200" s="304"/>
    </row>
    <row r="1201" spans="1:3">
      <c r="A1201" s="304"/>
      <c r="B1201" s="304"/>
      <c r="C1201" s="304"/>
    </row>
    <row r="1202" spans="1:3">
      <c r="A1202" s="304"/>
      <c r="B1202" s="304"/>
      <c r="C1202" s="304"/>
    </row>
    <row r="1203" spans="1:3">
      <c r="A1203" s="304"/>
      <c r="B1203" s="304"/>
      <c r="C1203" s="304"/>
    </row>
    <row r="1204" spans="1:3">
      <c r="A1204" s="304"/>
      <c r="B1204" s="304"/>
      <c r="C1204" s="304"/>
    </row>
    <row r="1205" spans="1:3">
      <c r="A1205" s="304"/>
      <c r="B1205" s="304"/>
      <c r="C1205" s="304"/>
    </row>
    <row r="1206" spans="1:3">
      <c r="A1206" s="304"/>
      <c r="B1206" s="304"/>
      <c r="C1206" s="304"/>
    </row>
    <row r="1207" spans="1:3">
      <c r="A1207" s="304"/>
      <c r="B1207" s="304"/>
      <c r="C1207" s="304"/>
    </row>
    <row r="1208" spans="1:3">
      <c r="A1208" s="304"/>
      <c r="B1208" s="304"/>
      <c r="C1208" s="304"/>
    </row>
    <row r="1209" spans="1:3">
      <c r="A1209" s="304"/>
      <c r="B1209" s="304"/>
      <c r="C1209" s="304"/>
    </row>
    <row r="1210" spans="1:3">
      <c r="A1210" s="304"/>
      <c r="B1210" s="304"/>
      <c r="C1210" s="304"/>
    </row>
    <row r="1211" spans="1:3">
      <c r="A1211" s="304"/>
      <c r="B1211" s="304"/>
      <c r="C1211" s="304"/>
    </row>
    <row r="1212" spans="1:3">
      <c r="A1212" s="304"/>
      <c r="B1212" s="304"/>
      <c r="C1212" s="304"/>
    </row>
    <row r="1213" spans="1:3">
      <c r="A1213" s="304"/>
      <c r="B1213" s="304"/>
      <c r="C1213" s="304"/>
    </row>
    <row r="1214" spans="1:3">
      <c r="A1214" s="304"/>
      <c r="B1214" s="304"/>
      <c r="C1214" s="304"/>
    </row>
    <row r="1215" spans="1:3">
      <c r="A1215" s="304"/>
      <c r="B1215" s="304"/>
      <c r="C1215" s="304"/>
    </row>
    <row r="1216" spans="1:3">
      <c r="A1216" s="304"/>
      <c r="B1216" s="304"/>
      <c r="C1216" s="304"/>
    </row>
    <row r="1217" spans="1:3">
      <c r="A1217" s="304"/>
      <c r="B1217" s="304"/>
      <c r="C1217" s="304"/>
    </row>
    <row r="1218" spans="1:3">
      <c r="A1218" s="304"/>
      <c r="B1218" s="304"/>
      <c r="C1218" s="304"/>
    </row>
    <row r="1219" spans="1:3">
      <c r="A1219" s="304"/>
      <c r="B1219" s="304"/>
      <c r="C1219" s="304"/>
    </row>
    <row r="1220" spans="1:3">
      <c r="A1220" s="304"/>
      <c r="B1220" s="304"/>
      <c r="C1220" s="304"/>
    </row>
    <row r="1221" spans="1:3">
      <c r="A1221" s="304"/>
      <c r="B1221" s="304"/>
      <c r="C1221" s="304"/>
    </row>
    <row r="1222" spans="1:3">
      <c r="A1222" s="304"/>
      <c r="B1222" s="304"/>
      <c r="C1222" s="304"/>
    </row>
    <row r="1223" spans="1:3">
      <c r="A1223" s="304"/>
      <c r="B1223" s="304"/>
      <c r="C1223" s="304"/>
    </row>
    <row r="1224" spans="1:3">
      <c r="A1224" s="304"/>
      <c r="B1224" s="304"/>
      <c r="C1224" s="304"/>
    </row>
    <row r="1225" spans="1:3">
      <c r="A1225" s="304"/>
      <c r="B1225" s="304"/>
      <c r="C1225" s="304"/>
    </row>
    <row r="1226" spans="1:3">
      <c r="A1226" s="304"/>
      <c r="B1226" s="304"/>
      <c r="C1226" s="304"/>
    </row>
    <row r="1227" spans="1:3">
      <c r="A1227" s="304"/>
      <c r="B1227" s="304"/>
      <c r="C1227" s="304"/>
    </row>
    <row r="1228" spans="1:3">
      <c r="A1228" s="304"/>
      <c r="B1228" s="304"/>
      <c r="C1228" s="304"/>
    </row>
    <row r="1229" spans="1:3">
      <c r="A1229" s="304"/>
      <c r="B1229" s="304"/>
      <c r="C1229" s="304"/>
    </row>
    <row r="1230" spans="1:3">
      <c r="A1230" s="304"/>
      <c r="B1230" s="304"/>
      <c r="C1230" s="304"/>
    </row>
    <row r="1231" spans="1:3">
      <c r="A1231" s="304"/>
      <c r="B1231" s="304"/>
      <c r="C1231" s="304"/>
    </row>
    <row r="1232" spans="1:3">
      <c r="A1232" s="304"/>
      <c r="B1232" s="304"/>
      <c r="C1232" s="304"/>
    </row>
    <row r="1233" spans="1:3">
      <c r="A1233" s="304"/>
      <c r="B1233" s="304"/>
      <c r="C1233" s="304"/>
    </row>
    <row r="1234" spans="1:3">
      <c r="A1234" s="304"/>
      <c r="B1234" s="304"/>
      <c r="C1234" s="304"/>
    </row>
    <row r="1235" spans="1:3">
      <c r="A1235" s="304"/>
      <c r="B1235" s="304"/>
      <c r="C1235" s="304"/>
    </row>
    <row r="1236" spans="1:3">
      <c r="A1236" s="304"/>
      <c r="B1236" s="304"/>
      <c r="C1236" s="304"/>
    </row>
    <row r="1237" spans="1:3">
      <c r="A1237" s="304"/>
      <c r="B1237" s="304"/>
      <c r="C1237" s="304"/>
    </row>
    <row r="1238" spans="1:3">
      <c r="A1238" s="304"/>
      <c r="B1238" s="304"/>
      <c r="C1238" s="304"/>
    </row>
    <row r="1239" spans="1:3">
      <c r="A1239" s="304"/>
      <c r="B1239" s="304"/>
      <c r="C1239" s="304"/>
    </row>
    <row r="1240" spans="1:3">
      <c r="A1240" s="304"/>
      <c r="B1240" s="304"/>
      <c r="C1240" s="304"/>
    </row>
    <row r="1241" spans="1:3">
      <c r="A1241" s="304"/>
      <c r="B1241" s="304"/>
      <c r="C1241" s="304"/>
    </row>
    <row r="1242" spans="1:3">
      <c r="A1242" s="304"/>
      <c r="B1242" s="304"/>
      <c r="C1242" s="304"/>
    </row>
    <row r="1243" spans="1:3">
      <c r="A1243" s="304"/>
      <c r="B1243" s="304"/>
      <c r="C1243" s="304"/>
    </row>
    <row r="1244" spans="1:3">
      <c r="A1244" s="304"/>
      <c r="B1244" s="304"/>
      <c r="C1244" s="304"/>
    </row>
    <row r="1245" spans="1:3">
      <c r="A1245" s="304"/>
      <c r="B1245" s="304"/>
      <c r="C1245" s="304"/>
    </row>
    <row r="1246" spans="1:3">
      <c r="A1246" s="304"/>
      <c r="B1246" s="304"/>
      <c r="C1246" s="304"/>
    </row>
    <row r="1247" spans="1:3">
      <c r="A1247" s="304"/>
      <c r="B1247" s="304"/>
      <c r="C1247" s="304"/>
    </row>
    <row r="1248" spans="1:3">
      <c r="A1248" s="304"/>
      <c r="B1248" s="304"/>
      <c r="C1248" s="304"/>
    </row>
    <row r="1249" spans="1:3">
      <c r="A1249" s="304"/>
      <c r="B1249" s="304"/>
      <c r="C1249" s="304"/>
    </row>
    <row r="1250" spans="1:3">
      <c r="A1250" s="304"/>
      <c r="B1250" s="304"/>
      <c r="C1250" s="304"/>
    </row>
    <row r="1251" spans="1:3">
      <c r="A1251" s="304"/>
      <c r="B1251" s="304"/>
      <c r="C1251" s="304"/>
    </row>
    <row r="1252" spans="1:3">
      <c r="A1252" s="304"/>
      <c r="B1252" s="304"/>
      <c r="C1252" s="304"/>
    </row>
    <row r="1253" spans="1:3">
      <c r="A1253" s="304"/>
      <c r="B1253" s="304"/>
      <c r="C1253" s="304"/>
    </row>
    <row r="1254" spans="1:3">
      <c r="A1254" s="304"/>
      <c r="B1254" s="304"/>
      <c r="C1254" s="304"/>
    </row>
    <row r="1255" spans="1:3">
      <c r="A1255" s="304"/>
      <c r="B1255" s="304"/>
      <c r="C1255" s="304"/>
    </row>
    <row r="1256" spans="1:3">
      <c r="A1256" s="304"/>
      <c r="B1256" s="304"/>
      <c r="C1256" s="304"/>
    </row>
    <row r="1257" spans="1:3">
      <c r="A1257" s="304"/>
      <c r="B1257" s="304"/>
      <c r="C1257" s="304"/>
    </row>
    <row r="1258" spans="1:3">
      <c r="A1258" s="304"/>
      <c r="B1258" s="304"/>
      <c r="C1258" s="304"/>
    </row>
    <row r="1259" spans="1:3">
      <c r="A1259" s="304"/>
      <c r="B1259" s="304"/>
      <c r="C1259" s="304"/>
    </row>
    <row r="1260" spans="1:3">
      <c r="A1260" s="304"/>
      <c r="B1260" s="304"/>
      <c r="C1260" s="304"/>
    </row>
    <row r="1261" spans="1:3">
      <c r="A1261" s="304"/>
      <c r="B1261" s="304"/>
      <c r="C1261" s="304"/>
    </row>
    <row r="1262" spans="1:3">
      <c r="A1262" s="304"/>
      <c r="B1262" s="304"/>
      <c r="C1262" s="304"/>
    </row>
    <row r="1263" spans="1:3">
      <c r="A1263" s="304"/>
      <c r="B1263" s="304"/>
      <c r="C1263" s="304"/>
    </row>
    <row r="1264" spans="1:3">
      <c r="A1264" s="304"/>
      <c r="B1264" s="304"/>
      <c r="C1264" s="304"/>
    </row>
    <row r="1265" spans="1:3">
      <c r="A1265" s="304"/>
      <c r="B1265" s="304"/>
      <c r="C1265" s="304"/>
    </row>
    <row r="1266" spans="1:3">
      <c r="A1266" s="304"/>
      <c r="B1266" s="304"/>
      <c r="C1266" s="304"/>
    </row>
    <row r="1267" spans="1:3">
      <c r="A1267" s="304"/>
      <c r="B1267" s="304"/>
      <c r="C1267" s="304"/>
    </row>
    <row r="1268" spans="1:3">
      <c r="A1268" s="304"/>
      <c r="B1268" s="304"/>
      <c r="C1268" s="304"/>
    </row>
    <row r="1269" spans="1:3">
      <c r="A1269" s="304"/>
      <c r="B1269" s="304"/>
      <c r="C1269" s="304"/>
    </row>
    <row r="1270" spans="1:3">
      <c r="A1270" s="304"/>
      <c r="B1270" s="304"/>
      <c r="C1270" s="304"/>
    </row>
    <row r="1271" spans="1:3">
      <c r="A1271" s="304"/>
      <c r="B1271" s="304"/>
      <c r="C1271" s="304"/>
    </row>
    <row r="1272" spans="1:3">
      <c r="A1272" s="304"/>
      <c r="B1272" s="304"/>
      <c r="C1272" s="304"/>
    </row>
    <row r="1273" spans="1:3">
      <c r="A1273" s="304"/>
      <c r="B1273" s="304"/>
      <c r="C1273" s="304"/>
    </row>
    <row r="1274" spans="1:3">
      <c r="A1274" s="304"/>
      <c r="B1274" s="304"/>
      <c r="C1274" s="304"/>
    </row>
    <row r="1275" spans="1:3">
      <c r="A1275" s="304"/>
      <c r="B1275" s="304"/>
      <c r="C1275" s="304"/>
    </row>
    <row r="1276" spans="1:3">
      <c r="A1276" s="304"/>
      <c r="B1276" s="304"/>
      <c r="C1276" s="304"/>
    </row>
    <row r="1277" spans="1:3">
      <c r="A1277" s="304"/>
      <c r="B1277" s="304"/>
      <c r="C1277" s="304"/>
    </row>
    <row r="1278" spans="1:3">
      <c r="A1278" s="304"/>
      <c r="B1278" s="304"/>
      <c r="C1278" s="304"/>
    </row>
    <row r="1279" spans="1:3">
      <c r="A1279" s="304"/>
      <c r="B1279" s="304"/>
      <c r="C1279" s="304"/>
    </row>
    <row r="1280" spans="1:3">
      <c r="A1280" s="304"/>
      <c r="B1280" s="304"/>
      <c r="C1280" s="304"/>
    </row>
    <row r="1281" spans="1:3">
      <c r="A1281" s="304"/>
      <c r="B1281" s="304"/>
      <c r="C1281" s="304"/>
    </row>
    <row r="1282" spans="1:3">
      <c r="A1282" s="304"/>
      <c r="B1282" s="304"/>
      <c r="C1282" s="304"/>
    </row>
    <row r="1283" spans="1:3">
      <c r="A1283" s="304"/>
      <c r="B1283" s="304"/>
      <c r="C1283" s="304"/>
    </row>
    <row r="1284" spans="1:3">
      <c r="A1284" s="304"/>
      <c r="B1284" s="304"/>
      <c r="C1284" s="304"/>
    </row>
    <row r="1285" spans="1:3">
      <c r="A1285" s="304"/>
      <c r="B1285" s="304"/>
      <c r="C1285" s="304"/>
    </row>
    <row r="1286" spans="1:3">
      <c r="A1286" s="304"/>
      <c r="B1286" s="304"/>
      <c r="C1286" s="304"/>
    </row>
    <row r="1287" spans="1:3">
      <c r="A1287" s="304"/>
      <c r="B1287" s="304"/>
      <c r="C1287" s="304"/>
    </row>
    <row r="1288" spans="1:3">
      <c r="A1288" s="304"/>
      <c r="B1288" s="304"/>
      <c r="C1288" s="304"/>
    </row>
    <row r="1289" spans="1:3">
      <c r="A1289" s="304"/>
      <c r="B1289" s="304"/>
      <c r="C1289" s="304"/>
    </row>
    <row r="1290" spans="1:3">
      <c r="A1290" s="304"/>
      <c r="B1290" s="304"/>
      <c r="C1290" s="304"/>
    </row>
    <row r="1291" spans="1:3">
      <c r="A1291" s="304"/>
      <c r="B1291" s="304"/>
      <c r="C1291" s="304"/>
    </row>
    <row r="1292" spans="1:3">
      <c r="A1292" s="304"/>
      <c r="B1292" s="304"/>
      <c r="C1292" s="304"/>
    </row>
    <row r="1293" spans="1:3">
      <c r="A1293" s="304"/>
      <c r="B1293" s="304"/>
      <c r="C1293" s="304"/>
    </row>
    <row r="1294" spans="1:3">
      <c r="A1294" s="304"/>
      <c r="B1294" s="304"/>
      <c r="C1294" s="304"/>
    </row>
    <row r="1295" spans="1:3">
      <c r="A1295" s="304"/>
      <c r="B1295" s="304"/>
      <c r="C1295" s="304"/>
    </row>
    <row r="1296" spans="1:3">
      <c r="A1296" s="304"/>
      <c r="B1296" s="304"/>
      <c r="C1296" s="304"/>
    </row>
    <row r="1297" spans="1:3">
      <c r="A1297" s="304"/>
      <c r="B1297" s="304"/>
      <c r="C1297" s="304"/>
    </row>
    <row r="1298" spans="1:3">
      <c r="A1298" s="304"/>
      <c r="B1298" s="304"/>
      <c r="C1298" s="304"/>
    </row>
    <row r="1299" spans="1:3">
      <c r="A1299" s="304"/>
      <c r="B1299" s="304"/>
      <c r="C1299" s="304"/>
    </row>
    <row r="1300" spans="1:3">
      <c r="A1300" s="304"/>
      <c r="B1300" s="304"/>
      <c r="C1300" s="304"/>
    </row>
    <row r="1301" spans="1:3">
      <c r="A1301" s="304"/>
      <c r="B1301" s="304"/>
      <c r="C1301" s="304"/>
    </row>
    <row r="1302" spans="1:3">
      <c r="A1302" s="304"/>
      <c r="B1302" s="304"/>
      <c r="C1302" s="304"/>
    </row>
    <row r="1303" spans="1:3">
      <c r="A1303" s="304"/>
      <c r="B1303" s="304"/>
      <c r="C1303" s="304"/>
    </row>
    <row r="1304" spans="1:3">
      <c r="A1304" s="304"/>
      <c r="B1304" s="304"/>
      <c r="C1304" s="304"/>
    </row>
    <row r="1305" spans="1:3">
      <c r="A1305" s="304"/>
      <c r="B1305" s="304"/>
      <c r="C1305" s="304"/>
    </row>
    <row r="1306" spans="1:3">
      <c r="A1306" s="304"/>
      <c r="B1306" s="304"/>
      <c r="C1306" s="304"/>
    </row>
    <row r="1307" spans="1:3">
      <c r="A1307" s="304"/>
      <c r="B1307" s="304"/>
      <c r="C1307" s="304"/>
    </row>
    <row r="1308" spans="1:3">
      <c r="A1308" s="304"/>
      <c r="B1308" s="304"/>
      <c r="C1308" s="304"/>
    </row>
    <row r="1309" spans="1:3">
      <c r="A1309" s="304"/>
      <c r="B1309" s="304"/>
      <c r="C1309" s="304"/>
    </row>
    <row r="1310" spans="1:3">
      <c r="A1310" s="304"/>
      <c r="B1310" s="304"/>
      <c r="C1310" s="304"/>
    </row>
    <row r="1311" spans="1:3">
      <c r="A1311" s="304"/>
      <c r="B1311" s="304"/>
      <c r="C1311" s="304"/>
    </row>
    <row r="1312" spans="1:3">
      <c r="A1312" s="304"/>
      <c r="B1312" s="304"/>
      <c r="C1312" s="304"/>
    </row>
    <row r="1313" spans="1:3">
      <c r="A1313" s="304"/>
      <c r="B1313" s="304"/>
      <c r="C1313" s="304"/>
    </row>
    <row r="1314" spans="1:3">
      <c r="A1314" s="304"/>
      <c r="B1314" s="304"/>
      <c r="C1314" s="304"/>
    </row>
    <row r="1315" spans="1:3">
      <c r="A1315" s="304"/>
      <c r="B1315" s="304"/>
      <c r="C1315" s="304"/>
    </row>
    <row r="1316" spans="1:3">
      <c r="A1316" s="304"/>
      <c r="B1316" s="304"/>
      <c r="C1316" s="304"/>
    </row>
    <row r="1317" spans="1:3">
      <c r="A1317" s="304"/>
      <c r="B1317" s="304"/>
      <c r="C1317" s="304"/>
    </row>
    <row r="1318" spans="1:3">
      <c r="A1318" s="304"/>
      <c r="B1318" s="304"/>
      <c r="C1318" s="304"/>
    </row>
    <row r="1319" spans="1:3">
      <c r="A1319" s="304"/>
      <c r="B1319" s="304"/>
      <c r="C1319" s="304"/>
    </row>
    <row r="1320" spans="1:3">
      <c r="A1320" s="304"/>
      <c r="B1320" s="304"/>
      <c r="C1320" s="304"/>
    </row>
    <row r="1321" spans="1:3">
      <c r="A1321" s="304"/>
      <c r="B1321" s="304"/>
      <c r="C1321" s="304"/>
    </row>
    <row r="1322" spans="1:3">
      <c r="A1322" s="304"/>
      <c r="B1322" s="304"/>
      <c r="C1322" s="304"/>
    </row>
    <row r="1323" spans="1:3">
      <c r="A1323" s="304"/>
      <c r="B1323" s="304"/>
      <c r="C1323" s="304"/>
    </row>
    <row r="1324" spans="1:3">
      <c r="A1324" s="304"/>
      <c r="B1324" s="304"/>
      <c r="C1324" s="304"/>
    </row>
    <row r="1325" spans="1:3">
      <c r="A1325" s="304"/>
      <c r="B1325" s="304"/>
      <c r="C1325" s="304"/>
    </row>
    <row r="1326" spans="1:3">
      <c r="A1326" s="304"/>
      <c r="B1326" s="304"/>
      <c r="C1326" s="304"/>
    </row>
    <row r="1327" spans="1:3">
      <c r="A1327" s="304"/>
      <c r="B1327" s="304"/>
      <c r="C1327" s="304"/>
    </row>
    <row r="1328" spans="1:3">
      <c r="A1328" s="304"/>
      <c r="B1328" s="304"/>
      <c r="C1328" s="304"/>
    </row>
    <row r="1329" spans="1:3">
      <c r="A1329" s="304"/>
      <c r="B1329" s="304"/>
      <c r="C1329" s="304"/>
    </row>
    <row r="1330" spans="1:3">
      <c r="A1330" s="304"/>
      <c r="B1330" s="304"/>
      <c r="C1330" s="304"/>
    </row>
    <row r="1331" spans="1:3">
      <c r="A1331" s="304"/>
      <c r="B1331" s="304"/>
      <c r="C1331" s="304"/>
    </row>
    <row r="1332" spans="1:3">
      <c r="A1332" s="304"/>
      <c r="B1332" s="304"/>
      <c r="C1332" s="304"/>
    </row>
    <row r="1333" spans="1:3">
      <c r="A1333" s="304"/>
      <c r="B1333" s="304"/>
      <c r="C1333" s="304"/>
    </row>
    <row r="1334" spans="1:3">
      <c r="A1334" s="304"/>
      <c r="B1334" s="304"/>
      <c r="C1334" s="304"/>
    </row>
    <row r="1335" spans="1:3">
      <c r="A1335" s="304"/>
      <c r="B1335" s="304"/>
      <c r="C1335" s="304"/>
    </row>
    <row r="1336" spans="1:3">
      <c r="A1336" s="304"/>
      <c r="B1336" s="304"/>
      <c r="C1336" s="304"/>
    </row>
    <row r="1337" spans="1:3">
      <c r="A1337" s="304"/>
      <c r="B1337" s="304"/>
      <c r="C1337" s="304"/>
    </row>
    <row r="1338" spans="1:3">
      <c r="A1338" s="304"/>
      <c r="B1338" s="304"/>
      <c r="C1338" s="304"/>
    </row>
    <row r="1339" spans="1:3">
      <c r="A1339" s="304"/>
      <c r="B1339" s="304"/>
      <c r="C1339" s="304"/>
    </row>
    <row r="1340" spans="1:3">
      <c r="A1340" s="304"/>
      <c r="B1340" s="304"/>
      <c r="C1340" s="304"/>
    </row>
    <row r="1341" spans="1:3">
      <c r="A1341" s="304"/>
      <c r="B1341" s="304"/>
      <c r="C1341" s="304"/>
    </row>
    <row r="1342" spans="1:3">
      <c r="A1342" s="304"/>
      <c r="B1342" s="304"/>
      <c r="C1342" s="304"/>
    </row>
    <row r="1343" spans="1:3">
      <c r="A1343" s="304"/>
      <c r="B1343" s="304"/>
      <c r="C1343" s="304"/>
    </row>
    <row r="1344" spans="1:3">
      <c r="A1344" s="304"/>
      <c r="B1344" s="304"/>
      <c r="C1344" s="304"/>
    </row>
    <row r="1345" spans="1:3">
      <c r="A1345" s="304"/>
      <c r="B1345" s="304"/>
      <c r="C1345" s="304"/>
    </row>
    <row r="1346" spans="1:3">
      <c r="A1346" s="304"/>
      <c r="B1346" s="304"/>
      <c r="C1346" s="304"/>
    </row>
    <row r="1347" spans="1:3">
      <c r="A1347" s="304"/>
      <c r="B1347" s="304"/>
      <c r="C1347" s="304"/>
    </row>
    <row r="1348" spans="1:3">
      <c r="A1348" s="304"/>
      <c r="B1348" s="304"/>
      <c r="C1348" s="304"/>
    </row>
    <row r="1349" spans="1:3">
      <c r="A1349" s="304"/>
      <c r="B1349" s="304"/>
      <c r="C1349" s="304"/>
    </row>
    <row r="1350" spans="1:3">
      <c r="A1350" s="304"/>
      <c r="B1350" s="304"/>
      <c r="C1350" s="304"/>
    </row>
    <row r="1351" spans="1:3">
      <c r="A1351" s="304"/>
      <c r="B1351" s="304"/>
      <c r="C1351" s="304"/>
    </row>
    <row r="1352" spans="1:3">
      <c r="A1352" s="304"/>
      <c r="B1352" s="304"/>
      <c r="C1352" s="304"/>
    </row>
    <row r="1353" spans="1:3">
      <c r="A1353" s="304"/>
      <c r="B1353" s="304"/>
      <c r="C1353" s="304"/>
    </row>
    <row r="1354" spans="1:3">
      <c r="A1354" s="304"/>
      <c r="B1354" s="304"/>
      <c r="C1354" s="304"/>
    </row>
    <row r="1355" spans="1:3">
      <c r="A1355" s="304"/>
      <c r="B1355" s="304"/>
      <c r="C1355" s="304"/>
    </row>
    <row r="1356" spans="1:3">
      <c r="A1356" s="304"/>
      <c r="B1356" s="304"/>
      <c r="C1356" s="304"/>
    </row>
    <row r="1357" spans="1:3">
      <c r="A1357" s="304"/>
      <c r="B1357" s="304"/>
      <c r="C1357" s="304"/>
    </row>
    <row r="1358" spans="1:3">
      <c r="A1358" s="304"/>
      <c r="B1358" s="304"/>
      <c r="C1358" s="304"/>
    </row>
    <row r="1359" spans="1:3">
      <c r="A1359" s="304"/>
      <c r="B1359" s="304"/>
      <c r="C1359" s="304"/>
    </row>
    <row r="1360" spans="1:3">
      <c r="A1360" s="304"/>
      <c r="B1360" s="304"/>
      <c r="C1360" s="304"/>
    </row>
    <row r="1361" spans="1:3">
      <c r="A1361" s="304"/>
      <c r="B1361" s="304"/>
      <c r="C1361" s="304"/>
    </row>
    <row r="1362" spans="1:3">
      <c r="A1362" s="304"/>
      <c r="B1362" s="304"/>
      <c r="C1362" s="304"/>
    </row>
    <row r="1363" spans="1:3">
      <c r="A1363" s="304"/>
      <c r="B1363" s="304"/>
      <c r="C1363" s="304"/>
    </row>
    <row r="1364" spans="1:3">
      <c r="A1364" s="304"/>
      <c r="B1364" s="304"/>
      <c r="C1364" s="304"/>
    </row>
    <row r="1365" spans="1:3">
      <c r="A1365" s="304"/>
      <c r="B1365" s="304"/>
      <c r="C1365" s="304"/>
    </row>
    <row r="1366" spans="1:3">
      <c r="A1366" s="304"/>
      <c r="B1366" s="304"/>
      <c r="C1366" s="304"/>
    </row>
    <row r="1367" spans="1:3">
      <c r="A1367" s="304"/>
      <c r="B1367" s="304"/>
      <c r="C1367" s="304"/>
    </row>
    <row r="1368" spans="1:3">
      <c r="A1368" s="304"/>
      <c r="B1368" s="304"/>
      <c r="C1368" s="304"/>
    </row>
    <row r="1369" spans="1:3">
      <c r="A1369" s="304"/>
      <c r="B1369" s="304"/>
      <c r="C1369" s="304"/>
    </row>
    <row r="1370" spans="1:3">
      <c r="A1370" s="304"/>
      <c r="B1370" s="304"/>
      <c r="C1370" s="304"/>
    </row>
    <row r="1371" spans="1:3">
      <c r="A1371" s="304"/>
      <c r="B1371" s="304"/>
      <c r="C1371" s="304"/>
    </row>
    <row r="1372" spans="1:3">
      <c r="A1372" s="304"/>
      <c r="B1372" s="304"/>
      <c r="C1372" s="304"/>
    </row>
    <row r="1373" spans="1:3">
      <c r="A1373" s="304"/>
      <c r="B1373" s="304"/>
      <c r="C1373" s="304"/>
    </row>
    <row r="1374" spans="1:3">
      <c r="A1374" s="304"/>
      <c r="B1374" s="304"/>
      <c r="C1374" s="304"/>
    </row>
    <row r="1375" spans="1:3">
      <c r="A1375" s="304"/>
      <c r="B1375" s="304"/>
      <c r="C1375" s="304"/>
    </row>
    <row r="1376" spans="1:3">
      <c r="A1376" s="304"/>
      <c r="B1376" s="304"/>
      <c r="C1376" s="304"/>
    </row>
    <row r="1377" spans="1:3">
      <c r="A1377" s="304"/>
      <c r="B1377" s="304"/>
      <c r="C1377" s="304"/>
    </row>
    <row r="1378" spans="1:3">
      <c r="A1378" s="304"/>
      <c r="B1378" s="304"/>
      <c r="C1378" s="304"/>
    </row>
    <row r="1379" spans="1:3">
      <c r="A1379" s="304"/>
      <c r="B1379" s="304"/>
      <c r="C1379" s="304"/>
    </row>
    <row r="1380" spans="1:3">
      <c r="A1380" s="304"/>
      <c r="B1380" s="304"/>
      <c r="C1380" s="304"/>
    </row>
    <row r="1381" spans="1:3">
      <c r="A1381" s="304"/>
      <c r="B1381" s="304"/>
      <c r="C1381" s="304"/>
    </row>
    <row r="1382" spans="1:3">
      <c r="A1382" s="304"/>
      <c r="B1382" s="304"/>
      <c r="C1382" s="304"/>
    </row>
    <row r="1383" spans="1:3">
      <c r="A1383" s="304"/>
      <c r="B1383" s="304"/>
      <c r="C1383" s="304"/>
    </row>
    <row r="1384" spans="1:3">
      <c r="A1384" s="304"/>
      <c r="B1384" s="304"/>
      <c r="C1384" s="304"/>
    </row>
    <row r="1385" spans="1:3">
      <c r="A1385" s="304"/>
      <c r="B1385" s="304"/>
      <c r="C1385" s="304"/>
    </row>
    <row r="1386" spans="1:3">
      <c r="A1386" s="304"/>
      <c r="B1386" s="304"/>
      <c r="C1386" s="304"/>
    </row>
    <row r="1387" spans="1:3">
      <c r="A1387" s="304"/>
      <c r="B1387" s="304"/>
      <c r="C1387" s="304"/>
    </row>
    <row r="1388" spans="1:3">
      <c r="A1388" s="304"/>
      <c r="B1388" s="304"/>
      <c r="C1388" s="304"/>
    </row>
    <row r="1389" spans="1:3">
      <c r="A1389" s="304"/>
      <c r="B1389" s="304"/>
      <c r="C1389" s="304"/>
    </row>
    <row r="1390" spans="1:3">
      <c r="A1390" s="304"/>
      <c r="B1390" s="304"/>
      <c r="C1390" s="304"/>
    </row>
    <row r="1391" spans="1:3">
      <c r="A1391" s="304"/>
      <c r="B1391" s="304"/>
      <c r="C1391" s="304"/>
    </row>
    <row r="1392" spans="1:3">
      <c r="A1392" s="304"/>
      <c r="B1392" s="304"/>
      <c r="C1392" s="304"/>
    </row>
    <row r="1393" spans="1:3"/>
    <row r="1394" spans="1:3"/>
    <row r="1395" spans="1:3">
      <c r="A1395" s="304"/>
      <c r="B1395" s="304"/>
      <c r="C1395" s="304"/>
    </row>
    <row r="1396" spans="1:3">
      <c r="A1396" s="304"/>
      <c r="B1396" s="304"/>
      <c r="C1396" s="304"/>
    </row>
    <row r="1397" spans="1:3">
      <c r="A1397" s="304"/>
      <c r="B1397" s="304"/>
      <c r="C1397" s="304"/>
    </row>
    <row r="1398" spans="1:3">
      <c r="A1398" s="304"/>
      <c r="B1398" s="304"/>
      <c r="C1398" s="304"/>
    </row>
    <row r="1399" spans="1:3">
      <c r="A1399" s="304"/>
      <c r="B1399" s="304"/>
      <c r="C1399" s="304"/>
    </row>
    <row r="1400" spans="1:3">
      <c r="A1400" s="304"/>
      <c r="B1400" s="304"/>
      <c r="C1400" s="304"/>
    </row>
    <row r="1401" spans="1:3">
      <c r="A1401" s="304"/>
      <c r="B1401" s="304"/>
      <c r="C1401" s="304"/>
    </row>
    <row r="1402" spans="1:3">
      <c r="A1402" s="304"/>
      <c r="B1402" s="304"/>
      <c r="C1402" s="304"/>
    </row>
    <row r="1403" spans="1:3">
      <c r="A1403" s="304"/>
      <c r="B1403" s="304"/>
      <c r="C1403" s="304"/>
    </row>
    <row r="1404" spans="1:3">
      <c r="A1404" s="304"/>
      <c r="B1404" s="304"/>
      <c r="C1404" s="304"/>
    </row>
    <row r="1405" spans="1:3">
      <c r="A1405" s="304"/>
      <c r="B1405" s="304"/>
      <c r="C1405" s="304"/>
    </row>
    <row r="1406" spans="1:3">
      <c r="A1406" s="304"/>
      <c r="B1406" s="304"/>
      <c r="C1406" s="304"/>
    </row>
    <row r="1407" spans="1:3">
      <c r="A1407" s="304"/>
      <c r="B1407" s="304"/>
      <c r="C1407" s="304"/>
    </row>
    <row r="1408" spans="1:3">
      <c r="A1408" s="304"/>
      <c r="B1408" s="304"/>
      <c r="C1408" s="304"/>
    </row>
    <row r="1409" spans="1:3">
      <c r="A1409" s="304"/>
      <c r="B1409" s="304"/>
      <c r="C1409" s="304"/>
    </row>
    <row r="1410" spans="1:3">
      <c r="A1410" s="304"/>
      <c r="B1410" s="304"/>
      <c r="C1410" s="304"/>
    </row>
    <row r="1411" spans="1:3">
      <c r="A1411" s="304"/>
      <c r="B1411" s="304"/>
      <c r="C1411" s="304"/>
    </row>
    <row r="1412" spans="1:3">
      <c r="A1412" s="304"/>
      <c r="B1412" s="304"/>
      <c r="C1412" s="304"/>
    </row>
    <row r="1413" spans="1:3">
      <c r="A1413" s="304"/>
      <c r="B1413" s="304"/>
      <c r="C1413" s="304"/>
    </row>
    <row r="1414" spans="1:3">
      <c r="A1414" s="304"/>
      <c r="B1414" s="304"/>
      <c r="C1414" s="304"/>
    </row>
    <row r="1415" spans="1:3">
      <c r="A1415" s="304"/>
      <c r="B1415" s="304"/>
      <c r="C1415" s="304"/>
    </row>
    <row r="1416" spans="1:3">
      <c r="A1416" s="304"/>
      <c r="B1416" s="304"/>
      <c r="C1416" s="304"/>
    </row>
    <row r="1417" spans="1:3">
      <c r="A1417" s="304"/>
      <c r="B1417" s="304"/>
      <c r="C1417" s="304"/>
    </row>
    <row r="1418" spans="1:3">
      <c r="A1418" s="304"/>
      <c r="B1418" s="304"/>
      <c r="C1418" s="304"/>
    </row>
    <row r="1419" spans="1:3">
      <c r="A1419" s="304"/>
      <c r="B1419" s="304"/>
      <c r="C1419" s="304"/>
    </row>
    <row r="1420" spans="1:3">
      <c r="A1420" s="304"/>
      <c r="B1420" s="304"/>
      <c r="C1420" s="304"/>
    </row>
    <row r="1421" spans="1:3">
      <c r="A1421" s="304"/>
      <c r="B1421" s="304"/>
      <c r="C1421" s="304"/>
    </row>
    <row r="1422" spans="1:3">
      <c r="A1422" s="304"/>
      <c r="B1422" s="304"/>
      <c r="C1422" s="304"/>
    </row>
    <row r="1423" spans="1:3">
      <c r="A1423" s="304"/>
      <c r="B1423" s="304"/>
      <c r="C1423" s="304"/>
    </row>
    <row r="1424" spans="1:3">
      <c r="A1424" s="304"/>
      <c r="B1424" s="304"/>
      <c r="C1424" s="304"/>
    </row>
    <row r="1425" spans="1:3">
      <c r="A1425" s="304"/>
      <c r="B1425" s="304"/>
      <c r="C1425" s="304"/>
    </row>
    <row r="1426" spans="1:3">
      <c r="A1426" s="304"/>
      <c r="B1426" s="304"/>
      <c r="C1426" s="304"/>
    </row>
    <row r="1427" spans="1:3">
      <c r="A1427" s="304"/>
      <c r="B1427" s="304"/>
      <c r="C1427" s="304"/>
    </row>
    <row r="1428" spans="1:3">
      <c r="A1428" s="304"/>
      <c r="B1428" s="304"/>
      <c r="C1428" s="304"/>
    </row>
    <row r="1429" spans="1:3">
      <c r="A1429" s="304"/>
      <c r="B1429" s="304"/>
      <c r="C1429" s="304"/>
    </row>
    <row r="1430" spans="1:3">
      <c r="A1430" s="304"/>
      <c r="B1430" s="304"/>
      <c r="C1430" s="304"/>
    </row>
    <row r="1431" spans="1:3">
      <c r="A1431" s="304"/>
      <c r="B1431" s="304"/>
      <c r="C1431" s="304"/>
    </row>
    <row r="1432" spans="1:3">
      <c r="A1432" s="304"/>
      <c r="B1432" s="304"/>
      <c r="C1432" s="304"/>
    </row>
    <row r="1433" spans="1:3">
      <c r="A1433" s="304"/>
      <c r="B1433" s="304"/>
      <c r="C1433" s="304"/>
    </row>
    <row r="1434" spans="1:3">
      <c r="A1434" s="304"/>
      <c r="B1434" s="304"/>
      <c r="C1434" s="304"/>
    </row>
    <row r="1435" spans="1:3">
      <c r="A1435" s="304"/>
      <c r="B1435" s="304"/>
      <c r="C1435" s="304"/>
    </row>
    <row r="1436" spans="1:3">
      <c r="A1436" s="304"/>
      <c r="B1436" s="304"/>
      <c r="C1436" s="304"/>
    </row>
    <row r="1437" spans="1:3">
      <c r="A1437" s="304"/>
      <c r="B1437" s="304"/>
      <c r="C1437" s="304"/>
    </row>
    <row r="1438" spans="1:3">
      <c r="A1438" s="304"/>
      <c r="B1438" s="304"/>
      <c r="C1438" s="304"/>
    </row>
    <row r="1439" spans="1:3">
      <c r="A1439" s="304"/>
      <c r="B1439" s="304"/>
      <c r="C1439" s="304"/>
    </row>
    <row r="1440" spans="1:3">
      <c r="A1440" s="304"/>
      <c r="B1440" s="304"/>
      <c r="C1440" s="304"/>
    </row>
    <row r="1441" spans="1:3">
      <c r="A1441" s="304"/>
      <c r="B1441" s="304"/>
      <c r="C1441" s="304"/>
    </row>
    <row r="1442" spans="1:3">
      <c r="A1442" s="304"/>
      <c r="B1442" s="304"/>
      <c r="C1442" s="304"/>
    </row>
    <row r="1443" spans="1:3">
      <c r="A1443" s="304"/>
      <c r="B1443" s="304"/>
      <c r="C1443" s="304"/>
    </row>
    <row r="1444" spans="1:3">
      <c r="A1444" s="304"/>
      <c r="B1444" s="304"/>
      <c r="C1444" s="304"/>
    </row>
    <row r="1445" spans="1:3">
      <c r="A1445" s="304"/>
      <c r="B1445" s="304"/>
      <c r="C1445" s="304"/>
    </row>
    <row r="1446" spans="1:3">
      <c r="A1446" s="304"/>
      <c r="B1446" s="304"/>
      <c r="C1446" s="304"/>
    </row>
    <row r="1447" spans="1:3">
      <c r="A1447" s="304"/>
      <c r="B1447" s="304"/>
      <c r="C1447" s="304"/>
    </row>
    <row r="1448" spans="1:3">
      <c r="A1448" s="304"/>
      <c r="B1448" s="304"/>
      <c r="C1448" s="304"/>
    </row>
    <row r="1449" spans="1:3">
      <c r="A1449" s="304"/>
      <c r="B1449" s="304"/>
      <c r="C1449" s="304"/>
    </row>
    <row r="1450" spans="1:3">
      <c r="A1450" s="304"/>
      <c r="B1450" s="304"/>
      <c r="C1450" s="304"/>
    </row>
    <row r="1451" spans="1:3">
      <c r="A1451" s="304"/>
      <c r="B1451" s="304"/>
      <c r="C1451" s="304"/>
    </row>
    <row r="1452" spans="1:3">
      <c r="A1452" s="304"/>
      <c r="B1452" s="304"/>
      <c r="C1452" s="304"/>
    </row>
    <row r="1453" spans="1:3">
      <c r="A1453" s="304"/>
      <c r="B1453" s="304"/>
      <c r="C1453" s="304"/>
    </row>
    <row r="1454" spans="1:3">
      <c r="A1454" s="304"/>
      <c r="B1454" s="304"/>
      <c r="C1454" s="304"/>
    </row>
    <row r="1455" spans="1:3">
      <c r="A1455" s="304"/>
      <c r="B1455" s="304"/>
      <c r="C1455" s="304"/>
    </row>
    <row r="1456" spans="1:3">
      <c r="A1456" s="304"/>
      <c r="B1456" s="304"/>
      <c r="C1456" s="304"/>
    </row>
    <row r="1457" spans="1:3">
      <c r="A1457" s="304"/>
      <c r="B1457" s="304"/>
      <c r="C1457" s="304"/>
    </row>
    <row r="1458" spans="1:3">
      <c r="A1458" s="304"/>
      <c r="B1458" s="304"/>
      <c r="C1458" s="304"/>
    </row>
    <row r="1459" spans="1:3">
      <c r="A1459" s="304"/>
      <c r="B1459" s="304"/>
      <c r="C1459" s="304"/>
    </row>
    <row r="1460" spans="1:3">
      <c r="A1460" s="304"/>
      <c r="B1460" s="304"/>
      <c r="C1460" s="304"/>
    </row>
    <row r="1461" spans="1:3">
      <c r="A1461" s="304"/>
      <c r="B1461" s="304"/>
      <c r="C1461" s="304"/>
    </row>
    <row r="1462" spans="1:3">
      <c r="A1462" s="304"/>
      <c r="B1462" s="304"/>
      <c r="C1462" s="304"/>
    </row>
    <row r="1463" spans="1:3">
      <c r="A1463" s="304"/>
      <c r="B1463" s="304"/>
      <c r="C1463" s="304"/>
    </row>
    <row r="1464" spans="1:3">
      <c r="A1464" s="304"/>
      <c r="B1464" s="304"/>
      <c r="C1464" s="304"/>
    </row>
    <row r="1465" spans="1:3">
      <c r="A1465" s="304"/>
      <c r="B1465" s="304"/>
      <c r="C1465" s="304"/>
    </row>
    <row r="1466" spans="1:3">
      <c r="A1466" s="304"/>
      <c r="B1466" s="304"/>
      <c r="C1466" s="304"/>
    </row>
    <row r="1467" spans="1:3">
      <c r="A1467" s="304"/>
      <c r="B1467" s="304"/>
      <c r="C1467" s="304"/>
    </row>
    <row r="1468" spans="1:3">
      <c r="A1468" s="304"/>
      <c r="B1468" s="304"/>
      <c r="C1468" s="304"/>
    </row>
    <row r="1469" spans="1:3">
      <c r="A1469" s="304"/>
      <c r="B1469" s="304"/>
      <c r="C1469" s="304"/>
    </row>
    <row r="1470" spans="1:3">
      <c r="A1470" s="304"/>
      <c r="B1470" s="304"/>
      <c r="C1470" s="304"/>
    </row>
    <row r="1471" spans="1:3">
      <c r="A1471" s="304"/>
      <c r="B1471" s="304"/>
      <c r="C1471" s="304"/>
    </row>
    <row r="1472" spans="1:3">
      <c r="A1472" s="304"/>
      <c r="B1472" s="304"/>
      <c r="C1472" s="304"/>
    </row>
    <row r="1473" spans="1:3">
      <c r="A1473" s="304"/>
      <c r="B1473" s="304"/>
      <c r="C1473" s="304"/>
    </row>
    <row r="1474" spans="1:3">
      <c r="A1474" s="304"/>
      <c r="B1474" s="304"/>
      <c r="C1474" s="304"/>
    </row>
    <row r="1475" spans="1:3">
      <c r="A1475" s="304"/>
      <c r="B1475" s="304"/>
      <c r="C1475" s="304"/>
    </row>
    <row r="1476" spans="1:3">
      <c r="A1476" s="304"/>
      <c r="B1476" s="304"/>
      <c r="C1476" s="304"/>
    </row>
    <row r="1477" spans="1:3">
      <c r="A1477" s="304"/>
      <c r="B1477" s="304"/>
      <c r="C1477" s="304"/>
    </row>
    <row r="1478" spans="1:3">
      <c r="A1478" s="304"/>
      <c r="B1478" s="304"/>
      <c r="C1478" s="304"/>
    </row>
    <row r="1479" spans="1:3">
      <c r="A1479" s="304"/>
      <c r="B1479" s="304"/>
      <c r="C1479" s="304"/>
    </row>
    <row r="1480" spans="1:3">
      <c r="A1480" s="304"/>
      <c r="B1480" s="304"/>
      <c r="C1480" s="304"/>
    </row>
    <row r="1481" spans="1:3">
      <c r="A1481" s="304"/>
      <c r="B1481" s="304"/>
      <c r="C1481" s="304"/>
    </row>
    <row r="1482" spans="1:3">
      <c r="A1482" s="304"/>
      <c r="B1482" s="304"/>
      <c r="C1482" s="304"/>
    </row>
    <row r="1483" spans="1:3">
      <c r="A1483" s="304"/>
      <c r="B1483" s="304"/>
      <c r="C1483" s="304"/>
    </row>
    <row r="1484" spans="1:3">
      <c r="A1484" s="304"/>
      <c r="B1484" s="304"/>
      <c r="C1484" s="304"/>
    </row>
    <row r="1485" spans="1:3">
      <c r="A1485" s="304"/>
      <c r="B1485" s="304"/>
      <c r="C1485" s="304"/>
    </row>
    <row r="1486" spans="1:3">
      <c r="A1486" s="304"/>
      <c r="B1486" s="304"/>
      <c r="C1486" s="304"/>
    </row>
    <row r="1487" spans="1:3">
      <c r="A1487" s="304"/>
      <c r="B1487" s="304"/>
      <c r="C1487" s="304"/>
    </row>
    <row r="1488" spans="1:3">
      <c r="A1488" s="304"/>
      <c r="B1488" s="304"/>
      <c r="C1488" s="304"/>
    </row>
    <row r="1489" spans="1:3">
      <c r="A1489" s="304"/>
      <c r="B1489" s="304"/>
      <c r="C1489" s="304"/>
    </row>
    <row r="1490" spans="1:3">
      <c r="A1490" s="304"/>
      <c r="B1490" s="304"/>
      <c r="C1490" s="304"/>
    </row>
    <row r="1491" spans="1:3">
      <c r="A1491" s="304"/>
      <c r="B1491" s="304"/>
      <c r="C1491" s="304"/>
    </row>
    <row r="1492" spans="1:3">
      <c r="A1492" s="304"/>
      <c r="B1492" s="304"/>
      <c r="C1492" s="304"/>
    </row>
    <row r="1493" spans="1:3">
      <c r="A1493" s="304"/>
      <c r="B1493" s="304"/>
      <c r="C1493" s="304"/>
    </row>
    <row r="1494" spans="1:3">
      <c r="A1494" s="304"/>
      <c r="B1494" s="304"/>
      <c r="C1494" s="304"/>
    </row>
    <row r="1495" spans="1:3">
      <c r="A1495" s="304"/>
      <c r="B1495" s="304"/>
      <c r="C1495" s="304"/>
    </row>
    <row r="1496" spans="1:3">
      <c r="A1496" s="304"/>
      <c r="B1496" s="304"/>
      <c r="C1496" s="304"/>
    </row>
    <row r="1497" spans="1:3">
      <c r="A1497" s="304"/>
      <c r="B1497" s="304"/>
      <c r="C1497" s="304"/>
    </row>
    <row r="1498" spans="1:3">
      <c r="A1498" s="304"/>
      <c r="B1498" s="304"/>
      <c r="C1498" s="304"/>
    </row>
    <row r="1499" spans="1:3">
      <c r="A1499" s="304"/>
      <c r="B1499" s="304"/>
      <c r="C1499" s="304"/>
    </row>
    <row r="1500" spans="1:3">
      <c r="A1500" s="304"/>
      <c r="B1500" s="304"/>
      <c r="C1500" s="304"/>
    </row>
    <row r="1501" spans="1:3">
      <c r="A1501" s="304"/>
      <c r="B1501" s="304"/>
      <c r="C1501" s="304"/>
    </row>
    <row r="1502" spans="1:3">
      <c r="A1502" s="304"/>
      <c r="B1502" s="304"/>
      <c r="C1502" s="304"/>
    </row>
    <row r="1503" spans="1:3">
      <c r="A1503" s="304"/>
      <c r="B1503" s="304"/>
      <c r="C1503" s="304"/>
    </row>
    <row r="1504" spans="1:3">
      <c r="A1504" s="304"/>
      <c r="B1504" s="304"/>
      <c r="C1504" s="304"/>
    </row>
    <row r="1505" spans="1:3">
      <c r="A1505" s="304"/>
      <c r="B1505" s="304"/>
      <c r="C1505" s="304"/>
    </row>
    <row r="1506" spans="1:3">
      <c r="A1506" s="304"/>
      <c r="B1506" s="304"/>
      <c r="C1506" s="304"/>
    </row>
    <row r="1507" spans="1:3">
      <c r="A1507" s="304"/>
      <c r="B1507" s="304"/>
      <c r="C1507" s="304"/>
    </row>
    <row r="1508" spans="1:3">
      <c r="A1508" s="304"/>
      <c r="B1508" s="304"/>
      <c r="C1508" s="304"/>
    </row>
    <row r="1509" spans="1:3">
      <c r="A1509" s="304"/>
      <c r="B1509" s="304"/>
      <c r="C1509" s="304"/>
    </row>
    <row r="1510" spans="1:3">
      <c r="A1510" s="304"/>
      <c r="B1510" s="304"/>
      <c r="C1510" s="304"/>
    </row>
    <row r="1511" spans="1:3">
      <c r="A1511" s="304"/>
      <c r="B1511" s="304"/>
      <c r="C1511" s="304"/>
    </row>
    <row r="1512" spans="1:3">
      <c r="A1512" s="304"/>
      <c r="B1512" s="304"/>
      <c r="C1512" s="304"/>
    </row>
    <row r="1513" spans="1:3">
      <c r="A1513" s="304"/>
      <c r="B1513" s="304"/>
      <c r="C1513" s="304"/>
    </row>
    <row r="1514" spans="1:3">
      <c r="A1514" s="304"/>
      <c r="B1514" s="304"/>
      <c r="C1514" s="304"/>
    </row>
    <row r="1515" spans="1:3">
      <c r="A1515" s="304"/>
      <c r="B1515" s="304"/>
      <c r="C1515" s="304"/>
    </row>
    <row r="1516" spans="1:3">
      <c r="A1516" s="304"/>
      <c r="B1516" s="304"/>
      <c r="C1516" s="304"/>
    </row>
    <row r="1517" spans="1:3">
      <c r="A1517" s="304"/>
      <c r="B1517" s="304"/>
      <c r="C1517" s="304"/>
    </row>
    <row r="1518" spans="1:3">
      <c r="A1518" s="304"/>
      <c r="B1518" s="304"/>
      <c r="C1518" s="304"/>
    </row>
    <row r="1519" spans="1:3">
      <c r="A1519" s="304"/>
      <c r="B1519" s="304"/>
      <c r="C1519" s="304"/>
    </row>
    <row r="1520" spans="1:3">
      <c r="A1520" s="304"/>
      <c r="B1520" s="304"/>
      <c r="C1520" s="304"/>
    </row>
    <row r="1521" spans="1:3">
      <c r="A1521" s="304"/>
      <c r="B1521" s="304"/>
      <c r="C1521" s="304"/>
    </row>
    <row r="1522" spans="1:3">
      <c r="A1522" s="304"/>
      <c r="B1522" s="304"/>
      <c r="C1522" s="304"/>
    </row>
    <row r="1523" spans="1:3">
      <c r="A1523" s="304"/>
      <c r="B1523" s="304"/>
      <c r="C1523" s="304"/>
    </row>
    <row r="1524" spans="1:3">
      <c r="A1524" s="304"/>
      <c r="B1524" s="304"/>
      <c r="C1524" s="304"/>
    </row>
    <row r="1525" spans="1:3">
      <c r="A1525" s="304"/>
      <c r="B1525" s="304"/>
      <c r="C1525" s="304"/>
    </row>
    <row r="1526" spans="1:3">
      <c r="A1526" s="304"/>
      <c r="B1526" s="304"/>
      <c r="C1526" s="304"/>
    </row>
    <row r="1527" spans="1:3">
      <c r="A1527" s="304"/>
      <c r="B1527" s="304"/>
      <c r="C1527" s="304"/>
    </row>
    <row r="1528" spans="1:3">
      <c r="A1528" s="304"/>
      <c r="B1528" s="304"/>
      <c r="C1528" s="304"/>
    </row>
    <row r="1529" spans="1:3">
      <c r="A1529" s="304"/>
      <c r="B1529" s="304"/>
      <c r="C1529" s="304"/>
    </row>
    <row r="1530" spans="1:3">
      <c r="A1530" s="304"/>
      <c r="B1530" s="304"/>
      <c r="C1530" s="304"/>
    </row>
    <row r="1531" spans="1:3">
      <c r="A1531" s="304"/>
      <c r="B1531" s="304"/>
      <c r="C1531" s="304"/>
    </row>
    <row r="1532" spans="1:3">
      <c r="A1532" s="304"/>
      <c r="B1532" s="304"/>
      <c r="C1532" s="304"/>
    </row>
    <row r="1533" spans="1:3">
      <c r="A1533" s="304"/>
      <c r="B1533" s="304"/>
      <c r="C1533" s="304"/>
    </row>
    <row r="1534" spans="1:3">
      <c r="A1534" s="304"/>
      <c r="B1534" s="304"/>
      <c r="C1534" s="304"/>
    </row>
    <row r="1535" spans="1:3">
      <c r="A1535" s="304"/>
      <c r="B1535" s="304"/>
      <c r="C1535" s="304"/>
    </row>
    <row r="1536" spans="1:3">
      <c r="A1536" s="304"/>
      <c r="B1536" s="304"/>
      <c r="C1536" s="304"/>
    </row>
    <row r="1537" spans="1:9">
      <c r="A1537" s="304"/>
      <c r="B1537" s="304"/>
      <c r="C1537" s="304"/>
    </row>
    <row r="1538" spans="1:9"/>
    <row r="1539" spans="1:9"/>
    <row r="1540" spans="1:9"/>
    <row r="1541" spans="1:9">
      <c r="G1541" s="1252"/>
      <c r="H1541" s="1252"/>
      <c r="I1541" s="1252"/>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868" workbookViewId="0">
      <selection activeCell="AR547" sqref="AR547"/>
    </sheetView>
  </sheetViews>
  <sheetFormatPr defaultColWidth="0" defaultRowHeight="0" customHeight="1" zeroHeight="1"/>
  <cols>
    <col min="1" max="46" width="2.6328125" customWidth="1"/>
    <col min="47" max="47" width="2.6328125" hidden="1" customWidth="1"/>
    <col min="48" max="50" width="3.6328125" hidden="1" customWidth="1"/>
    <col min="51" max="51" width="4.6328125" hidden="1" customWidth="1"/>
    <col min="52" max="52" width="8.453125" hidden="1" customWidth="1"/>
    <col min="53" max="53" width="7.453125" hidden="1" customWidth="1"/>
    <col min="54" max="55" width="3.6328125" hidden="1" customWidth="1"/>
    <col min="56" max="56" width="8.36328125" hidden="1" customWidth="1"/>
    <col min="57" max="57" width="8.453125" hidden="1" customWidth="1"/>
    <col min="58" max="58" width="8.1796875" hidden="1" customWidth="1"/>
    <col min="59" max="59" width="11.1796875" hidden="1" customWidth="1"/>
    <col min="60" max="60" width="3.6328125" hidden="1" customWidth="1"/>
    <col min="61" max="61" width="8.36328125" hidden="1" customWidth="1"/>
    <col min="62" max="16384" width="3.6328125" hidden="1"/>
  </cols>
  <sheetData>
    <row r="1" spans="1:58" ht="13" customHeight="1">
      <c r="J1" s="75"/>
      <c r="AS1" s="921">
        <v>4</v>
      </c>
      <c r="BD1" s="3" t="s">
        <v>640</v>
      </c>
      <c r="BE1" s="3"/>
      <c r="BF1" s="3"/>
    </row>
    <row r="2" spans="1:58" ht="13" customHeight="1">
      <c r="BD2" s="3" t="s">
        <v>641</v>
      </c>
      <c r="BE2" s="3" t="s">
        <v>642</v>
      </c>
      <c r="BF2" s="3" t="s">
        <v>643</v>
      </c>
    </row>
    <row r="3" spans="1:58" ht="13" customHeight="1">
      <c r="BD3" s="3" t="s">
        <v>644</v>
      </c>
      <c r="BE3" t="str">
        <f>AC220</f>
        <v>Bay Area ((Alameda, Contra Costa, Marin, San Francisco, San Mateo, Santa Clara, and Santa Cruz Counties)</v>
      </c>
    </row>
    <row r="4" spans="1:58" ht="13" customHeight="1">
      <c r="BD4" s="3" t="s">
        <v>645</v>
      </c>
      <c r="BE4" s="1134"/>
    </row>
    <row r="5" spans="1:58" ht="13" customHeight="1">
      <c r="BD5" s="3" t="s">
        <v>646</v>
      </c>
      <c r="BE5">
        <f>SUMIF($AC$718:$AC$752,"&lt;=20%",$G$718:G$752)</f>
        <v>14</v>
      </c>
      <c r="BF5" s="3" t="s">
        <v>647</v>
      </c>
    </row>
    <row r="6" spans="1:58" ht="13" customHeight="1">
      <c r="BD6" s="3" t="s">
        <v>648</v>
      </c>
      <c r="BE6" s="1137">
        <f>SUMIF($AC$718:$AC$752,"&lt;=25%",$G$718:G$752)-SUM($BE$5:BE5)</f>
        <v>18</v>
      </c>
    </row>
    <row r="7" spans="1:58" ht="13" customHeight="1">
      <c r="BD7" s="1135" t="s">
        <v>649</v>
      </c>
      <c r="BE7" s="1137">
        <f>SUMIF($AC$718:$AC$752,"&lt;=30%",$G$718:G$752)-SUM($BE$5:BE6)</f>
        <v>0</v>
      </c>
    </row>
    <row r="8" spans="1:58" ht="26.25" customHeight="1">
      <c r="A8" s="1768" t="s">
        <v>650</v>
      </c>
      <c r="B8" s="1768"/>
      <c r="C8" s="1768"/>
      <c r="D8" s="1768"/>
      <c r="E8" s="1768"/>
      <c r="F8" s="1768"/>
      <c r="G8" s="1768"/>
      <c r="H8" s="1768"/>
      <c r="I8" s="1768"/>
      <c r="J8" s="1768"/>
      <c r="K8" s="1768"/>
      <c r="L8" s="1768"/>
      <c r="M8" s="1768"/>
      <c r="N8" s="1768"/>
      <c r="O8" s="1768"/>
      <c r="P8" s="1768"/>
      <c r="Q8" s="1768"/>
      <c r="R8" s="1768"/>
      <c r="S8" s="1768"/>
      <c r="T8" s="1768"/>
      <c r="U8" s="1768"/>
      <c r="V8" s="1768"/>
      <c r="W8" s="1768"/>
      <c r="X8" s="1768"/>
      <c r="Y8" s="1768"/>
      <c r="Z8" s="1768"/>
      <c r="AA8" s="1768"/>
      <c r="AB8" s="1768"/>
      <c r="AC8" s="1768"/>
      <c r="AD8" s="1768"/>
      <c r="AE8" s="1768"/>
      <c r="AF8" s="1768"/>
      <c r="AG8" s="1768"/>
      <c r="AH8" s="1768"/>
      <c r="AI8" s="1768"/>
      <c r="AJ8" s="1768"/>
      <c r="AK8" s="1768"/>
      <c r="AL8" s="1768"/>
      <c r="AM8" s="1768"/>
      <c r="AN8" s="1768"/>
      <c r="AO8" s="1768"/>
      <c r="AP8" s="1768"/>
      <c r="AQ8" s="1768"/>
      <c r="AR8" s="1768"/>
      <c r="AS8" s="1768"/>
      <c r="AT8" s="1768"/>
      <c r="AU8" s="793"/>
      <c r="AV8" s="793"/>
      <c r="AW8" s="793"/>
      <c r="AX8" s="793"/>
      <c r="AY8" s="793"/>
      <c r="BD8" s="3" t="s">
        <v>651</v>
      </c>
      <c r="BE8" s="1137">
        <f>SUMIF($AC$718:$AC$752,"&lt;=35%",$G$718:G$752)-SUM($BE$5:BE7)</f>
        <v>0</v>
      </c>
    </row>
    <row r="9" spans="1:58" ht="13" customHeight="1">
      <c r="A9" s="1769" t="s">
        <v>652</v>
      </c>
      <c r="B9" s="1769"/>
      <c r="C9" s="1769"/>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69"/>
      <c r="AB9" s="1769"/>
      <c r="AC9" s="1769"/>
      <c r="AD9" s="1769"/>
      <c r="AE9" s="1769"/>
      <c r="AF9" s="1769"/>
      <c r="AG9" s="1769"/>
      <c r="AH9" s="1769"/>
      <c r="AI9" s="1769"/>
      <c r="AJ9" s="1769"/>
      <c r="AK9" s="1769"/>
      <c r="AL9" s="1769"/>
      <c r="AM9" s="1769"/>
      <c r="AN9" s="1769"/>
      <c r="AO9" s="1769"/>
      <c r="AP9" s="1769"/>
      <c r="AQ9" s="1769"/>
      <c r="AR9" s="1769"/>
      <c r="AS9" s="1769"/>
      <c r="AT9" s="1769"/>
      <c r="AU9" s="12"/>
      <c r="AV9" s="12"/>
      <c r="AW9" s="12"/>
      <c r="AX9" s="12"/>
      <c r="AY9" s="12"/>
      <c r="BD9" s="1136" t="s">
        <v>653</v>
      </c>
      <c r="BE9" s="1137">
        <f>SUMIF($AC$718:$AC$752,"&lt;=40%",$G$718:G$752)-SUM($BE$5:BE8)</f>
        <v>0</v>
      </c>
    </row>
    <row r="10" spans="1:58" ht="13" customHeight="1">
      <c r="A10" s="1769" t="s">
        <v>654</v>
      </c>
      <c r="B10" s="1769"/>
      <c r="C10" s="1769"/>
      <c r="D10" s="1769"/>
      <c r="E10" s="1769"/>
      <c r="F10" s="1769"/>
      <c r="G10" s="1769"/>
      <c r="H10" s="1769"/>
      <c r="I10" s="1769"/>
      <c r="J10" s="1769"/>
      <c r="K10" s="1769"/>
      <c r="L10" s="1769"/>
      <c r="M10" s="1769"/>
      <c r="N10" s="1769"/>
      <c r="O10" s="1769"/>
      <c r="P10" s="1769"/>
      <c r="Q10" s="1769"/>
      <c r="R10" s="1769"/>
      <c r="S10" s="1769"/>
      <c r="T10" s="1769"/>
      <c r="U10" s="1769"/>
      <c r="V10" s="1769"/>
      <c r="W10" s="1769"/>
      <c r="X10" s="1769"/>
      <c r="Y10" s="1769"/>
      <c r="Z10" s="1769"/>
      <c r="AA10" s="1769"/>
      <c r="AB10" s="1769"/>
      <c r="AC10" s="1769"/>
      <c r="AD10" s="1769"/>
      <c r="AE10" s="1769"/>
      <c r="AF10" s="1769"/>
      <c r="AG10" s="1769"/>
      <c r="AH10" s="1769"/>
      <c r="AI10" s="1769"/>
      <c r="AJ10" s="1769"/>
      <c r="AK10" s="1769"/>
      <c r="AL10" s="1769"/>
      <c r="AM10" s="1769"/>
      <c r="AN10" s="1769"/>
      <c r="AO10" s="1769"/>
      <c r="AP10" s="1769"/>
      <c r="AQ10" s="1769"/>
      <c r="AR10" s="1769"/>
      <c r="AS10" s="1769"/>
      <c r="AT10" s="1769"/>
      <c r="AU10" s="12"/>
      <c r="AV10" s="12"/>
      <c r="AW10" s="12"/>
      <c r="AX10" s="12"/>
      <c r="AY10" s="12"/>
      <c r="BD10" s="3" t="s">
        <v>655</v>
      </c>
      <c r="BE10" s="1137">
        <f>SUMIF($AC$718:$AC$752,"&lt;=45%",$G$718:G$752)-SUM($BE$5:BE9)</f>
        <v>0</v>
      </c>
    </row>
    <row r="11" spans="1:58" ht="13" customHeight="1">
      <c r="A11" s="1769" t="s">
        <v>656</v>
      </c>
      <c r="B11" s="1769"/>
      <c r="C11" s="1769"/>
      <c r="D11" s="1769"/>
      <c r="E11" s="1769"/>
      <c r="F11" s="1769"/>
      <c r="G11" s="1769"/>
      <c r="H11" s="1769"/>
      <c r="I11" s="1769"/>
      <c r="J11" s="1769"/>
      <c r="K11" s="1769"/>
      <c r="L11" s="1769"/>
      <c r="M11" s="1769"/>
      <c r="N11" s="1769"/>
      <c r="O11" s="1769"/>
      <c r="P11" s="1769"/>
      <c r="Q11" s="1769"/>
      <c r="R11" s="1769"/>
      <c r="S11" s="1769"/>
      <c r="T11" s="1769"/>
      <c r="U11" s="1769"/>
      <c r="V11" s="1769"/>
      <c r="W11" s="1769"/>
      <c r="X11" s="1769"/>
      <c r="Y11" s="1769"/>
      <c r="Z11" s="1769"/>
      <c r="AA11" s="1769"/>
      <c r="AB11" s="1769"/>
      <c r="AC11" s="1769"/>
      <c r="AD11" s="1769"/>
      <c r="AE11" s="1769"/>
      <c r="AF11" s="1769"/>
      <c r="AG11" s="1769"/>
      <c r="AH11" s="1769"/>
      <c r="AI11" s="1769"/>
      <c r="AJ11" s="1769"/>
      <c r="AK11" s="1769"/>
      <c r="AL11" s="1769"/>
      <c r="AM11" s="1769"/>
      <c r="AN11" s="1769"/>
      <c r="AO11" s="1769"/>
      <c r="AP11" s="1769"/>
      <c r="AQ11" s="1769"/>
      <c r="AR11" s="1769"/>
      <c r="AS11" s="1769"/>
      <c r="AT11" s="1769"/>
      <c r="AU11" s="12"/>
      <c r="AV11" s="12"/>
      <c r="AW11" s="12"/>
      <c r="AX11" s="12"/>
      <c r="AY11" s="12"/>
      <c r="BD11" s="1135" t="s">
        <v>657</v>
      </c>
      <c r="BE11" s="1137">
        <f>SUMIF($AC$718:$AC$752,"&lt;=50%",$G$718:G$752)-SUM($BE$5:BE10)</f>
        <v>28</v>
      </c>
    </row>
    <row r="12" spans="1:58" ht="13" customHeight="1">
      <c r="A12" s="1770" t="s">
        <v>658</v>
      </c>
      <c r="B12" s="1770"/>
      <c r="C12" s="1770"/>
      <c r="D12" s="1770"/>
      <c r="E12" s="1770"/>
      <c r="F12" s="1770"/>
      <c r="G12" s="1770"/>
      <c r="H12" s="1770"/>
      <c r="I12" s="1770"/>
      <c r="J12" s="1770"/>
      <c r="K12" s="1770"/>
      <c r="L12" s="1770"/>
      <c r="M12" s="1770"/>
      <c r="N12" s="1770"/>
      <c r="O12" s="1770"/>
      <c r="P12" s="1770"/>
      <c r="Q12" s="1770"/>
      <c r="R12" s="1770"/>
      <c r="S12" s="1770"/>
      <c r="T12" s="1770"/>
      <c r="U12" s="1770"/>
      <c r="V12" s="1770"/>
      <c r="W12" s="1770"/>
      <c r="X12" s="1770"/>
      <c r="Y12" s="1770"/>
      <c r="Z12" s="1770"/>
      <c r="AA12" s="1770"/>
      <c r="AB12" s="1770"/>
      <c r="AC12" s="1770"/>
      <c r="AD12" s="1770"/>
      <c r="AE12" s="1770"/>
      <c r="AF12" s="1770"/>
      <c r="AG12" s="1770"/>
      <c r="AH12" s="1770"/>
      <c r="AI12" s="1770"/>
      <c r="AJ12" s="1770"/>
      <c r="AK12" s="1770"/>
      <c r="AL12" s="1770"/>
      <c r="AM12" s="1770"/>
      <c r="AN12" s="1770"/>
      <c r="AO12" s="1770"/>
      <c r="AP12" s="1770"/>
      <c r="AQ12" s="1770"/>
      <c r="AR12" s="1770"/>
      <c r="AS12" s="1770"/>
      <c r="AT12" s="1770"/>
      <c r="AU12" s="256"/>
      <c r="AV12" s="256"/>
      <c r="AW12" s="256"/>
      <c r="AX12" s="256"/>
      <c r="AY12" s="256"/>
      <c r="BD12" s="3" t="s">
        <v>659</v>
      </c>
      <c r="BE12" s="1137">
        <f>SUMIF($AC$718:$AC$752,"&lt;=55%",$G$718:G$752)-SUM($BE$5:BE11)</f>
        <v>0</v>
      </c>
    </row>
    <row r="13" spans="1:58" ht="13" customHeight="1">
      <c r="A13" s="1231" t="s">
        <v>660</v>
      </c>
      <c r="B13" s="1231"/>
      <c r="C13" s="1231"/>
      <c r="D13" s="1231"/>
      <c r="E13" s="1231"/>
      <c r="F13" s="1231"/>
      <c r="G13" s="1231"/>
      <c r="H13" s="1231"/>
      <c r="I13" s="1231"/>
      <c r="J13" s="1231"/>
      <c r="K13" s="1231"/>
      <c r="L13" s="1231"/>
      <c r="M13" s="1231"/>
      <c r="N13" s="1231"/>
      <c r="O13" s="1231"/>
      <c r="P13" s="1231"/>
      <c r="Q13" s="1231"/>
      <c r="R13" s="1231"/>
      <c r="S13" s="1231"/>
      <c r="T13" s="1231"/>
      <c r="U13" s="1231"/>
      <c r="V13" s="1231"/>
      <c r="W13" s="1231"/>
      <c r="X13" s="1231"/>
      <c r="Y13" s="1231"/>
      <c r="Z13" s="1231"/>
      <c r="AA13" s="1231"/>
      <c r="AB13" s="1231"/>
      <c r="AC13" s="1231"/>
      <c r="AD13" s="1231"/>
      <c r="AE13" s="1231"/>
      <c r="AF13" s="1231"/>
      <c r="AG13" s="1231"/>
      <c r="AH13" s="1231"/>
      <c r="AI13" s="1231"/>
      <c r="AJ13" s="1231"/>
      <c r="AK13" s="1231"/>
      <c r="AL13" s="1231"/>
      <c r="AM13" s="1231"/>
      <c r="AN13" s="1231"/>
      <c r="AO13" s="1231"/>
      <c r="AP13" s="1231"/>
      <c r="AQ13" s="1231"/>
      <c r="AR13" s="1231"/>
      <c r="AS13" s="1231"/>
      <c r="AT13" s="1231"/>
      <c r="AU13" s="794"/>
      <c r="AV13" s="794"/>
      <c r="AW13" s="794"/>
      <c r="AX13" s="794"/>
      <c r="AY13" s="794"/>
      <c r="BD13" s="1136" t="s">
        <v>661</v>
      </c>
      <c r="BE13" s="1137">
        <f>SUMIF($AC$718:$AC$752,"&lt;=60%",$G$718:G$752)-SUM($BE$5:BE12)</f>
        <v>18</v>
      </c>
    </row>
    <row r="14" spans="1:58" ht="13" customHeight="1">
      <c r="A14" s="1231"/>
      <c r="B14" s="1231"/>
      <c r="C14" s="1231"/>
      <c r="D14" s="1231"/>
      <c r="E14" s="1231"/>
      <c r="F14" s="1231"/>
      <c r="G14" s="1231"/>
      <c r="H14" s="1231"/>
      <c r="I14" s="1231"/>
      <c r="J14" s="1231"/>
      <c r="K14" s="1231"/>
      <c r="L14" s="1231"/>
      <c r="M14" s="1231"/>
      <c r="N14" s="1231"/>
      <c r="O14" s="1231"/>
      <c r="P14" s="1231"/>
      <c r="Q14" s="1231"/>
      <c r="R14" s="1231"/>
      <c r="S14" s="1231"/>
      <c r="T14" s="1231"/>
      <c r="U14" s="1231"/>
      <c r="V14" s="1231"/>
      <c r="W14" s="1231"/>
      <c r="X14" s="1231"/>
      <c r="Y14" s="1231"/>
      <c r="Z14" s="1231"/>
      <c r="AA14" s="1231"/>
      <c r="AB14" s="1231"/>
      <c r="AC14" s="1231"/>
      <c r="AD14" s="1231"/>
      <c r="AE14" s="1231"/>
      <c r="AF14" s="1231"/>
      <c r="AG14" s="1231"/>
      <c r="AH14" s="1231"/>
      <c r="AI14" s="1231"/>
      <c r="AJ14" s="1231"/>
      <c r="AK14" s="1231"/>
      <c r="AL14" s="1231"/>
      <c r="AM14" s="1231"/>
      <c r="AN14" s="1231"/>
      <c r="AO14" s="1231"/>
      <c r="AP14" s="1231"/>
      <c r="AQ14" s="1231"/>
      <c r="AR14" s="1231"/>
      <c r="AS14" s="1231"/>
      <c r="AT14" s="1231"/>
      <c r="AU14" s="794"/>
      <c r="AV14" s="794"/>
      <c r="AW14" s="794"/>
      <c r="AX14" s="794"/>
      <c r="AY14" s="794"/>
      <c r="BD14" s="1135" t="s">
        <v>662</v>
      </c>
      <c r="BE14" s="1137">
        <f>SUMIF($AC$718:$AC$752,"&lt;=70%",$G$718:G$752)-SUM($BE$5:BE13)</f>
        <v>0</v>
      </c>
    </row>
    <row r="15" spans="1:58" ht="13"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6" t="s">
        <v>663</v>
      </c>
      <c r="BE15" s="1137">
        <f>SUMIF($AC$718:$AC$752,"&lt;=80%",$G$718:G$752)-SUM($BE$5:BE14)</f>
        <v>0</v>
      </c>
    </row>
    <row r="16" spans="1:58" ht="13" customHeight="1">
      <c r="A16" s="49" t="s">
        <v>664</v>
      </c>
      <c r="C16" s="3"/>
      <c r="D16" s="3"/>
      <c r="E16" s="3"/>
      <c r="F16" s="3"/>
      <c r="G16" s="3"/>
      <c r="H16" s="1488" t="s">
        <v>665</v>
      </c>
      <c r="I16" s="1488"/>
      <c r="J16" s="1488"/>
      <c r="K16" s="1488"/>
      <c r="L16" s="1488"/>
      <c r="M16" s="1488"/>
      <c r="N16" s="1488"/>
      <c r="O16" s="1488"/>
      <c r="P16" s="1488"/>
      <c r="Q16" s="1488"/>
      <c r="R16" s="1488"/>
      <c r="S16" s="1488"/>
      <c r="T16" s="1488"/>
      <c r="U16" s="1488"/>
      <c r="V16" s="1488"/>
      <c r="W16" s="1488"/>
      <c r="X16" s="1488"/>
      <c r="Y16" s="1488"/>
      <c r="Z16" s="1488"/>
      <c r="AA16" s="1488"/>
      <c r="AB16" s="1488"/>
      <c r="AC16" s="1488"/>
      <c r="AD16" s="1488"/>
      <c r="AE16" s="1488"/>
      <c r="AF16" s="1488"/>
      <c r="AG16" s="1488"/>
      <c r="AH16" s="1488"/>
      <c r="AI16" s="1488"/>
      <c r="AJ16" s="1488"/>
      <c r="BD16" s="1136" t="s">
        <v>77</v>
      </c>
      <c r="BE16" s="1137" t="str">
        <f>Application!H18</f>
        <v>San Clemente Family Homes</v>
      </c>
    </row>
    <row r="17" spans="1:58" ht="13" customHeight="1">
      <c r="BD17" s="1135" t="s">
        <v>666</v>
      </c>
      <c r="BE17" s="1137">
        <f>Application!AA934</f>
        <v>0</v>
      </c>
    </row>
    <row r="18" spans="1:58" ht="13" customHeight="1">
      <c r="A18" s="49" t="s">
        <v>667</v>
      </c>
      <c r="C18" s="3"/>
      <c r="D18" s="3"/>
      <c r="E18" s="3"/>
      <c r="F18" s="3"/>
      <c r="G18" s="3"/>
      <c r="H18" s="1472" t="s">
        <v>668</v>
      </c>
      <c r="I18" s="1472"/>
      <c r="J18" s="1472"/>
      <c r="K18" s="1472"/>
      <c r="L18" s="1472"/>
      <c r="M18" s="1472"/>
      <c r="N18" s="1472"/>
      <c r="O18" s="1472"/>
      <c r="P18" s="1472"/>
      <c r="Q18" s="1472"/>
      <c r="R18" s="1472"/>
      <c r="S18" s="1472"/>
      <c r="T18" s="1472"/>
      <c r="U18" s="1472"/>
      <c r="V18" s="1472"/>
      <c r="W18" s="1472"/>
      <c r="X18" s="1472"/>
      <c r="Y18" s="1472"/>
      <c r="Z18" s="1472"/>
      <c r="AA18" s="1472"/>
      <c r="AB18" s="1472"/>
      <c r="AC18" s="1472"/>
      <c r="AD18" s="1472"/>
      <c r="AE18" s="1472"/>
      <c r="AF18" s="1472"/>
      <c r="AG18" s="1472"/>
      <c r="AH18" s="1472"/>
      <c r="AI18" s="1472"/>
      <c r="AJ18" s="1472"/>
      <c r="BD18" s="1136" t="s">
        <v>669</v>
      </c>
      <c r="BE18" s="1137">
        <f>'CalHFA Addendum'!N11</f>
        <v>0</v>
      </c>
    </row>
    <row r="19" spans="1:58" ht="13" customHeight="1">
      <c r="BD19" s="1135" t="s">
        <v>670</v>
      </c>
      <c r="BE19" s="1137">
        <f>Application!M26</f>
        <v>2475704</v>
      </c>
    </row>
    <row r="20" spans="1:58" ht="13" customHeight="1">
      <c r="A20" s="1771" t="s">
        <v>671</v>
      </c>
      <c r="B20" s="1771"/>
      <c r="C20" s="1771"/>
      <c r="D20" s="1771"/>
      <c r="E20" s="1771"/>
      <c r="F20" s="1771"/>
      <c r="G20" s="1771"/>
      <c r="H20" s="1771"/>
      <c r="I20" s="1771"/>
      <c r="J20" s="1771"/>
      <c r="K20" s="1771"/>
      <c r="L20" s="1771"/>
      <c r="M20" s="1771"/>
      <c r="N20" s="1771"/>
      <c r="O20" s="1771"/>
      <c r="P20" s="1771"/>
      <c r="Q20" s="1771"/>
      <c r="R20" s="1771"/>
      <c r="S20" s="1771"/>
      <c r="T20" s="1771"/>
      <c r="U20" s="1771"/>
      <c r="V20" s="1771"/>
      <c r="W20" s="1771"/>
      <c r="X20" s="1771"/>
      <c r="Y20" s="1771"/>
      <c r="Z20" s="1771"/>
      <c r="AA20" s="1771"/>
      <c r="AB20" s="1771"/>
      <c r="AC20" s="1771"/>
      <c r="AD20" s="1771"/>
      <c r="AE20" s="1771"/>
      <c r="AF20" s="1771"/>
      <c r="AG20" s="1771"/>
      <c r="AH20" s="1771"/>
      <c r="AI20" s="1771"/>
      <c r="AJ20" s="1771"/>
      <c r="AK20" s="1771"/>
      <c r="AL20" s="1771"/>
      <c r="AM20" s="1771"/>
      <c r="AN20" s="1771"/>
      <c r="AO20" s="1771"/>
      <c r="AP20" s="1771"/>
      <c r="AQ20" s="1771"/>
      <c r="AR20" s="1771"/>
      <c r="AS20" s="1771"/>
      <c r="AT20" s="1771"/>
      <c r="AU20" s="795"/>
      <c r="AV20" s="795"/>
      <c r="AW20" s="795"/>
      <c r="AX20" s="795"/>
      <c r="AY20" s="795"/>
      <c r="BD20" s="1136" t="s">
        <v>672</v>
      </c>
      <c r="BE20" s="1137">
        <f>Application!M27</f>
        <v>0</v>
      </c>
    </row>
    <row r="21" spans="1:58" ht="13" customHeight="1">
      <c r="A21" s="1773" t="s">
        <v>673</v>
      </c>
      <c r="B21" s="1773"/>
      <c r="C21" s="1773"/>
      <c r="D21" s="1773"/>
      <c r="E21" s="1773"/>
      <c r="F21" s="1773"/>
      <c r="G21" s="1773"/>
      <c r="H21" s="1773"/>
      <c r="I21" s="1773"/>
      <c r="J21" s="1773"/>
      <c r="K21" s="1773"/>
      <c r="L21" s="1773"/>
      <c r="M21" s="1773"/>
      <c r="N21" s="1773"/>
      <c r="O21" s="1773"/>
      <c r="P21" s="1773"/>
      <c r="Q21" s="1773"/>
      <c r="R21" s="1773"/>
      <c r="S21" s="1773"/>
      <c r="T21" s="1773"/>
      <c r="U21" s="1773"/>
      <c r="V21" s="1773"/>
      <c r="W21" s="1773"/>
      <c r="X21" s="1773"/>
      <c r="Y21" s="1773"/>
      <c r="Z21" s="1773"/>
      <c r="AA21" s="1773"/>
      <c r="AB21" s="1773"/>
      <c r="AC21" s="1773"/>
      <c r="AD21" s="1773"/>
      <c r="AE21" s="1773"/>
      <c r="AF21" s="1773"/>
      <c r="AG21" s="1773"/>
      <c r="AH21" s="1773"/>
      <c r="AI21" s="1773"/>
      <c r="AJ21" s="1773"/>
      <c r="AK21" s="1773"/>
      <c r="AL21" s="1773"/>
      <c r="AM21" s="796"/>
      <c r="AN21" s="796"/>
      <c r="AO21" s="796"/>
      <c r="AP21" s="796"/>
      <c r="AQ21" s="796"/>
      <c r="AR21" s="796"/>
      <c r="AS21" s="796"/>
      <c r="AT21" s="796"/>
      <c r="AU21" s="796"/>
      <c r="AV21" s="796"/>
      <c r="AW21" s="796"/>
      <c r="AX21" s="796"/>
      <c r="AY21" s="796"/>
      <c r="BD21" s="1135" t="s">
        <v>674</v>
      </c>
      <c r="BE21" s="1137">
        <f>Application!AM554</f>
        <v>14756537</v>
      </c>
    </row>
    <row r="22" spans="1:58" ht="13"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6" t="s">
        <v>675</v>
      </c>
      <c r="BE22" s="1137">
        <f>'Sources and Uses Budget'!B105</f>
        <v>56745149</v>
      </c>
      <c r="BF22" s="3" t="s">
        <v>676</v>
      </c>
    </row>
    <row r="23" spans="1:58" ht="13" customHeight="1">
      <c r="A23" s="1289" t="s">
        <v>677</v>
      </c>
      <c r="B23" s="1289"/>
      <c r="C23" s="1289"/>
      <c r="D23" s="1289"/>
      <c r="E23" s="1289"/>
      <c r="F23" s="1289"/>
      <c r="G23" s="1289"/>
      <c r="H23" s="1289"/>
      <c r="I23" s="1289"/>
      <c r="J23" s="1289"/>
      <c r="K23" s="1289"/>
      <c r="L23" s="1289"/>
      <c r="M23" s="1289"/>
      <c r="N23" s="1289"/>
      <c r="O23" s="1289"/>
      <c r="P23" s="1289"/>
      <c r="Q23" s="1289"/>
      <c r="R23" s="1289"/>
      <c r="S23" s="1289"/>
      <c r="T23" s="1289"/>
      <c r="U23" s="1289"/>
      <c r="V23" s="1289"/>
      <c r="W23" s="1289"/>
      <c r="X23" s="1289"/>
      <c r="Y23" s="1289"/>
      <c r="Z23" s="1289"/>
      <c r="AA23" s="1289"/>
      <c r="AB23" s="1289"/>
      <c r="AC23" s="1289"/>
      <c r="AD23" s="1289"/>
      <c r="AE23" s="1289"/>
      <c r="AF23" s="1289"/>
      <c r="AG23" s="1289"/>
      <c r="AH23" s="1289"/>
      <c r="AI23" s="1289"/>
      <c r="AJ23" s="1289"/>
      <c r="AK23" s="1289"/>
      <c r="AL23" s="1289"/>
      <c r="AM23" s="1289"/>
      <c r="AN23" s="1289"/>
      <c r="AO23" s="1289"/>
      <c r="AP23" s="1289"/>
      <c r="AQ23" s="1289"/>
      <c r="AR23" s="1289"/>
      <c r="AS23" s="1289"/>
      <c r="AT23" s="1289"/>
      <c r="AU23" s="16"/>
      <c r="AV23" s="16"/>
      <c r="AW23" s="16"/>
      <c r="AX23" s="16"/>
      <c r="AY23" s="16"/>
      <c r="AZ23" s="16"/>
      <c r="BD23" s="1135" t="s">
        <v>678</v>
      </c>
      <c r="BE23" s="1137">
        <f>'Sources and Uses Budget'!B4</f>
        <v>643000</v>
      </c>
    </row>
    <row r="24" spans="1:58" ht="13" customHeight="1">
      <c r="A24" s="1289"/>
      <c r="B24" s="1289"/>
      <c r="C24" s="1289"/>
      <c r="D24" s="1289"/>
      <c r="E24" s="1289"/>
      <c r="F24" s="1289"/>
      <c r="G24" s="1289"/>
      <c r="H24" s="1289"/>
      <c r="I24" s="1289"/>
      <c r="J24" s="1289"/>
      <c r="K24" s="1289"/>
      <c r="L24" s="1289"/>
      <c r="M24" s="1289"/>
      <c r="N24" s="1289"/>
      <c r="O24" s="1289"/>
      <c r="P24" s="1289"/>
      <c r="Q24" s="1289"/>
      <c r="R24" s="1289"/>
      <c r="S24" s="1289"/>
      <c r="T24" s="1289"/>
      <c r="U24" s="1289"/>
      <c r="V24" s="1289"/>
      <c r="W24" s="1289"/>
      <c r="X24" s="1289"/>
      <c r="Y24" s="1289"/>
      <c r="Z24" s="1289"/>
      <c r="AA24" s="1289"/>
      <c r="AB24" s="1289"/>
      <c r="AC24" s="1289"/>
      <c r="AD24" s="1289"/>
      <c r="AE24" s="1289"/>
      <c r="AF24" s="1289"/>
      <c r="AG24" s="1289"/>
      <c r="AH24" s="1289"/>
      <c r="AI24" s="1289"/>
      <c r="AJ24" s="1289"/>
      <c r="AK24" s="1289"/>
      <c r="AL24" s="1289"/>
      <c r="AM24" s="1289"/>
      <c r="AN24" s="1289"/>
      <c r="AO24" s="1289"/>
      <c r="AP24" s="1289"/>
      <c r="AQ24" s="1289"/>
      <c r="AR24" s="1289"/>
      <c r="AS24" s="1289"/>
      <c r="AT24" s="1289"/>
      <c r="AU24" s="16"/>
      <c r="AV24" s="16"/>
      <c r="AW24" s="16"/>
      <c r="AX24" s="16"/>
      <c r="AY24" s="16"/>
      <c r="AZ24" s="16"/>
      <c r="BD24" s="1136" t="s">
        <v>679</v>
      </c>
      <c r="BE24" s="1137">
        <f>Application!AG450</f>
        <v>110471</v>
      </c>
    </row>
    <row r="25" spans="1:58" ht="13" customHeight="1">
      <c r="A25" s="343"/>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
      <c r="BD25" s="1135" t="s">
        <v>680</v>
      </c>
      <c r="BE25" s="1137" t="str">
        <f>Application!D208</f>
        <v>40%/60%</v>
      </c>
    </row>
    <row r="26" spans="1:58" ht="13" customHeight="1">
      <c r="A26" s="3"/>
      <c r="C26" s="3"/>
      <c r="D26" s="3"/>
      <c r="E26" s="3"/>
      <c r="F26" s="3"/>
      <c r="G26" s="3"/>
      <c r="H26" s="3"/>
      <c r="I26" s="3"/>
      <c r="J26" s="3"/>
      <c r="K26" s="3"/>
      <c r="L26" s="3"/>
      <c r="M26" s="1495">
        <f>'Basis &amp; Credits'!AB56</f>
        <v>2475704</v>
      </c>
      <c r="N26" s="1495"/>
      <c r="O26" s="1495"/>
      <c r="P26" s="1495"/>
      <c r="Q26" s="1495"/>
      <c r="R26" s="3" t="s">
        <v>681</v>
      </c>
      <c r="S26" s="3"/>
      <c r="T26" s="3"/>
      <c r="U26" s="3"/>
      <c r="V26" s="3"/>
      <c r="W26" s="3"/>
      <c r="X26" s="3"/>
      <c r="Y26" s="3"/>
      <c r="Z26" s="3"/>
      <c r="AF26" s="3"/>
      <c r="AG26" s="3"/>
      <c r="AH26" s="3"/>
      <c r="AI26" s="3"/>
      <c r="AJ26" s="3"/>
      <c r="AK26" s="3"/>
      <c r="BD26" s="1136" t="s">
        <v>682</v>
      </c>
      <c r="BE26" s="1137" t="b">
        <f>Application!M356="Yes"</f>
        <v>0</v>
      </c>
    </row>
    <row r="27" spans="1:58" ht="13" customHeight="1">
      <c r="A27" s="3"/>
      <c r="C27" s="3"/>
      <c r="D27" s="3"/>
      <c r="E27" s="3"/>
      <c r="F27" s="3"/>
      <c r="G27" s="3"/>
      <c r="H27" s="3"/>
      <c r="I27" s="3"/>
      <c r="J27" s="3"/>
      <c r="K27" s="3"/>
      <c r="L27" s="3"/>
      <c r="M27" s="1314">
        <f>'Basis &amp; Credits'!AB78</f>
        <v>0</v>
      </c>
      <c r="N27" s="1314"/>
      <c r="O27" s="1314"/>
      <c r="P27" s="1314"/>
      <c r="Q27" s="1314"/>
      <c r="R27" s="3" t="s">
        <v>683</v>
      </c>
      <c r="S27" s="3"/>
      <c r="T27" s="3"/>
      <c r="U27" s="3"/>
      <c r="V27" s="3"/>
      <c r="W27" s="3"/>
      <c r="X27" s="3"/>
      <c r="Y27" s="3"/>
      <c r="Z27" s="3"/>
      <c r="AF27" s="3"/>
      <c r="AG27" s="3"/>
      <c r="AH27" s="3"/>
      <c r="AI27" s="3"/>
      <c r="AJ27" s="3"/>
      <c r="AK27" s="3"/>
      <c r="BD27" s="1135" t="s">
        <v>684</v>
      </c>
      <c r="BE27" s="1137" t="b">
        <f>Application!M355="Yes"</f>
        <v>0</v>
      </c>
    </row>
    <row r="28" spans="1:58"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6" t="s">
        <v>685</v>
      </c>
      <c r="BE28" s="1137" t="b">
        <f>Application!M357="Yes"</f>
        <v>0</v>
      </c>
    </row>
    <row r="29" spans="1:58" ht="13" customHeight="1">
      <c r="A29" s="1483" t="s">
        <v>686</v>
      </c>
      <c r="B29" s="1483"/>
      <c r="C29" s="1483"/>
      <c r="D29" s="1483"/>
      <c r="E29" s="1483"/>
      <c r="F29" s="1483"/>
      <c r="G29" s="1483"/>
      <c r="H29" s="1483"/>
      <c r="I29" s="1483"/>
      <c r="J29" s="1483"/>
      <c r="K29" s="1483"/>
      <c r="L29" s="1483"/>
      <c r="M29" s="1483"/>
      <c r="N29" s="1483"/>
      <c r="O29" s="1483"/>
      <c r="P29" s="1483"/>
      <c r="Q29" s="1483"/>
      <c r="R29" s="1483"/>
      <c r="S29" s="1483"/>
      <c r="T29" s="1483"/>
      <c r="U29" s="1483"/>
      <c r="V29" s="1483"/>
      <c r="W29" s="1483"/>
      <c r="X29" s="1483"/>
      <c r="Y29" s="1483"/>
      <c r="Z29" s="1483"/>
      <c r="AA29" s="1483"/>
      <c r="AB29" s="1483"/>
      <c r="AC29" s="1483"/>
      <c r="AD29" s="1483"/>
      <c r="AE29" s="1483"/>
      <c r="AF29" s="1483"/>
      <c r="AG29" s="1483"/>
      <c r="AH29" s="1483"/>
      <c r="AI29" s="1483"/>
      <c r="AJ29" s="1483"/>
      <c r="AK29" s="1483"/>
      <c r="AL29" s="1483"/>
      <c r="AM29" s="1483"/>
      <c r="AN29" s="1483"/>
      <c r="AO29" s="1483"/>
      <c r="AP29" s="1483"/>
      <c r="AQ29" s="1483"/>
      <c r="AR29" s="1483"/>
      <c r="AS29" s="1483"/>
      <c r="AT29" s="1483"/>
      <c r="BD29" s="1135" t="s">
        <v>687</v>
      </c>
      <c r="BE29" s="1137" t="b">
        <f>Application!M358="Yes"</f>
        <v>1</v>
      </c>
    </row>
    <row r="30" spans="1:58" ht="13" customHeight="1">
      <c r="A30" s="1483"/>
      <c r="B30" s="1483"/>
      <c r="C30" s="1483"/>
      <c r="D30" s="1483"/>
      <c r="E30" s="1483"/>
      <c r="F30" s="1483"/>
      <c r="G30" s="1483"/>
      <c r="H30" s="1483"/>
      <c r="I30" s="1483"/>
      <c r="J30" s="1483"/>
      <c r="K30" s="1483"/>
      <c r="L30" s="1483"/>
      <c r="M30" s="1483"/>
      <c r="N30" s="1483"/>
      <c r="O30" s="1483"/>
      <c r="P30" s="1483"/>
      <c r="Q30" s="1483"/>
      <c r="R30" s="1483"/>
      <c r="S30" s="1483"/>
      <c r="T30" s="1483"/>
      <c r="U30" s="1483"/>
      <c r="V30" s="1483"/>
      <c r="W30" s="1483"/>
      <c r="X30" s="1483"/>
      <c r="Y30" s="1483"/>
      <c r="Z30" s="1483"/>
      <c r="AA30" s="1483"/>
      <c r="AB30" s="1483"/>
      <c r="AC30" s="1483"/>
      <c r="AD30" s="1483"/>
      <c r="AE30" s="1483"/>
      <c r="AF30" s="1483"/>
      <c r="AG30" s="1483"/>
      <c r="AH30" s="1483"/>
      <c r="AI30" s="1483"/>
      <c r="AJ30" s="1483"/>
      <c r="AK30" s="1483"/>
      <c r="AL30" s="1483"/>
      <c r="AM30" s="1483"/>
      <c r="AN30" s="1483"/>
      <c r="AO30" s="1483"/>
      <c r="AP30" s="1483"/>
      <c r="AQ30" s="1483"/>
      <c r="AR30" s="1483"/>
      <c r="AS30" s="1483"/>
      <c r="AT30" s="1483"/>
      <c r="AZ30" s="17"/>
      <c r="BD30" s="1136" t="s">
        <v>688</v>
      </c>
      <c r="BE30" s="1137" t="b">
        <f>Application!AJ355="Yes"</f>
        <v>0</v>
      </c>
    </row>
    <row r="31" spans="1:58" ht="13" customHeight="1">
      <c r="A31" s="1483"/>
      <c r="B31" s="1483"/>
      <c r="C31" s="1483"/>
      <c r="D31" s="1483"/>
      <c r="E31" s="1483"/>
      <c r="F31" s="1483"/>
      <c r="G31" s="1483"/>
      <c r="H31" s="1483"/>
      <c r="I31" s="1483"/>
      <c r="J31" s="1483"/>
      <c r="K31" s="1483"/>
      <c r="L31" s="1483"/>
      <c r="M31" s="1483"/>
      <c r="N31" s="1483"/>
      <c r="O31" s="1483"/>
      <c r="P31" s="1483"/>
      <c r="Q31" s="1483"/>
      <c r="R31" s="1483"/>
      <c r="S31" s="1483"/>
      <c r="T31" s="1483"/>
      <c r="U31" s="1483"/>
      <c r="V31" s="1483"/>
      <c r="W31" s="1483"/>
      <c r="X31" s="1483"/>
      <c r="Y31" s="1483"/>
      <c r="Z31" s="1483"/>
      <c r="AA31" s="1483"/>
      <c r="AB31" s="1483"/>
      <c r="AC31" s="1483"/>
      <c r="AD31" s="1483"/>
      <c r="AE31" s="1483"/>
      <c r="AF31" s="1483"/>
      <c r="AG31" s="1483"/>
      <c r="AH31" s="1483"/>
      <c r="AI31" s="1483"/>
      <c r="AJ31" s="1483"/>
      <c r="AK31" s="1483"/>
      <c r="AL31" s="1483"/>
      <c r="AM31" s="1483"/>
      <c r="AN31" s="1483"/>
      <c r="AO31" s="1483"/>
      <c r="AP31" s="1483"/>
      <c r="AQ31" s="1483"/>
      <c r="AR31" s="1483"/>
      <c r="AS31" s="1483"/>
      <c r="AT31" s="1483"/>
      <c r="AU31" s="17"/>
      <c r="AV31" s="17"/>
      <c r="AW31" s="17"/>
      <c r="AX31" s="17"/>
      <c r="AY31" s="17"/>
      <c r="AZ31" s="17"/>
      <c r="BD31" s="1135" t="s">
        <v>689</v>
      </c>
      <c r="BE31" s="1137" t="str">
        <f>Application!D211</f>
        <v>Non-Targeted</v>
      </c>
    </row>
    <row r="32" spans="1:58" ht="13" customHeight="1">
      <c r="A32" s="418"/>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6" t="s">
        <v>690</v>
      </c>
      <c r="BE32" s="1137">
        <f>IF(ISNUMBER(Application!W465),W465,0)</f>
        <v>0</v>
      </c>
    </row>
    <row r="33" spans="1:57" ht="13" customHeight="1">
      <c r="A33" s="418" t="s">
        <v>691</v>
      </c>
      <c r="C33" s="418"/>
      <c r="D33" s="418"/>
      <c r="E33" s="418"/>
      <c r="F33" s="418"/>
      <c r="G33" s="418"/>
      <c r="H33" s="418"/>
      <c r="I33" s="418"/>
      <c r="J33" s="418"/>
      <c r="K33" s="418"/>
      <c r="L33" s="418"/>
      <c r="M33" s="418"/>
      <c r="N33" s="418"/>
      <c r="O33" s="1367" t="s">
        <v>692</v>
      </c>
      <c r="P33" s="1367"/>
      <c r="Q33" s="1772" t="s">
        <v>693</v>
      </c>
      <c r="R33" s="1772"/>
      <c r="S33" s="1772"/>
      <c r="T33" s="1772"/>
      <c r="U33" s="1772"/>
      <c r="V33" s="1772"/>
      <c r="W33" s="1772"/>
      <c r="X33" s="1772"/>
      <c r="Y33" s="1772"/>
      <c r="Z33" s="1772"/>
      <c r="AA33" s="1772"/>
      <c r="AB33" s="1772"/>
      <c r="AC33" s="1772"/>
      <c r="AD33" s="1772"/>
      <c r="AE33" s="1772"/>
      <c r="AF33" s="1772"/>
      <c r="AG33" s="1772"/>
      <c r="AH33" s="1772"/>
      <c r="AI33" s="1772"/>
      <c r="AJ33" s="1772"/>
      <c r="AK33" s="1772"/>
      <c r="AL33" s="1772"/>
      <c r="AM33" s="1772"/>
      <c r="AN33" s="1772"/>
      <c r="AO33" s="1772"/>
      <c r="AP33" s="1772"/>
      <c r="AQ33" s="1772"/>
      <c r="AR33" s="1772"/>
      <c r="AS33" s="1772"/>
      <c r="AT33" s="1772"/>
      <c r="AU33" s="17"/>
      <c r="AV33" s="17"/>
      <c r="AW33" s="17"/>
      <c r="AX33" s="17"/>
      <c r="AY33" s="17"/>
      <c r="BD33" s="1135" t="s">
        <v>694</v>
      </c>
      <c r="BE33" s="1137" t="str">
        <f>Application!D220</f>
        <v>Northern Region: Butte, Marin, Napa, Shasta, Solano, and Sonoma Counties</v>
      </c>
    </row>
    <row r="34" spans="1:57" ht="13" customHeight="1">
      <c r="A34" s="1483" t="s">
        <v>695</v>
      </c>
      <c r="B34" s="1483"/>
      <c r="C34" s="1483"/>
      <c r="D34" s="1483"/>
      <c r="E34" s="1483"/>
      <c r="F34" s="1483"/>
      <c r="G34" s="1483"/>
      <c r="H34" s="1483"/>
      <c r="I34" s="1483"/>
      <c r="J34" s="1483"/>
      <c r="K34" s="1483"/>
      <c r="L34" s="1483"/>
      <c r="M34" s="1483"/>
      <c r="N34" s="1483"/>
      <c r="O34" s="1483"/>
      <c r="P34" s="1483"/>
      <c r="Q34" s="1483"/>
      <c r="R34" s="1483"/>
      <c r="S34" s="1483"/>
      <c r="T34" s="1483"/>
      <c r="U34" s="1483"/>
      <c r="V34" s="1483"/>
      <c r="W34" s="1483"/>
      <c r="X34" s="1483"/>
      <c r="Y34" s="1483"/>
      <c r="Z34" s="1483"/>
      <c r="AA34" s="1483"/>
      <c r="AB34" s="1483"/>
      <c r="AC34" s="1483"/>
      <c r="AD34" s="1483"/>
      <c r="AE34" s="1483"/>
      <c r="AF34" s="1483"/>
      <c r="AG34" s="1483"/>
      <c r="AH34" s="1483"/>
      <c r="AI34" s="1483"/>
      <c r="AJ34" s="1483"/>
      <c r="AK34" s="1483"/>
      <c r="AL34" s="1483"/>
      <c r="AM34" s="1483"/>
      <c r="AN34" s="1483"/>
      <c r="AO34" s="1483"/>
      <c r="AP34" s="1483"/>
      <c r="AQ34" s="1483"/>
      <c r="AR34" s="1483"/>
      <c r="AS34" s="1483"/>
      <c r="AT34" s="1483"/>
      <c r="AU34" s="17"/>
      <c r="AV34" s="17"/>
      <c r="AW34" s="17"/>
      <c r="AX34" s="17"/>
      <c r="AY34" s="17"/>
      <c r="AZ34" s="17"/>
      <c r="BD34" s="1136" t="s">
        <v>696</v>
      </c>
      <c r="BE34" s="1137" t="str">
        <f>Application!I185</f>
        <v>33 San Clemente Drive</v>
      </c>
    </row>
    <row r="35" spans="1:57" ht="13" customHeight="1">
      <c r="A35" s="1483"/>
      <c r="B35" s="1483"/>
      <c r="C35" s="1483"/>
      <c r="D35" s="1483"/>
      <c r="E35" s="1483"/>
      <c r="F35" s="1483"/>
      <c r="G35" s="1483"/>
      <c r="H35" s="1483"/>
      <c r="I35" s="1483"/>
      <c r="J35" s="1483"/>
      <c r="K35" s="1483"/>
      <c r="L35" s="1483"/>
      <c r="M35" s="1483"/>
      <c r="N35" s="1483"/>
      <c r="O35" s="1483"/>
      <c r="P35" s="1483"/>
      <c r="Q35" s="1483"/>
      <c r="R35" s="1483"/>
      <c r="S35" s="1483"/>
      <c r="T35" s="1483"/>
      <c r="U35" s="1483"/>
      <c r="V35" s="1483"/>
      <c r="W35" s="1483"/>
      <c r="X35" s="1483"/>
      <c r="Y35" s="1483"/>
      <c r="Z35" s="1483"/>
      <c r="AA35" s="1483"/>
      <c r="AB35" s="1483"/>
      <c r="AC35" s="1483"/>
      <c r="AD35" s="1483"/>
      <c r="AE35" s="1483"/>
      <c r="AF35" s="1483"/>
      <c r="AG35" s="1483"/>
      <c r="AH35" s="1483"/>
      <c r="AI35" s="1483"/>
      <c r="AJ35" s="1483"/>
      <c r="AK35" s="1483"/>
      <c r="AL35" s="1483"/>
      <c r="AM35" s="1483"/>
      <c r="AN35" s="1483"/>
      <c r="AO35" s="1483"/>
      <c r="AP35" s="1483"/>
      <c r="AQ35" s="1483"/>
      <c r="AR35" s="1483"/>
      <c r="AS35" s="1483"/>
      <c r="AT35" s="1483"/>
      <c r="AU35" s="17"/>
      <c r="AV35" s="17"/>
      <c r="AW35" s="17"/>
      <c r="AX35" s="17"/>
      <c r="AY35" s="17"/>
      <c r="AZ35" s="17"/>
      <c r="BD35" s="1135" t="s">
        <v>697</v>
      </c>
      <c r="BE35" s="1137" t="str">
        <f>IF(Application!E187="","",Application!E187)</f>
        <v/>
      </c>
    </row>
    <row r="36" spans="1:57" ht="13" customHeight="1">
      <c r="A36" s="1483"/>
      <c r="B36" s="1483"/>
      <c r="C36" s="1483"/>
      <c r="D36" s="1483"/>
      <c r="E36" s="1483"/>
      <c r="F36" s="1483"/>
      <c r="G36" s="1483"/>
      <c r="H36" s="1483"/>
      <c r="I36" s="1483"/>
      <c r="J36" s="1483"/>
      <c r="K36" s="1483"/>
      <c r="L36" s="1483"/>
      <c r="M36" s="1483"/>
      <c r="N36" s="1483"/>
      <c r="O36" s="1483"/>
      <c r="P36" s="1483"/>
      <c r="Q36" s="1483"/>
      <c r="R36" s="1483"/>
      <c r="S36" s="1483"/>
      <c r="T36" s="1483"/>
      <c r="U36" s="1483"/>
      <c r="V36" s="1483"/>
      <c r="W36" s="1483"/>
      <c r="X36" s="1483"/>
      <c r="Y36" s="1483"/>
      <c r="Z36" s="1483"/>
      <c r="AA36" s="1483"/>
      <c r="AB36" s="1483"/>
      <c r="AC36" s="1483"/>
      <c r="AD36" s="1483"/>
      <c r="AE36" s="1483"/>
      <c r="AF36" s="1483"/>
      <c r="AG36" s="1483"/>
      <c r="AH36" s="1483"/>
      <c r="AI36" s="1483"/>
      <c r="AJ36" s="1483"/>
      <c r="AK36" s="1483"/>
      <c r="AL36" s="1483"/>
      <c r="AM36" s="1483"/>
      <c r="AN36" s="1483"/>
      <c r="AO36" s="1483"/>
      <c r="AP36" s="1483"/>
      <c r="AQ36" s="1483"/>
      <c r="AR36" s="1483"/>
      <c r="AS36" s="1483"/>
      <c r="AT36" s="1483"/>
      <c r="AU36" s="17"/>
      <c r="AV36" s="17"/>
      <c r="AW36" s="17"/>
      <c r="AX36" s="17"/>
      <c r="AY36" s="17"/>
      <c r="AZ36" s="17"/>
      <c r="BD36" s="1136" t="s">
        <v>698</v>
      </c>
      <c r="BE36" s="1137" t="str">
        <f>Application!I189</f>
        <v>Corte Madera</v>
      </c>
    </row>
    <row r="37" spans="1:57" ht="13" customHeight="1">
      <c r="A37" s="1483"/>
      <c r="B37" s="1483"/>
      <c r="C37" s="1483"/>
      <c r="D37" s="1483"/>
      <c r="E37" s="1483"/>
      <c r="F37" s="1483"/>
      <c r="G37" s="1483"/>
      <c r="H37" s="1483"/>
      <c r="I37" s="1483"/>
      <c r="J37" s="1483"/>
      <c r="K37" s="1483"/>
      <c r="L37" s="1483"/>
      <c r="M37" s="1483"/>
      <c r="N37" s="1483"/>
      <c r="O37" s="1483"/>
      <c r="P37" s="1483"/>
      <c r="Q37" s="1483"/>
      <c r="R37" s="1483"/>
      <c r="S37" s="1483"/>
      <c r="T37" s="1483"/>
      <c r="U37" s="1483"/>
      <c r="V37" s="1483"/>
      <c r="W37" s="1483"/>
      <c r="X37" s="1483"/>
      <c r="Y37" s="1483"/>
      <c r="Z37" s="1483"/>
      <c r="AA37" s="1483"/>
      <c r="AB37" s="1483"/>
      <c r="AC37" s="1483"/>
      <c r="AD37" s="1483"/>
      <c r="AE37" s="1483"/>
      <c r="AF37" s="1483"/>
      <c r="AG37" s="1483"/>
      <c r="AH37" s="1483"/>
      <c r="AI37" s="1483"/>
      <c r="AJ37" s="1483"/>
      <c r="AK37" s="1483"/>
      <c r="AL37" s="1483"/>
      <c r="AM37" s="1483"/>
      <c r="AN37" s="1483"/>
      <c r="AO37" s="1483"/>
      <c r="AP37" s="1483"/>
      <c r="AQ37" s="1483"/>
      <c r="AR37" s="1483"/>
      <c r="AS37" s="1483"/>
      <c r="AT37" s="1483"/>
      <c r="AZ37" s="17"/>
      <c r="BD37" s="1135" t="s">
        <v>699</v>
      </c>
      <c r="BE37" s="1137" t="str">
        <f>Application!T189</f>
        <v>Marin</v>
      </c>
    </row>
    <row r="38" spans="1:57" ht="13" customHeight="1">
      <c r="A38" s="3"/>
      <c r="AZ38" s="17"/>
      <c r="BD38" s="1136" t="s">
        <v>700</v>
      </c>
      <c r="BE38" s="1137">
        <f>Application!I190</f>
        <v>94925</v>
      </c>
    </row>
    <row r="39" spans="1:57" ht="13" customHeight="1">
      <c r="A39" s="1221" t="s">
        <v>701</v>
      </c>
      <c r="B39" s="1221"/>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Z39" s="17"/>
      <c r="BD39" s="1135" t="s">
        <v>702</v>
      </c>
      <c r="BE39" s="1137">
        <f>Application!AG437</f>
        <v>79</v>
      </c>
    </row>
    <row r="40" spans="1:57" ht="13" customHeight="1">
      <c r="A40" s="1221"/>
      <c r="B40" s="1221"/>
      <c r="C40" s="1221"/>
      <c r="D40" s="1221"/>
      <c r="E40" s="1221"/>
      <c r="F40" s="1221"/>
      <c r="G40" s="1221"/>
      <c r="H40" s="1221"/>
      <c r="I40" s="1221"/>
      <c r="J40" s="1221"/>
      <c r="K40" s="1221"/>
      <c r="L40" s="1221"/>
      <c r="M40" s="1221"/>
      <c r="N40" s="1221"/>
      <c r="O40" s="1221"/>
      <c r="P40" s="1221"/>
      <c r="Q40" s="1221"/>
      <c r="R40" s="1221"/>
      <c r="S40" s="1221"/>
      <c r="T40" s="1221"/>
      <c r="U40" s="1221"/>
      <c r="V40" s="1221"/>
      <c r="W40" s="1221"/>
      <c r="X40" s="1221"/>
      <c r="Y40" s="1221"/>
      <c r="Z40" s="1221"/>
      <c r="AA40" s="1221"/>
      <c r="AB40" s="1221"/>
      <c r="AC40" s="1221"/>
      <c r="AD40" s="1221"/>
      <c r="AE40" s="1221"/>
      <c r="AF40" s="1221"/>
      <c r="AG40" s="1221"/>
      <c r="AH40" s="1221"/>
      <c r="AI40" s="1221"/>
      <c r="AJ40" s="1221"/>
      <c r="AK40" s="1221"/>
      <c r="AL40" s="1221"/>
      <c r="AM40" s="1221"/>
      <c r="AN40" s="1221"/>
      <c r="AO40" s="1221"/>
      <c r="AP40" s="1221"/>
      <c r="AQ40" s="1221"/>
      <c r="AR40" s="1221"/>
      <c r="AS40" s="1221"/>
      <c r="AT40" s="1221"/>
      <c r="AU40" s="17"/>
      <c r="AV40" s="17"/>
      <c r="AW40" s="17"/>
      <c r="AX40" s="17"/>
      <c r="AY40" s="17"/>
      <c r="AZ40" s="17"/>
      <c r="BD40" s="1136" t="s">
        <v>201</v>
      </c>
      <c r="BE40" s="1137">
        <f>Application!AG440</f>
        <v>78</v>
      </c>
    </row>
    <row r="41" spans="1:57" ht="13" customHeight="1">
      <c r="A41" s="1221"/>
      <c r="B41" s="1221"/>
      <c r="C41" s="1221"/>
      <c r="D41" s="1221"/>
      <c r="E41" s="1221"/>
      <c r="F41" s="1221"/>
      <c r="G41" s="1221"/>
      <c r="H41" s="1221"/>
      <c r="I41" s="1221"/>
      <c r="J41" s="1221"/>
      <c r="K41" s="1221"/>
      <c r="L41" s="1221"/>
      <c r="M41" s="1221"/>
      <c r="N41" s="1221"/>
      <c r="O41" s="1221"/>
      <c r="P41" s="1221"/>
      <c r="Q41" s="1221"/>
      <c r="R41" s="1221"/>
      <c r="S41" s="1221"/>
      <c r="T41" s="1221"/>
      <c r="U41" s="1221"/>
      <c r="V41" s="1221"/>
      <c r="W41" s="1221"/>
      <c r="X41" s="1221"/>
      <c r="Y41" s="1221"/>
      <c r="Z41" s="1221"/>
      <c r="AA41" s="1221"/>
      <c r="AB41" s="1221"/>
      <c r="AC41" s="1221"/>
      <c r="AD41" s="1221"/>
      <c r="AE41" s="1221"/>
      <c r="AF41" s="1221"/>
      <c r="AG41" s="1221"/>
      <c r="AH41" s="1221"/>
      <c r="AI41" s="1221"/>
      <c r="AJ41" s="1221"/>
      <c r="AK41" s="1221"/>
      <c r="AL41" s="1221"/>
      <c r="AM41" s="1221"/>
      <c r="AN41" s="1221"/>
      <c r="AO41" s="1221"/>
      <c r="AP41" s="1221"/>
      <c r="AQ41" s="1221"/>
      <c r="AR41" s="1221"/>
      <c r="AS41" s="1221"/>
      <c r="AT41" s="1221"/>
      <c r="AU41" s="17"/>
      <c r="AV41" s="17"/>
      <c r="AW41" s="17"/>
      <c r="AX41" s="17"/>
      <c r="AY41" s="17"/>
      <c r="AZ41" s="17"/>
      <c r="BD41" s="1135" t="s">
        <v>209</v>
      </c>
      <c r="BE41" s="1137">
        <f>Application!AG438</f>
        <v>0</v>
      </c>
    </row>
    <row r="42" spans="1:57" ht="13" customHeight="1">
      <c r="A42" s="1221"/>
      <c r="B42" s="1221"/>
      <c r="C42" s="1221"/>
      <c r="D42" s="1221"/>
      <c r="E42" s="1221"/>
      <c r="F42" s="1221"/>
      <c r="G42" s="1221"/>
      <c r="H42" s="1221"/>
      <c r="I42" s="1221"/>
      <c r="J42" s="1221"/>
      <c r="K42" s="1221"/>
      <c r="L42" s="1221"/>
      <c r="M42" s="1221"/>
      <c r="N42" s="1221"/>
      <c r="O42" s="1221"/>
      <c r="P42" s="1221"/>
      <c r="Q42" s="1221"/>
      <c r="R42" s="1221"/>
      <c r="S42" s="1221"/>
      <c r="T42" s="1221"/>
      <c r="U42" s="1221"/>
      <c r="V42" s="1221"/>
      <c r="W42" s="1221"/>
      <c r="X42" s="1221"/>
      <c r="Y42" s="1221"/>
      <c r="Z42" s="1221"/>
      <c r="AA42" s="1221"/>
      <c r="AB42" s="1221"/>
      <c r="AC42" s="1221"/>
      <c r="AD42" s="1221"/>
      <c r="AE42" s="1221"/>
      <c r="AF42" s="1221"/>
      <c r="AG42" s="1221"/>
      <c r="AH42" s="1221"/>
      <c r="AI42" s="1221"/>
      <c r="AJ42" s="1221"/>
      <c r="AK42" s="1221"/>
      <c r="AL42" s="1221"/>
      <c r="AM42" s="1221"/>
      <c r="AN42" s="1221"/>
      <c r="AO42" s="1221"/>
      <c r="AP42" s="1221"/>
      <c r="AQ42" s="1221"/>
      <c r="AR42" s="1221"/>
      <c r="AS42" s="1221"/>
      <c r="AT42" s="1221"/>
      <c r="AZ42" s="17"/>
      <c r="BD42" s="1136" t="s">
        <v>703</v>
      </c>
      <c r="BE42" s="1139">
        <f>Application!AC753</f>
        <v>0.41153846153846152</v>
      </c>
    </row>
    <row r="43" spans="1:57" ht="13" customHeight="1">
      <c r="A43" s="1221"/>
      <c r="B43" s="1221"/>
      <c r="C43" s="1221"/>
      <c r="D43" s="1221"/>
      <c r="E43" s="1221"/>
      <c r="F43" s="1221"/>
      <c r="G43" s="1221"/>
      <c r="H43" s="1221"/>
      <c r="I43" s="1221"/>
      <c r="J43" s="1221"/>
      <c r="K43" s="1221"/>
      <c r="L43" s="1221"/>
      <c r="M43" s="1221"/>
      <c r="N43" s="1221"/>
      <c r="O43" s="1221"/>
      <c r="P43" s="1221"/>
      <c r="Q43" s="1221"/>
      <c r="R43" s="1221"/>
      <c r="S43" s="1221"/>
      <c r="T43" s="1221"/>
      <c r="U43" s="1221"/>
      <c r="V43" s="1221"/>
      <c r="W43" s="1221"/>
      <c r="X43" s="1221"/>
      <c r="Y43" s="1221"/>
      <c r="Z43" s="1221"/>
      <c r="AA43" s="1221"/>
      <c r="AB43" s="1221"/>
      <c r="AC43" s="1221"/>
      <c r="AD43" s="1221"/>
      <c r="AE43" s="1221"/>
      <c r="AF43" s="1221"/>
      <c r="AG43" s="1221"/>
      <c r="AH43" s="1221"/>
      <c r="AI43" s="1221"/>
      <c r="AJ43" s="1221"/>
      <c r="AK43" s="1221"/>
      <c r="AL43" s="1221"/>
      <c r="AM43" s="1221"/>
      <c r="AN43" s="1221"/>
      <c r="AO43" s="1221"/>
      <c r="AP43" s="1221"/>
      <c r="AQ43" s="1221"/>
      <c r="AR43" s="1221"/>
      <c r="AS43" s="1221"/>
      <c r="AT43" s="1221"/>
      <c r="AU43" s="17"/>
      <c r="AV43" s="17"/>
      <c r="AW43" s="17"/>
      <c r="AX43" s="17"/>
      <c r="AY43" s="17"/>
      <c r="AZ43" s="17"/>
      <c r="BD43" s="1135" t="s">
        <v>704</v>
      </c>
      <c r="BE43" s="1139">
        <f>Application!AH753</f>
        <v>0.36252859100645468</v>
      </c>
    </row>
    <row r="44" spans="1:57" ht="13" customHeight="1">
      <c r="A44" s="1221"/>
      <c r="B44" s="1221"/>
      <c r="C44" s="1221"/>
      <c r="D44" s="1221"/>
      <c r="E44" s="1221"/>
      <c r="F44" s="1221"/>
      <c r="G44" s="1221"/>
      <c r="H44" s="1221"/>
      <c r="I44" s="1221"/>
      <c r="J44" s="1221"/>
      <c r="K44" s="1221"/>
      <c r="L44" s="1221"/>
      <c r="M44" s="1221"/>
      <c r="N44" s="1221"/>
      <c r="O44" s="1221"/>
      <c r="P44" s="1221"/>
      <c r="Q44" s="1221"/>
      <c r="R44" s="1221"/>
      <c r="S44" s="1221"/>
      <c r="T44" s="1221"/>
      <c r="U44" s="1221"/>
      <c r="V44" s="1221"/>
      <c r="W44" s="1221"/>
      <c r="X44" s="1221"/>
      <c r="Y44" s="1221"/>
      <c r="Z44" s="1221"/>
      <c r="AA44" s="1221"/>
      <c r="AB44" s="1221"/>
      <c r="AC44" s="1221"/>
      <c r="AD44" s="1221"/>
      <c r="AE44" s="1221"/>
      <c r="AF44" s="1221"/>
      <c r="AG44" s="1221"/>
      <c r="AH44" s="1221"/>
      <c r="AI44" s="1221"/>
      <c r="AJ44" s="1221"/>
      <c r="AK44" s="1221"/>
      <c r="AL44" s="1221"/>
      <c r="AM44" s="1221"/>
      <c r="AN44" s="1221"/>
      <c r="AO44" s="1221"/>
      <c r="AP44" s="1221"/>
      <c r="AQ44" s="1221"/>
      <c r="AR44" s="1221"/>
      <c r="AS44" s="1221"/>
      <c r="AT44" s="1221"/>
      <c r="AU44" s="17"/>
      <c r="AV44" s="17"/>
      <c r="AW44" s="17"/>
      <c r="AX44" s="17"/>
      <c r="AY44" s="17"/>
      <c r="AZ44" s="17"/>
      <c r="BD44" s="1136" t="s">
        <v>705</v>
      </c>
      <c r="BE44" s="1137">
        <f>Application!AC454</f>
        <v>718293.02531645575</v>
      </c>
    </row>
    <row r="45" spans="1:57" ht="13" customHeight="1">
      <c r="A45" s="418"/>
      <c r="C45" s="418"/>
      <c r="D45" s="418"/>
      <c r="E45" s="418"/>
      <c r="F45" s="418"/>
      <c r="G45" s="418"/>
      <c r="H45" s="418"/>
      <c r="I45" s="418"/>
      <c r="J45" s="418"/>
      <c r="K45" s="418"/>
      <c r="L45" s="418"/>
      <c r="M45" s="418"/>
      <c r="N45" s="418"/>
      <c r="O45" s="418"/>
      <c r="P45" s="418"/>
      <c r="Q45" s="418"/>
      <c r="R45" s="418"/>
      <c r="S45" s="418"/>
      <c r="T45" s="418"/>
      <c r="U45" s="418"/>
      <c r="V45" s="418"/>
      <c r="W45" s="418"/>
      <c r="X45" s="418"/>
      <c r="Y45" s="418"/>
      <c r="Z45" s="418"/>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5" t="s">
        <v>706</v>
      </c>
      <c r="BE45" s="1137">
        <f>Application!AE424</f>
        <v>3</v>
      </c>
    </row>
    <row r="46" spans="1:57" ht="13" customHeight="1">
      <c r="A46" s="1289" t="s">
        <v>707</v>
      </c>
      <c r="B46" s="1289"/>
      <c r="C46" s="1289"/>
      <c r="D46" s="1289"/>
      <c r="E46" s="1289"/>
      <c r="F46" s="1289"/>
      <c r="G46" s="1289"/>
      <c r="H46" s="1289"/>
      <c r="I46" s="1289"/>
      <c r="J46" s="1289"/>
      <c r="K46" s="1289"/>
      <c r="L46" s="1289"/>
      <c r="M46" s="1289"/>
      <c r="N46" s="1289"/>
      <c r="O46" s="1289"/>
      <c r="P46" s="1289"/>
      <c r="Q46" s="1289"/>
      <c r="R46" s="1289"/>
      <c r="S46" s="1289"/>
      <c r="T46" s="1289"/>
      <c r="U46" s="1289"/>
      <c r="V46" s="1289"/>
      <c r="W46" s="1289"/>
      <c r="X46" s="1289"/>
      <c r="Y46" s="1289"/>
      <c r="Z46" s="1289"/>
      <c r="AA46" s="1289"/>
      <c r="AB46" s="1289"/>
      <c r="AC46" s="1289"/>
      <c r="AD46" s="1289"/>
      <c r="AE46" s="1289"/>
      <c r="AF46" s="1289"/>
      <c r="AG46" s="1289"/>
      <c r="AH46" s="1289"/>
      <c r="AI46" s="1289"/>
      <c r="AJ46" s="1289"/>
      <c r="AK46" s="1289"/>
      <c r="AL46" s="1289"/>
      <c r="AM46" s="1289"/>
      <c r="AN46" s="1289"/>
      <c r="AO46" s="1289"/>
      <c r="AP46" s="1289"/>
      <c r="AQ46" s="1289"/>
      <c r="AR46" s="1289"/>
      <c r="AS46" s="1289"/>
      <c r="AT46" s="1289"/>
      <c r="AU46" s="17"/>
      <c r="AV46" s="17"/>
      <c r="AW46" s="17"/>
      <c r="AX46" s="17"/>
      <c r="AY46" s="17"/>
      <c r="AZ46" s="17"/>
      <c r="BD46" s="1136" t="s">
        <v>708</v>
      </c>
      <c r="BE46" s="1137" t="b">
        <f>Application!T195="Yes"</f>
        <v>1</v>
      </c>
    </row>
    <row r="47" spans="1:57" ht="13" customHeight="1">
      <c r="A47" s="1289"/>
      <c r="B47" s="1289"/>
      <c r="C47" s="1289"/>
      <c r="D47" s="1289"/>
      <c r="E47" s="1289"/>
      <c r="F47" s="1289"/>
      <c r="G47" s="1289"/>
      <c r="H47" s="1289"/>
      <c r="I47" s="1289"/>
      <c r="J47" s="1289"/>
      <c r="K47" s="1289"/>
      <c r="L47" s="1289"/>
      <c r="M47" s="1289"/>
      <c r="N47" s="1289"/>
      <c r="O47" s="1289"/>
      <c r="P47" s="1289"/>
      <c r="Q47" s="1289"/>
      <c r="R47" s="1289"/>
      <c r="S47" s="1289"/>
      <c r="T47" s="1289"/>
      <c r="U47" s="1289"/>
      <c r="V47" s="1289"/>
      <c r="W47" s="1289"/>
      <c r="X47" s="1289"/>
      <c r="Y47" s="1289"/>
      <c r="Z47" s="1289"/>
      <c r="AA47" s="1289"/>
      <c r="AB47" s="1289"/>
      <c r="AC47" s="1289"/>
      <c r="AD47" s="1289"/>
      <c r="AE47" s="1289"/>
      <c r="AF47" s="1289"/>
      <c r="AG47" s="1289"/>
      <c r="AH47" s="1289"/>
      <c r="AI47" s="1289"/>
      <c r="AJ47" s="1289"/>
      <c r="AK47" s="1289"/>
      <c r="AL47" s="1289"/>
      <c r="AM47" s="1289"/>
      <c r="AN47" s="1289"/>
      <c r="AO47" s="1289"/>
      <c r="AP47" s="1289"/>
      <c r="AQ47" s="1289"/>
      <c r="AR47" s="1289"/>
      <c r="AS47" s="1289"/>
      <c r="AT47" s="1289"/>
      <c r="AU47" s="17"/>
      <c r="AV47" s="17"/>
      <c r="AW47" s="17"/>
      <c r="AX47" s="17"/>
      <c r="AY47" s="17"/>
      <c r="AZ47" s="17"/>
      <c r="BD47" s="1135" t="s">
        <v>709</v>
      </c>
      <c r="BE47" s="1137" t="b">
        <f>Application!T196="Yes"</f>
        <v>0</v>
      </c>
    </row>
    <row r="48" spans="1:57" ht="13" customHeight="1">
      <c r="A48" s="1289"/>
      <c r="B48" s="1289"/>
      <c r="C48" s="1289"/>
      <c r="D48" s="1289"/>
      <c r="E48" s="1289"/>
      <c r="F48" s="1289"/>
      <c r="G48" s="1289"/>
      <c r="H48" s="1289"/>
      <c r="I48" s="1289"/>
      <c r="J48" s="1289"/>
      <c r="K48" s="1289"/>
      <c r="L48" s="1289"/>
      <c r="M48" s="1289"/>
      <c r="N48" s="1289"/>
      <c r="O48" s="1289"/>
      <c r="P48" s="1289"/>
      <c r="Q48" s="1289"/>
      <c r="R48" s="1289"/>
      <c r="S48" s="1289"/>
      <c r="T48" s="1289"/>
      <c r="U48" s="1289"/>
      <c r="V48" s="1289"/>
      <c r="W48" s="1289"/>
      <c r="X48" s="1289"/>
      <c r="Y48" s="1289"/>
      <c r="Z48" s="1289"/>
      <c r="AA48" s="1289"/>
      <c r="AB48" s="1289"/>
      <c r="AC48" s="1289"/>
      <c r="AD48" s="1289"/>
      <c r="AE48" s="1289"/>
      <c r="AF48" s="1289"/>
      <c r="AG48" s="1289"/>
      <c r="AH48" s="1289"/>
      <c r="AI48" s="1289"/>
      <c r="AJ48" s="1289"/>
      <c r="AK48" s="1289"/>
      <c r="AL48" s="1289"/>
      <c r="AM48" s="1289"/>
      <c r="AN48" s="1289"/>
      <c r="AO48" s="1289"/>
      <c r="AP48" s="1289"/>
      <c r="AQ48" s="1289"/>
      <c r="AR48" s="1289"/>
      <c r="AS48" s="1289"/>
      <c r="AT48" s="1289"/>
      <c r="AU48" s="17"/>
      <c r="AV48" s="17"/>
      <c r="AW48" s="17"/>
      <c r="AX48" s="17"/>
      <c r="AY48" s="17"/>
      <c r="AZ48" s="17"/>
      <c r="BD48" s="1136" t="s">
        <v>710</v>
      </c>
      <c r="BE48" s="1137" t="str">
        <f>Application!M243</f>
        <v>San Clemente EAH II, LLC</v>
      </c>
    </row>
    <row r="49" spans="1:57" ht="13" customHeight="1">
      <c r="A49" s="1289"/>
      <c r="B49" s="1289"/>
      <c r="C49" s="1289"/>
      <c r="D49" s="1289"/>
      <c r="E49" s="1289"/>
      <c r="F49" s="1289"/>
      <c r="G49" s="1289"/>
      <c r="H49" s="1289"/>
      <c r="I49" s="1289"/>
      <c r="J49" s="1289"/>
      <c r="K49" s="1289"/>
      <c r="L49" s="1289"/>
      <c r="M49" s="1289"/>
      <c r="N49" s="1289"/>
      <c r="O49" s="1289"/>
      <c r="P49" s="1289"/>
      <c r="Q49" s="1289"/>
      <c r="R49" s="1289"/>
      <c r="S49" s="1289"/>
      <c r="T49" s="1289"/>
      <c r="U49" s="1289"/>
      <c r="V49" s="1289"/>
      <c r="W49" s="1289"/>
      <c r="X49" s="1289"/>
      <c r="Y49" s="1289"/>
      <c r="Z49" s="1289"/>
      <c r="AA49" s="1289"/>
      <c r="AB49" s="1289"/>
      <c r="AC49" s="1289"/>
      <c r="AD49" s="1289"/>
      <c r="AE49" s="1289"/>
      <c r="AF49" s="1289"/>
      <c r="AG49" s="1289"/>
      <c r="AH49" s="1289"/>
      <c r="AI49" s="1289"/>
      <c r="AJ49" s="1289"/>
      <c r="AK49" s="1289"/>
      <c r="AL49" s="1289"/>
      <c r="AM49" s="1289"/>
      <c r="AN49" s="1289"/>
      <c r="AO49" s="1289"/>
      <c r="AP49" s="1289"/>
      <c r="AQ49" s="1289"/>
      <c r="AR49" s="1289"/>
      <c r="AS49" s="1289"/>
      <c r="AT49" s="1289"/>
      <c r="AU49" s="17"/>
      <c r="AV49" s="17"/>
      <c r="AW49" s="17"/>
      <c r="AX49" s="17"/>
      <c r="AY49" s="17"/>
      <c r="AZ49" s="17"/>
      <c r="BD49" s="1135" t="s">
        <v>711</v>
      </c>
      <c r="BE49" s="1137" t="str">
        <f>Application!M246</f>
        <v>Welton Jordan</v>
      </c>
    </row>
    <row r="50" spans="1:57" ht="13" customHeight="1">
      <c r="A50" s="356"/>
      <c r="B50" s="356"/>
      <c r="C50" s="356"/>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17"/>
      <c r="AV50" s="17"/>
      <c r="AW50" s="17"/>
      <c r="AX50" s="17"/>
      <c r="AY50" s="17"/>
      <c r="AZ50" s="17"/>
      <c r="BD50" s="1136" t="s">
        <v>712</v>
      </c>
      <c r="BE50" s="1137" t="str">
        <f>Application!AA249</f>
        <v>EAH Inc.</v>
      </c>
    </row>
    <row r="51" spans="1:57" ht="13" customHeight="1">
      <c r="A51" s="1221" t="s">
        <v>713</v>
      </c>
      <c r="B51" s="1221"/>
      <c r="C51" s="1221"/>
      <c r="D51" s="1221"/>
      <c r="E51" s="1221"/>
      <c r="F51" s="1221"/>
      <c r="G51" s="1221"/>
      <c r="H51" s="1221"/>
      <c r="I51" s="1221"/>
      <c r="J51" s="1221"/>
      <c r="K51" s="1221"/>
      <c r="L51" s="1221"/>
      <c r="M51" s="1221"/>
      <c r="N51" s="1221"/>
      <c r="O51" s="1221"/>
      <c r="P51" s="1221"/>
      <c r="Q51" s="1221"/>
      <c r="R51" s="1221"/>
      <c r="S51" s="1221"/>
      <c r="T51" s="1221"/>
      <c r="U51" s="1221"/>
      <c r="V51" s="1221"/>
      <c r="W51" s="1221"/>
      <c r="X51" s="1221"/>
      <c r="Y51" s="1221"/>
      <c r="Z51" s="1221"/>
      <c r="AA51" s="1221"/>
      <c r="AB51" s="1221"/>
      <c r="AC51" s="1221"/>
      <c r="AD51" s="1221"/>
      <c r="AE51" s="1221"/>
      <c r="AF51" s="1221"/>
      <c r="AG51" s="1221"/>
      <c r="AH51" s="1221"/>
      <c r="AI51" s="1221"/>
      <c r="AJ51" s="1221"/>
      <c r="AK51" s="1221"/>
      <c r="AL51" s="1221"/>
      <c r="AM51" s="1221"/>
      <c r="AN51" s="1221"/>
      <c r="AO51" s="1221"/>
      <c r="AP51" s="1221"/>
      <c r="AQ51" s="1221"/>
      <c r="AR51" s="1221"/>
      <c r="AS51" s="1221"/>
      <c r="AT51" s="1221"/>
      <c r="AU51" s="17"/>
      <c r="AV51" s="17"/>
      <c r="AW51" s="17"/>
      <c r="AX51" s="17"/>
      <c r="AY51" s="17"/>
      <c r="AZ51" s="17"/>
      <c r="BD51" s="1135" t="s">
        <v>714</v>
      </c>
      <c r="BE51" s="1137">
        <f>Application!M251</f>
        <v>0</v>
      </c>
    </row>
    <row r="52" spans="1:57" ht="13" customHeight="1">
      <c r="A52" s="1221"/>
      <c r="B52" s="1221"/>
      <c r="C52" s="1221"/>
      <c r="D52" s="1221"/>
      <c r="E52" s="1221"/>
      <c r="F52" s="1221"/>
      <c r="G52" s="1221"/>
      <c r="H52" s="1221"/>
      <c r="I52" s="1221"/>
      <c r="J52" s="1221"/>
      <c r="K52" s="1221"/>
      <c r="L52" s="1221"/>
      <c r="M52" s="1221"/>
      <c r="N52" s="1221"/>
      <c r="O52" s="1221"/>
      <c r="P52" s="1221"/>
      <c r="Q52" s="1221"/>
      <c r="R52" s="1221"/>
      <c r="S52" s="1221"/>
      <c r="T52" s="1221"/>
      <c r="U52" s="1221"/>
      <c r="V52" s="1221"/>
      <c r="W52" s="1221"/>
      <c r="X52" s="1221"/>
      <c r="Y52" s="1221"/>
      <c r="Z52" s="1221"/>
      <c r="AA52" s="1221"/>
      <c r="AB52" s="1221"/>
      <c r="AC52" s="1221"/>
      <c r="AD52" s="1221"/>
      <c r="AE52" s="1221"/>
      <c r="AF52" s="1221"/>
      <c r="AG52" s="1221"/>
      <c r="AH52" s="1221"/>
      <c r="AI52" s="1221"/>
      <c r="AJ52" s="1221"/>
      <c r="AK52" s="1221"/>
      <c r="AL52" s="1221"/>
      <c r="AM52" s="1221"/>
      <c r="AN52" s="1221"/>
      <c r="AO52" s="1221"/>
      <c r="AP52" s="1221"/>
      <c r="AQ52" s="1221"/>
      <c r="AR52" s="1221"/>
      <c r="AS52" s="1221"/>
      <c r="AT52" s="1221"/>
      <c r="AU52" s="17"/>
      <c r="AV52" s="17"/>
      <c r="AW52" s="17"/>
      <c r="AX52" s="17"/>
      <c r="AY52" s="17"/>
      <c r="AZ52" s="17"/>
      <c r="BD52" s="1136" t="s">
        <v>715</v>
      </c>
      <c r="BE52" s="1137">
        <f>Application!M254</f>
        <v>0</v>
      </c>
    </row>
    <row r="53" spans="1:57" ht="13" customHeight="1">
      <c r="C53" s="418"/>
      <c r="D53" s="418"/>
      <c r="E53" s="418"/>
      <c r="F53" s="418"/>
      <c r="G53" s="418"/>
      <c r="H53" s="418"/>
      <c r="I53" s="418"/>
      <c r="J53" s="418"/>
      <c r="K53" s="418"/>
      <c r="L53" s="418"/>
      <c r="M53" s="418"/>
      <c r="N53" s="418"/>
      <c r="O53" s="418"/>
      <c r="P53" s="418"/>
      <c r="Q53" s="418"/>
      <c r="R53" s="418"/>
      <c r="S53" s="418"/>
      <c r="T53" s="418"/>
      <c r="U53" s="418"/>
      <c r="V53" s="418"/>
      <c r="W53" s="418"/>
      <c r="X53" s="418"/>
      <c r="Y53" s="418"/>
      <c r="Z53" s="418"/>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5" t="s">
        <v>716</v>
      </c>
      <c r="BE53" s="1137">
        <f>Application!AA257</f>
        <v>0</v>
      </c>
    </row>
    <row r="54" spans="1:57" ht="13" customHeight="1">
      <c r="A54" s="1221" t="s">
        <v>717</v>
      </c>
      <c r="B54" s="1221"/>
      <c r="C54" s="1221"/>
      <c r="D54" s="1221"/>
      <c r="E54" s="1221"/>
      <c r="F54" s="1221"/>
      <c r="G54" s="1221"/>
      <c r="H54" s="1221"/>
      <c r="I54" s="1221"/>
      <c r="J54" s="1221"/>
      <c r="K54" s="1221"/>
      <c r="L54" s="1221"/>
      <c r="M54" s="1221"/>
      <c r="N54" s="1221"/>
      <c r="O54" s="1221"/>
      <c r="P54" s="1221"/>
      <c r="Q54" s="1221"/>
      <c r="R54" s="1221"/>
      <c r="S54" s="1221"/>
      <c r="T54" s="1221"/>
      <c r="U54" s="1221"/>
      <c r="V54" s="1221"/>
      <c r="W54" s="1221"/>
      <c r="X54" s="1221"/>
      <c r="Y54" s="1221"/>
      <c r="Z54" s="1221"/>
      <c r="AA54" s="1221"/>
      <c r="AB54" s="1221"/>
      <c r="AC54" s="1221"/>
      <c r="AD54" s="1221"/>
      <c r="AE54" s="1221"/>
      <c r="AF54" s="1221"/>
      <c r="AG54" s="1221"/>
      <c r="AH54" s="1221"/>
      <c r="AI54" s="1221"/>
      <c r="AJ54" s="1221"/>
      <c r="AK54" s="1221"/>
      <c r="AL54" s="1221"/>
      <c r="AM54" s="1221"/>
      <c r="AN54" s="1221"/>
      <c r="AO54" s="1221"/>
      <c r="AP54" s="1221"/>
      <c r="AQ54" s="1221"/>
      <c r="AR54" s="1221"/>
      <c r="AS54" s="1221"/>
      <c r="AT54" s="1221"/>
      <c r="AU54" s="17"/>
      <c r="AV54" s="17"/>
      <c r="AW54" s="17"/>
      <c r="AX54" s="17"/>
      <c r="AY54" s="17"/>
      <c r="AZ54" s="18"/>
      <c r="BD54" s="1136" t="s">
        <v>718</v>
      </c>
      <c r="BE54" s="1137">
        <f>Application!M259</f>
        <v>0</v>
      </c>
    </row>
    <row r="55" spans="1:57" ht="13" customHeight="1">
      <c r="A55" s="1221"/>
      <c r="B55" s="1221"/>
      <c r="C55" s="1221"/>
      <c r="D55" s="1221"/>
      <c r="E55" s="1221"/>
      <c r="F55" s="1221"/>
      <c r="G55" s="1221"/>
      <c r="H55" s="1221"/>
      <c r="I55" s="1221"/>
      <c r="J55" s="1221"/>
      <c r="K55" s="1221"/>
      <c r="L55" s="1221"/>
      <c r="M55" s="1221"/>
      <c r="N55" s="1221"/>
      <c r="O55" s="1221"/>
      <c r="P55" s="1221"/>
      <c r="Q55" s="1221"/>
      <c r="R55" s="1221"/>
      <c r="S55" s="1221"/>
      <c r="T55" s="1221"/>
      <c r="U55" s="1221"/>
      <c r="V55" s="1221"/>
      <c r="W55" s="1221"/>
      <c r="X55" s="1221"/>
      <c r="Y55" s="1221"/>
      <c r="Z55" s="1221"/>
      <c r="AA55" s="1221"/>
      <c r="AB55" s="1221"/>
      <c r="AC55" s="1221"/>
      <c r="AD55" s="1221"/>
      <c r="AE55" s="1221"/>
      <c r="AF55" s="1221"/>
      <c r="AG55" s="1221"/>
      <c r="AH55" s="1221"/>
      <c r="AI55" s="1221"/>
      <c r="AJ55" s="1221"/>
      <c r="AK55" s="1221"/>
      <c r="AL55" s="1221"/>
      <c r="AM55" s="1221"/>
      <c r="AN55" s="1221"/>
      <c r="AO55" s="1221"/>
      <c r="AP55" s="1221"/>
      <c r="AQ55" s="1221"/>
      <c r="AR55" s="1221"/>
      <c r="AS55" s="1221"/>
      <c r="AT55" s="1221"/>
      <c r="AZ55" s="18"/>
      <c r="BD55" s="1135" t="s">
        <v>719</v>
      </c>
      <c r="BE55" s="1137">
        <f>Application!M262</f>
        <v>0</v>
      </c>
    </row>
    <row r="56" spans="1:57" ht="13" customHeight="1">
      <c r="A56" s="1221"/>
      <c r="B56" s="1221"/>
      <c r="C56" s="1221"/>
      <c r="D56" s="1221"/>
      <c r="E56" s="1221"/>
      <c r="F56" s="1221"/>
      <c r="G56" s="1221"/>
      <c r="H56" s="1221"/>
      <c r="I56" s="1221"/>
      <c r="J56" s="1221"/>
      <c r="K56" s="1221"/>
      <c r="L56" s="1221"/>
      <c r="M56" s="1221"/>
      <c r="N56" s="1221"/>
      <c r="O56" s="1221"/>
      <c r="P56" s="1221"/>
      <c r="Q56" s="1221"/>
      <c r="R56" s="1221"/>
      <c r="S56" s="1221"/>
      <c r="T56" s="1221"/>
      <c r="U56" s="1221"/>
      <c r="V56" s="1221"/>
      <c r="W56" s="1221"/>
      <c r="X56" s="1221"/>
      <c r="Y56" s="1221"/>
      <c r="Z56" s="1221"/>
      <c r="AA56" s="1221"/>
      <c r="AB56" s="1221"/>
      <c r="AC56" s="1221"/>
      <c r="AD56" s="1221"/>
      <c r="AE56" s="1221"/>
      <c r="AF56" s="1221"/>
      <c r="AG56" s="1221"/>
      <c r="AH56" s="1221"/>
      <c r="AI56" s="1221"/>
      <c r="AJ56" s="1221"/>
      <c r="AK56" s="1221"/>
      <c r="AL56" s="1221"/>
      <c r="AM56" s="1221"/>
      <c r="AN56" s="1221"/>
      <c r="AO56" s="1221"/>
      <c r="AP56" s="1221"/>
      <c r="AQ56" s="1221"/>
      <c r="AR56" s="1221"/>
      <c r="AS56" s="1221"/>
      <c r="AT56" s="1221"/>
      <c r="BD56" s="1136" t="s">
        <v>720</v>
      </c>
      <c r="BE56" s="1137">
        <f>Application!AA265</f>
        <v>0</v>
      </c>
    </row>
    <row r="57" spans="1:57" ht="13" customHeight="1">
      <c r="A57" s="1221"/>
      <c r="B57" s="1221"/>
      <c r="C57" s="1221"/>
      <c r="D57" s="1221"/>
      <c r="E57" s="1221"/>
      <c r="F57" s="1221"/>
      <c r="G57" s="1221"/>
      <c r="H57" s="1221"/>
      <c r="I57" s="1221"/>
      <c r="J57" s="1221"/>
      <c r="K57" s="1221"/>
      <c r="L57" s="1221"/>
      <c r="M57" s="1221"/>
      <c r="N57" s="1221"/>
      <c r="O57" s="1221"/>
      <c r="P57" s="1221"/>
      <c r="Q57" s="1221"/>
      <c r="R57" s="1221"/>
      <c r="S57" s="1221"/>
      <c r="T57" s="1221"/>
      <c r="U57" s="1221"/>
      <c r="V57" s="1221"/>
      <c r="W57" s="1221"/>
      <c r="X57" s="1221"/>
      <c r="Y57" s="1221"/>
      <c r="Z57" s="1221"/>
      <c r="AA57" s="1221"/>
      <c r="AB57" s="1221"/>
      <c r="AC57" s="1221"/>
      <c r="AD57" s="1221"/>
      <c r="AE57" s="1221"/>
      <c r="AF57" s="1221"/>
      <c r="AG57" s="1221"/>
      <c r="AH57" s="1221"/>
      <c r="AI57" s="1221"/>
      <c r="AJ57" s="1221"/>
      <c r="AK57" s="1221"/>
      <c r="AL57" s="1221"/>
      <c r="AM57" s="1221"/>
      <c r="AN57" s="1221"/>
      <c r="AO57" s="1221"/>
      <c r="AP57" s="1221"/>
      <c r="AQ57" s="1221"/>
      <c r="AR57" s="1221"/>
      <c r="AS57" s="1221"/>
      <c r="AT57" s="1221"/>
      <c r="BD57" s="1135" t="s">
        <v>721</v>
      </c>
      <c r="BE57" s="1137" t="str">
        <f>Application!H287</f>
        <v>EAH Inc.</v>
      </c>
    </row>
    <row r="58" spans="1:57" ht="13" customHeight="1">
      <c r="A58" s="1221"/>
      <c r="B58" s="1221"/>
      <c r="C58" s="1221"/>
      <c r="D58" s="1221"/>
      <c r="E58" s="1221"/>
      <c r="F58" s="1221"/>
      <c r="G58" s="1221"/>
      <c r="H58" s="1221"/>
      <c r="I58" s="1221"/>
      <c r="J58" s="1221"/>
      <c r="K58" s="1221"/>
      <c r="L58" s="1221"/>
      <c r="M58" s="1221"/>
      <c r="N58" s="1221"/>
      <c r="O58" s="1221"/>
      <c r="P58" s="1221"/>
      <c r="Q58" s="1221"/>
      <c r="R58" s="1221"/>
      <c r="S58" s="1221"/>
      <c r="T58" s="1221"/>
      <c r="U58" s="1221"/>
      <c r="V58" s="1221"/>
      <c r="W58" s="1221"/>
      <c r="X58" s="1221"/>
      <c r="Y58" s="1221"/>
      <c r="Z58" s="1221"/>
      <c r="AA58" s="1221"/>
      <c r="AB58" s="1221"/>
      <c r="AC58" s="1221"/>
      <c r="AD58" s="1221"/>
      <c r="AE58" s="1221"/>
      <c r="AF58" s="1221"/>
      <c r="AG58" s="1221"/>
      <c r="AH58" s="1221"/>
      <c r="AI58" s="1221"/>
      <c r="AJ58" s="1221"/>
      <c r="AK58" s="1221"/>
      <c r="AL58" s="1221"/>
      <c r="AM58" s="1221"/>
      <c r="AN58" s="1221"/>
      <c r="AO58" s="1221"/>
      <c r="AP58" s="1221"/>
      <c r="AQ58" s="1221"/>
      <c r="AR58" s="1221"/>
      <c r="AS58" s="1221"/>
      <c r="AT58" s="1221"/>
      <c r="BD58" s="1136" t="s">
        <v>722</v>
      </c>
      <c r="BE58" s="1137" t="str">
        <f>Application!H288</f>
        <v>22 Pelican Way</v>
      </c>
    </row>
    <row r="59" spans="1:57" ht="13" customHeight="1">
      <c r="A59" s="418"/>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5" t="s">
        <v>723</v>
      </c>
      <c r="BE59" s="1137" t="str">
        <f>Application!H289</f>
        <v>San Rafael, CA 94901</v>
      </c>
    </row>
    <row r="60" spans="1:57" ht="13" customHeight="1">
      <c r="A60" s="1221" t="s">
        <v>724</v>
      </c>
      <c r="B60" s="1221"/>
      <c r="C60" s="1221"/>
      <c r="D60" s="1221"/>
      <c r="E60" s="1221"/>
      <c r="F60" s="1221"/>
      <c r="G60" s="1221"/>
      <c r="H60" s="1221"/>
      <c r="I60" s="1221"/>
      <c r="J60" s="1221"/>
      <c r="K60" s="1221"/>
      <c r="L60" s="1221"/>
      <c r="M60" s="1221"/>
      <c r="N60" s="1221"/>
      <c r="O60" s="1221"/>
      <c r="P60" s="1221"/>
      <c r="Q60" s="1221"/>
      <c r="R60" s="1221"/>
      <c r="S60" s="1221"/>
      <c r="T60" s="1221"/>
      <c r="U60" s="1221"/>
      <c r="V60" s="1221"/>
      <c r="W60" s="1221"/>
      <c r="X60" s="1221"/>
      <c r="Y60" s="1221"/>
      <c r="Z60" s="1221"/>
      <c r="AA60" s="1221"/>
      <c r="AB60" s="1221"/>
      <c r="AC60" s="1221"/>
      <c r="AD60" s="1221"/>
      <c r="AE60" s="1221"/>
      <c r="AF60" s="1221"/>
      <c r="AG60" s="1221"/>
      <c r="AH60" s="1221"/>
      <c r="AI60" s="1221"/>
      <c r="AJ60" s="1221"/>
      <c r="AK60" s="1221"/>
      <c r="AL60" s="1221"/>
      <c r="AM60" s="1221"/>
      <c r="AN60" s="1221"/>
      <c r="AO60" s="1221"/>
      <c r="AP60" s="1221"/>
      <c r="AQ60" s="1221"/>
      <c r="AR60" s="1221"/>
      <c r="AS60" s="1221"/>
      <c r="AT60" s="1221"/>
      <c r="AU60" s="17"/>
      <c r="AV60" s="17"/>
      <c r="AW60" s="17"/>
      <c r="AX60" s="17"/>
      <c r="AY60" s="17"/>
      <c r="AZ60" s="17"/>
      <c r="BD60" s="1136" t="s">
        <v>725</v>
      </c>
      <c r="BE60" s="1137" t="str">
        <f>Application!H290</f>
        <v>Welton Jordan</v>
      </c>
    </row>
    <row r="61" spans="1:57" ht="13" customHeight="1">
      <c r="A61" s="1221"/>
      <c r="B61" s="1221"/>
      <c r="C61" s="1221"/>
      <c r="D61" s="1221"/>
      <c r="E61" s="1221"/>
      <c r="F61" s="1221"/>
      <c r="G61" s="1221"/>
      <c r="H61" s="1221"/>
      <c r="I61" s="1221"/>
      <c r="J61" s="1221"/>
      <c r="K61" s="1221"/>
      <c r="L61" s="1221"/>
      <c r="M61" s="1221"/>
      <c r="N61" s="1221"/>
      <c r="O61" s="1221"/>
      <c r="P61" s="1221"/>
      <c r="Q61" s="1221"/>
      <c r="R61" s="1221"/>
      <c r="S61" s="1221"/>
      <c r="T61" s="1221"/>
      <c r="U61" s="1221"/>
      <c r="V61" s="1221"/>
      <c r="W61" s="1221"/>
      <c r="X61" s="1221"/>
      <c r="Y61" s="1221"/>
      <c r="Z61" s="1221"/>
      <c r="AA61" s="1221"/>
      <c r="AB61" s="1221"/>
      <c r="AC61" s="1221"/>
      <c r="AD61" s="1221"/>
      <c r="AE61" s="1221"/>
      <c r="AF61" s="1221"/>
      <c r="AG61" s="1221"/>
      <c r="AH61" s="1221"/>
      <c r="AI61" s="1221"/>
      <c r="AJ61" s="1221"/>
      <c r="AK61" s="1221"/>
      <c r="AL61" s="1221"/>
      <c r="AM61" s="1221"/>
      <c r="AN61" s="1221"/>
      <c r="AO61" s="1221"/>
      <c r="AP61" s="1221"/>
      <c r="AQ61" s="1221"/>
      <c r="AR61" s="1221"/>
      <c r="AS61" s="1221"/>
      <c r="AT61" s="1221"/>
      <c r="AU61" s="17"/>
      <c r="AV61" s="17"/>
      <c r="AW61" s="17"/>
      <c r="AX61" s="17"/>
      <c r="AY61" s="17"/>
      <c r="AZ61" s="17"/>
      <c r="BD61" s="1135" t="s">
        <v>726</v>
      </c>
      <c r="BE61" s="1137" t="str">
        <f>Application!H293</f>
        <v>welton.jordan@eahhousing.org</v>
      </c>
    </row>
    <row r="62" spans="1:57" ht="13" customHeight="1">
      <c r="A62" s="418"/>
      <c r="C62" s="418"/>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6" t="s">
        <v>727</v>
      </c>
      <c r="BE62" s="1140">
        <f>'Basis &amp; Credits'!AB50</f>
        <v>0.87391081486316624</v>
      </c>
    </row>
    <row r="63" spans="1:57" ht="13" customHeight="1">
      <c r="A63" s="418" t="s">
        <v>728</v>
      </c>
      <c r="C63" s="418"/>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5" t="s">
        <v>729</v>
      </c>
      <c r="BE63" s="1140">
        <f>'Basis &amp; Credits'!AB72</f>
        <v>0</v>
      </c>
    </row>
    <row r="64" spans="1:57" ht="13" customHeight="1">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6" t="s">
        <v>730</v>
      </c>
      <c r="BE64" s="1137" t="str">
        <f>Application!X180</f>
        <v>Yes</v>
      </c>
    </row>
    <row r="65" spans="1:57" ht="13" customHeight="1">
      <c r="A65" s="1221" t="s">
        <v>731</v>
      </c>
      <c r="B65" s="1221"/>
      <c r="C65" s="1221"/>
      <c r="D65" s="1221"/>
      <c r="E65" s="1221"/>
      <c r="F65" s="1221"/>
      <c r="G65" s="1221"/>
      <c r="H65" s="1221"/>
      <c r="I65" s="1221"/>
      <c r="J65" s="1221"/>
      <c r="K65" s="1221"/>
      <c r="L65" s="1221"/>
      <c r="M65" s="1221"/>
      <c r="N65" s="1221"/>
      <c r="O65" s="1221"/>
      <c r="P65" s="1221"/>
      <c r="Q65" s="1221"/>
      <c r="R65" s="1221"/>
      <c r="S65" s="1221"/>
      <c r="T65" s="1221"/>
      <c r="U65" s="1221"/>
      <c r="V65" s="1221"/>
      <c r="W65" s="1221"/>
      <c r="X65" s="1221"/>
      <c r="Y65" s="1221"/>
      <c r="Z65" s="1221"/>
      <c r="AA65" s="1221"/>
      <c r="AB65" s="1221"/>
      <c r="AC65" s="1221"/>
      <c r="AD65" s="1221"/>
      <c r="AE65" s="1221"/>
      <c r="AF65" s="1221"/>
      <c r="AG65" s="1221"/>
      <c r="AH65" s="1221"/>
      <c r="AI65" s="1221"/>
      <c r="AJ65" s="1221"/>
      <c r="AK65" s="1221"/>
      <c r="AL65" s="1221"/>
      <c r="AM65" s="1221"/>
      <c r="AN65" s="1221"/>
      <c r="AO65" s="1221"/>
      <c r="AP65" s="1221"/>
      <c r="AQ65" s="1221"/>
      <c r="AR65" s="1221"/>
      <c r="AS65" s="1221"/>
      <c r="AT65" s="1221"/>
      <c r="AU65" s="18"/>
      <c r="AV65" s="18"/>
      <c r="AW65" s="18"/>
      <c r="AX65" s="18"/>
      <c r="AY65" s="18"/>
      <c r="AZ65" s="17"/>
      <c r="BD65" s="1135" t="s">
        <v>732</v>
      </c>
      <c r="BE65" s="1137" t="str">
        <f>Z205</f>
        <v>(select)</v>
      </c>
    </row>
    <row r="66" spans="1:57" ht="13" customHeight="1">
      <c r="A66" s="1221"/>
      <c r="B66" s="1221"/>
      <c r="C66" s="1221"/>
      <c r="D66" s="1221"/>
      <c r="E66" s="1221"/>
      <c r="F66" s="1221"/>
      <c r="G66" s="1221"/>
      <c r="H66" s="1221"/>
      <c r="I66" s="1221"/>
      <c r="J66" s="1221"/>
      <c r="K66" s="1221"/>
      <c r="L66" s="1221"/>
      <c r="M66" s="1221"/>
      <c r="N66" s="1221"/>
      <c r="O66" s="1221"/>
      <c r="P66" s="1221"/>
      <c r="Q66" s="1221"/>
      <c r="R66" s="1221"/>
      <c r="S66" s="1221"/>
      <c r="T66" s="1221"/>
      <c r="U66" s="1221"/>
      <c r="V66" s="1221"/>
      <c r="W66" s="1221"/>
      <c r="X66" s="1221"/>
      <c r="Y66" s="1221"/>
      <c r="Z66" s="1221"/>
      <c r="AA66" s="1221"/>
      <c r="AB66" s="1221"/>
      <c r="AC66" s="1221"/>
      <c r="AD66" s="1221"/>
      <c r="AE66" s="1221"/>
      <c r="AF66" s="1221"/>
      <c r="AG66" s="1221"/>
      <c r="AH66" s="1221"/>
      <c r="AI66" s="1221"/>
      <c r="AJ66" s="1221"/>
      <c r="AK66" s="1221"/>
      <c r="AL66" s="1221"/>
      <c r="AM66" s="1221"/>
      <c r="AN66" s="1221"/>
      <c r="AO66" s="1221"/>
      <c r="AP66" s="1221"/>
      <c r="AQ66" s="1221"/>
      <c r="AR66" s="1221"/>
      <c r="AS66" s="1221"/>
      <c r="AT66" s="1221"/>
      <c r="AU66" s="18"/>
      <c r="AV66" s="18"/>
      <c r="AW66" s="18"/>
      <c r="AX66" s="18"/>
      <c r="AY66" s="18"/>
      <c r="AZ66" s="17"/>
      <c r="BD66" s="1136" t="s">
        <v>733</v>
      </c>
      <c r="BE66" s="1137" t="b">
        <f>Application!Z205="State Farmworker Credit"</f>
        <v>0</v>
      </c>
    </row>
    <row r="67" spans="1:57" ht="13" customHeight="1">
      <c r="A67" s="1221"/>
      <c r="B67" s="1221"/>
      <c r="C67" s="1221"/>
      <c r="D67" s="1221"/>
      <c r="E67" s="1221"/>
      <c r="F67" s="1221"/>
      <c r="G67" s="1221"/>
      <c r="H67" s="1221"/>
      <c r="I67" s="1221"/>
      <c r="J67" s="1221"/>
      <c r="K67" s="1221"/>
      <c r="L67" s="1221"/>
      <c r="M67" s="1221"/>
      <c r="N67" s="1221"/>
      <c r="O67" s="1221"/>
      <c r="P67" s="1221"/>
      <c r="Q67" s="1221"/>
      <c r="R67" s="1221"/>
      <c r="S67" s="1221"/>
      <c r="T67" s="1221"/>
      <c r="U67" s="1221"/>
      <c r="V67" s="1221"/>
      <c r="W67" s="1221"/>
      <c r="X67" s="1221"/>
      <c r="Y67" s="1221"/>
      <c r="Z67" s="1221"/>
      <c r="AA67" s="1221"/>
      <c r="AB67" s="1221"/>
      <c r="AC67" s="1221"/>
      <c r="AD67" s="1221"/>
      <c r="AE67" s="1221"/>
      <c r="AF67" s="1221"/>
      <c r="AG67" s="1221"/>
      <c r="AH67" s="1221"/>
      <c r="AI67" s="1221"/>
      <c r="AJ67" s="1221"/>
      <c r="AK67" s="1221"/>
      <c r="AL67" s="1221"/>
      <c r="AM67" s="1221"/>
      <c r="AN67" s="1221"/>
      <c r="AO67" s="1221"/>
      <c r="AP67" s="1221"/>
      <c r="AQ67" s="1221"/>
      <c r="AR67" s="1221"/>
      <c r="AS67" s="1221"/>
      <c r="AT67" s="1221"/>
      <c r="AZ67" s="17"/>
      <c r="BD67" s="1135" t="s">
        <v>734</v>
      </c>
      <c r="BE67" s="1137" t="b">
        <f>Application!O33="Yes"</f>
        <v>0</v>
      </c>
    </row>
    <row r="68" spans="1:57" ht="13"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6" t="s">
        <v>735</v>
      </c>
      <c r="BE68" s="1137">
        <f>'Sources and Uses Budget'!D105</f>
        <v>0</v>
      </c>
    </row>
    <row r="69" spans="1:57" ht="13" customHeight="1">
      <c r="A69" s="1221" t="s">
        <v>736</v>
      </c>
      <c r="B69" s="1221"/>
      <c r="C69" s="1221"/>
      <c r="D69" s="1221"/>
      <c r="E69" s="1221"/>
      <c r="F69" s="1221"/>
      <c r="G69" s="1221"/>
      <c r="H69" s="1221"/>
      <c r="I69" s="1221"/>
      <c r="J69" s="1221"/>
      <c r="K69" s="1221"/>
      <c r="L69" s="1221"/>
      <c r="M69" s="1221"/>
      <c r="N69" s="1221"/>
      <c r="O69" s="1221"/>
      <c r="P69" s="1221"/>
      <c r="Q69" s="1221"/>
      <c r="R69" s="1221"/>
      <c r="S69" s="1221"/>
      <c r="T69" s="1221"/>
      <c r="U69" s="1221"/>
      <c r="V69" s="1221"/>
      <c r="W69" s="1221"/>
      <c r="X69" s="1221"/>
      <c r="Y69" s="1221"/>
      <c r="Z69" s="1221"/>
      <c r="AA69" s="1221"/>
      <c r="AB69" s="1221"/>
      <c r="AC69" s="1221"/>
      <c r="AD69" s="1221"/>
      <c r="AE69" s="1221"/>
      <c r="AF69" s="1221"/>
      <c r="AG69" s="1221"/>
      <c r="AH69" s="1221"/>
      <c r="AI69" s="1221"/>
      <c r="AJ69" s="1221"/>
      <c r="AK69" s="1221"/>
      <c r="AL69" s="1221"/>
      <c r="AM69" s="1221"/>
      <c r="AN69" s="1221"/>
      <c r="AO69" s="1221"/>
      <c r="AP69" s="1221"/>
      <c r="AQ69" s="1221"/>
      <c r="AR69" s="1221"/>
      <c r="AS69" s="1221"/>
      <c r="AT69" s="1221"/>
      <c r="AZ69" s="17"/>
      <c r="BD69" s="1135" t="s">
        <v>737</v>
      </c>
      <c r="BE69" s="1137" t="str">
        <f>Application!W700</f>
        <v>California Municipal Finance Authority</v>
      </c>
    </row>
    <row r="70" spans="1:57" ht="13" customHeight="1">
      <c r="A70" s="1221"/>
      <c r="B70" s="1221"/>
      <c r="C70" s="1221"/>
      <c r="D70" s="1221"/>
      <c r="E70" s="1221"/>
      <c r="F70" s="1221"/>
      <c r="G70" s="1221"/>
      <c r="H70" s="1221"/>
      <c r="I70" s="1221"/>
      <c r="J70" s="1221"/>
      <c r="K70" s="1221"/>
      <c r="L70" s="1221"/>
      <c r="M70" s="1221"/>
      <c r="N70" s="1221"/>
      <c r="O70" s="1221"/>
      <c r="P70" s="1221"/>
      <c r="Q70" s="1221"/>
      <c r="R70" s="1221"/>
      <c r="S70" s="1221"/>
      <c r="T70" s="1221"/>
      <c r="U70" s="1221"/>
      <c r="V70" s="1221"/>
      <c r="W70" s="1221"/>
      <c r="X70" s="1221"/>
      <c r="Y70" s="1221"/>
      <c r="Z70" s="1221"/>
      <c r="AA70" s="1221"/>
      <c r="AB70" s="1221"/>
      <c r="AC70" s="1221"/>
      <c r="AD70" s="1221"/>
      <c r="AE70" s="1221"/>
      <c r="AF70" s="1221"/>
      <c r="AG70" s="1221"/>
      <c r="AH70" s="1221"/>
      <c r="AI70" s="1221"/>
      <c r="AJ70" s="1221"/>
      <c r="AK70" s="1221"/>
      <c r="AL70" s="1221"/>
      <c r="AM70" s="1221"/>
      <c r="AN70" s="1221"/>
      <c r="AO70" s="1221"/>
      <c r="AP70" s="1221"/>
      <c r="AQ70" s="1221"/>
      <c r="AR70" s="1221"/>
      <c r="AS70" s="1221"/>
      <c r="AT70" s="1221"/>
      <c r="AU70" s="17"/>
      <c r="AV70" s="17"/>
      <c r="AW70" s="17"/>
      <c r="AX70" s="17"/>
      <c r="AY70" s="17"/>
      <c r="AZ70" s="17"/>
      <c r="BD70" s="1136" t="s">
        <v>738</v>
      </c>
      <c r="BE70" s="1137">
        <f ca="1">'Points System'!AF821</f>
        <v>110</v>
      </c>
    </row>
    <row r="71" spans="1:57" ht="13" customHeight="1">
      <c r="A71" s="418"/>
      <c r="C71" s="418"/>
      <c r="D71" s="418"/>
      <c r="E71" s="418"/>
      <c r="F71" s="418"/>
      <c r="G71" s="418"/>
      <c r="H71" s="418"/>
      <c r="I71" s="418"/>
      <c r="J71" s="418"/>
      <c r="K71" s="418"/>
      <c r="L71" s="418"/>
      <c r="M71" s="418"/>
      <c r="N71" s="418"/>
      <c r="O71" s="418"/>
      <c r="P71" s="418"/>
      <c r="Q71" s="418"/>
      <c r="R71" s="418"/>
      <c r="S71" s="418"/>
      <c r="T71" s="418"/>
      <c r="U71" s="418"/>
      <c r="V71" s="418"/>
      <c r="W71" s="418"/>
      <c r="X71" s="418"/>
      <c r="Y71" s="418"/>
      <c r="Z71" s="418"/>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5" t="s">
        <v>739</v>
      </c>
      <c r="BE71" s="1137">
        <f>'Points System'!AF804</f>
        <v>20</v>
      </c>
    </row>
    <row r="72" spans="1:57" ht="13" customHeight="1">
      <c r="A72" s="1483" t="s">
        <v>740</v>
      </c>
      <c r="B72" s="1483"/>
      <c r="C72" s="1483"/>
      <c r="D72" s="1483"/>
      <c r="E72" s="1483"/>
      <c r="F72" s="1483"/>
      <c r="G72" s="1483"/>
      <c r="H72" s="1483"/>
      <c r="I72" s="1483"/>
      <c r="J72" s="1483"/>
      <c r="K72" s="1483"/>
      <c r="L72" s="1483"/>
      <c r="M72" s="1483"/>
      <c r="N72" s="1483"/>
      <c r="O72" s="1483"/>
      <c r="P72" s="1483"/>
      <c r="Q72" s="1483"/>
      <c r="R72" s="1483"/>
      <c r="S72" s="1483"/>
      <c r="T72" s="1483"/>
      <c r="U72" s="1483"/>
      <c r="V72" s="1483"/>
      <c r="W72" s="1483"/>
      <c r="X72" s="1483"/>
      <c r="Y72" s="1483"/>
      <c r="Z72" s="1483"/>
      <c r="AA72" s="1483"/>
      <c r="AB72" s="1483"/>
      <c r="AC72" s="1483"/>
      <c r="AD72" s="1483"/>
      <c r="AE72" s="1483"/>
      <c r="AF72" s="1483"/>
      <c r="AG72" s="1483"/>
      <c r="AH72" s="1483"/>
      <c r="AI72" s="1483"/>
      <c r="AJ72" s="1483"/>
      <c r="AK72" s="1483"/>
      <c r="AL72" s="1483"/>
      <c r="AM72" s="1483"/>
      <c r="AN72" s="1483"/>
      <c r="AO72" s="1483"/>
      <c r="AP72" s="1483"/>
      <c r="AQ72" s="1483"/>
      <c r="AR72" s="1483"/>
      <c r="AS72" s="1483"/>
      <c r="AT72" s="1483"/>
      <c r="AU72" s="17"/>
      <c r="AV72" s="17"/>
      <c r="AW72" s="17"/>
      <c r="AX72" s="17"/>
      <c r="AY72" s="17"/>
      <c r="AZ72" s="17"/>
      <c r="BD72" s="1136" t="s">
        <v>741</v>
      </c>
      <c r="BE72" s="1137">
        <f>'Points System'!AF805</f>
        <v>0</v>
      </c>
    </row>
    <row r="73" spans="1:57" ht="13" customHeight="1">
      <c r="A73" s="1483"/>
      <c r="B73" s="1483"/>
      <c r="C73" s="1483"/>
      <c r="D73" s="1483"/>
      <c r="E73" s="1483"/>
      <c r="F73" s="1483"/>
      <c r="G73" s="1483"/>
      <c r="H73" s="1483"/>
      <c r="I73" s="1483"/>
      <c r="J73" s="1483"/>
      <c r="K73" s="1483"/>
      <c r="L73" s="1483"/>
      <c r="M73" s="1483"/>
      <c r="N73" s="1483"/>
      <c r="O73" s="1483"/>
      <c r="P73" s="1483"/>
      <c r="Q73" s="1483"/>
      <c r="R73" s="1483"/>
      <c r="S73" s="1483"/>
      <c r="T73" s="1483"/>
      <c r="U73" s="1483"/>
      <c r="V73" s="1483"/>
      <c r="W73" s="1483"/>
      <c r="X73" s="1483"/>
      <c r="Y73" s="1483"/>
      <c r="Z73" s="1483"/>
      <c r="AA73" s="1483"/>
      <c r="AB73" s="1483"/>
      <c r="AC73" s="1483"/>
      <c r="AD73" s="1483"/>
      <c r="AE73" s="1483"/>
      <c r="AF73" s="1483"/>
      <c r="AG73" s="1483"/>
      <c r="AH73" s="1483"/>
      <c r="AI73" s="1483"/>
      <c r="AJ73" s="1483"/>
      <c r="AK73" s="1483"/>
      <c r="AL73" s="1483"/>
      <c r="AM73" s="1483"/>
      <c r="AN73" s="1483"/>
      <c r="AO73" s="1483"/>
      <c r="AP73" s="1483"/>
      <c r="AQ73" s="1483"/>
      <c r="AR73" s="1483"/>
      <c r="AS73" s="1483"/>
      <c r="AT73" s="1483"/>
      <c r="AU73" s="17"/>
      <c r="AV73" s="17"/>
      <c r="AW73" s="17"/>
      <c r="AX73" s="17"/>
      <c r="AY73" s="17"/>
      <c r="AZ73" s="17"/>
      <c r="BD73" s="1135" t="s">
        <v>742</v>
      </c>
      <c r="BE73" s="1137">
        <f ca="1">'Points System'!AF806</f>
        <v>20</v>
      </c>
    </row>
    <row r="74" spans="1:57" ht="13" customHeight="1">
      <c r="A74" s="418"/>
      <c r="C74" s="418"/>
      <c r="D74" s="418"/>
      <c r="E74" s="418"/>
      <c r="F74" s="418"/>
      <c r="G74" s="418"/>
      <c r="H74" s="418"/>
      <c r="I74" s="418"/>
      <c r="J74" s="418"/>
      <c r="K74" s="418"/>
      <c r="L74" s="418"/>
      <c r="M74" s="418"/>
      <c r="N74" s="418"/>
      <c r="O74" s="418"/>
      <c r="P74" s="418"/>
      <c r="Q74" s="418"/>
      <c r="R74" s="418"/>
      <c r="S74" s="418"/>
      <c r="T74" s="418"/>
      <c r="U74" s="418"/>
      <c r="V74" s="418"/>
      <c r="W74" s="418"/>
      <c r="X74" s="418"/>
      <c r="Y74" s="418"/>
      <c r="Z74" s="418"/>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6" t="s">
        <v>743</v>
      </c>
      <c r="BE74" s="1137">
        <f>'Points System'!AF807</f>
        <v>10</v>
      </c>
    </row>
    <row r="75" spans="1:57" ht="13" customHeight="1">
      <c r="A75" s="1490" t="s">
        <v>744</v>
      </c>
      <c r="B75" s="1490"/>
      <c r="C75" s="1490"/>
      <c r="D75" s="1490"/>
      <c r="E75" s="1490"/>
      <c r="F75" s="1490"/>
      <c r="G75" s="1490"/>
      <c r="H75" s="1490"/>
      <c r="I75" s="1490"/>
      <c r="J75" s="1490"/>
      <c r="K75" s="1490"/>
      <c r="L75" s="1490"/>
      <c r="M75" s="1490"/>
      <c r="N75" s="1490"/>
      <c r="O75" s="1490"/>
      <c r="P75" s="1490"/>
      <c r="Q75" s="1490"/>
      <c r="R75" s="1490"/>
      <c r="S75" s="1490"/>
      <c r="T75" s="1490"/>
      <c r="U75" s="1490"/>
      <c r="V75" s="1490"/>
      <c r="W75" s="1490"/>
      <c r="X75" s="1490"/>
      <c r="Y75" s="1490"/>
      <c r="Z75" s="1490"/>
      <c r="AA75" s="1490"/>
      <c r="AB75" s="1490"/>
      <c r="AC75" s="1490"/>
      <c r="AD75" s="1490"/>
      <c r="AE75" s="1490"/>
      <c r="AF75" s="1490"/>
      <c r="AG75" s="1490"/>
      <c r="AH75" s="1490"/>
      <c r="AI75" s="1490"/>
      <c r="AJ75" s="1490"/>
      <c r="AK75" s="1490"/>
      <c r="AL75" s="1490"/>
      <c r="AM75" s="1490"/>
      <c r="AN75" s="1490"/>
      <c r="AO75" s="1490"/>
      <c r="AP75" s="1490"/>
      <c r="AQ75" s="1490"/>
      <c r="AR75" s="1490"/>
      <c r="AS75" s="1490"/>
      <c r="AT75" s="1490"/>
      <c r="AU75" s="17"/>
      <c r="AV75" s="17"/>
      <c r="AW75" s="17"/>
      <c r="AX75" s="17"/>
      <c r="AY75" s="17"/>
      <c r="AZ75" s="17"/>
      <c r="BD75" s="1135" t="s">
        <v>745</v>
      </c>
      <c r="BE75" s="1137">
        <f>'Points System'!AF808</f>
        <v>10</v>
      </c>
    </row>
    <row r="76" spans="1:57" ht="13" customHeight="1">
      <c r="A76" s="1490"/>
      <c r="B76" s="1490"/>
      <c r="C76" s="1490"/>
      <c r="D76" s="1490"/>
      <c r="E76" s="1490"/>
      <c r="F76" s="1490"/>
      <c r="G76" s="1490"/>
      <c r="H76" s="1490"/>
      <c r="I76" s="1490"/>
      <c r="J76" s="1490"/>
      <c r="K76" s="1490"/>
      <c r="L76" s="1490"/>
      <c r="M76" s="1490"/>
      <c r="N76" s="1490"/>
      <c r="O76" s="1490"/>
      <c r="P76" s="1490"/>
      <c r="Q76" s="1490"/>
      <c r="R76" s="1490"/>
      <c r="S76" s="1490"/>
      <c r="T76" s="1490"/>
      <c r="U76" s="1490"/>
      <c r="V76" s="1490"/>
      <c r="W76" s="1490"/>
      <c r="X76" s="1490"/>
      <c r="Y76" s="1490"/>
      <c r="Z76" s="1490"/>
      <c r="AA76" s="1490"/>
      <c r="AB76" s="1490"/>
      <c r="AC76" s="1490"/>
      <c r="AD76" s="1490"/>
      <c r="AE76" s="1490"/>
      <c r="AF76" s="1490"/>
      <c r="AG76" s="1490"/>
      <c r="AH76" s="1490"/>
      <c r="AI76" s="1490"/>
      <c r="AJ76" s="1490"/>
      <c r="AK76" s="1490"/>
      <c r="AL76" s="1490"/>
      <c r="AM76" s="1490"/>
      <c r="AN76" s="1490"/>
      <c r="AO76" s="1490"/>
      <c r="AP76" s="1490"/>
      <c r="AQ76" s="1490"/>
      <c r="AR76" s="1490"/>
      <c r="AS76" s="1490"/>
      <c r="AT76" s="1490"/>
      <c r="AU76" s="17"/>
      <c r="AV76" s="17"/>
      <c r="AW76" s="17"/>
      <c r="AX76" s="17"/>
      <c r="AY76" s="17"/>
      <c r="AZ76" s="15"/>
      <c r="BD76" s="1136" t="s">
        <v>746</v>
      </c>
      <c r="BE76" s="1137">
        <f>'Points System'!AF811</f>
        <v>0</v>
      </c>
    </row>
    <row r="77" spans="1:57" ht="13" customHeight="1">
      <c r="A77" s="1490"/>
      <c r="B77" s="1490"/>
      <c r="C77" s="1490"/>
      <c r="D77" s="1490"/>
      <c r="E77" s="1490"/>
      <c r="F77" s="1490"/>
      <c r="G77" s="1490"/>
      <c r="H77" s="1490"/>
      <c r="I77" s="1490"/>
      <c r="J77" s="1490"/>
      <c r="K77" s="1490"/>
      <c r="L77" s="1490"/>
      <c r="M77" s="1490"/>
      <c r="N77" s="1490"/>
      <c r="O77" s="1490"/>
      <c r="P77" s="1490"/>
      <c r="Q77" s="1490"/>
      <c r="R77" s="1490"/>
      <c r="S77" s="1490"/>
      <c r="T77" s="1490"/>
      <c r="U77" s="1490"/>
      <c r="V77" s="1490"/>
      <c r="W77" s="1490"/>
      <c r="X77" s="1490"/>
      <c r="Y77" s="1490"/>
      <c r="Z77" s="1490"/>
      <c r="AA77" s="1490"/>
      <c r="AB77" s="1490"/>
      <c r="AC77" s="1490"/>
      <c r="AD77" s="1490"/>
      <c r="AE77" s="1490"/>
      <c r="AF77" s="1490"/>
      <c r="AG77" s="1490"/>
      <c r="AH77" s="1490"/>
      <c r="AI77" s="1490"/>
      <c r="AJ77" s="1490"/>
      <c r="AK77" s="1490"/>
      <c r="AL77" s="1490"/>
      <c r="AM77" s="1490"/>
      <c r="AN77" s="1490"/>
      <c r="AO77" s="1490"/>
      <c r="AP77" s="1490"/>
      <c r="AQ77" s="1490"/>
      <c r="AR77" s="1490"/>
      <c r="AS77" s="1490"/>
      <c r="AT77" s="1490"/>
      <c r="AU77" s="17"/>
      <c r="AV77" s="17"/>
      <c r="AW77" s="17"/>
      <c r="AX77" s="17"/>
      <c r="AY77" s="17"/>
      <c r="AZ77" s="15"/>
      <c r="BD77" s="1135" t="s">
        <v>747</v>
      </c>
      <c r="BE77" s="1137">
        <f>'Points System'!AF812</f>
        <v>8</v>
      </c>
    </row>
    <row r="78" spans="1:57" ht="13" customHeight="1">
      <c r="C78" s="418"/>
      <c r="D78" s="418"/>
      <c r="E78" s="418"/>
      <c r="F78" s="418"/>
      <c r="G78" s="418"/>
      <c r="H78" s="418"/>
      <c r="I78" s="418"/>
      <c r="J78" s="418"/>
      <c r="K78" s="418"/>
      <c r="L78" s="418"/>
      <c r="M78" s="418"/>
      <c r="N78" s="418"/>
      <c r="O78" s="418"/>
      <c r="P78" s="418"/>
      <c r="Q78" s="418"/>
      <c r="R78" s="418"/>
      <c r="S78" s="418"/>
      <c r="T78" s="418"/>
      <c r="U78" s="418"/>
      <c r="V78" s="418"/>
      <c r="W78" s="418"/>
      <c r="X78" s="418"/>
      <c r="Y78" s="418"/>
      <c r="Z78" s="418"/>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6" t="s">
        <v>748</v>
      </c>
      <c r="BE78" s="1137">
        <f>'Points System'!AF814</f>
        <v>10</v>
      </c>
    </row>
    <row r="79" spans="1:57" ht="13" customHeight="1">
      <c r="A79" s="1221" t="s">
        <v>749</v>
      </c>
      <c r="B79" s="1221"/>
      <c r="C79" s="1221"/>
      <c r="D79" s="1221"/>
      <c r="E79" s="1221"/>
      <c r="F79" s="1221"/>
      <c r="G79" s="1221"/>
      <c r="H79" s="1221"/>
      <c r="I79" s="1221"/>
      <c r="J79" s="1221"/>
      <c r="K79" s="1221"/>
      <c r="L79" s="1221"/>
      <c r="M79" s="1221"/>
      <c r="N79" s="1221"/>
      <c r="O79" s="1221"/>
      <c r="P79" s="1221"/>
      <c r="Q79" s="1221"/>
      <c r="R79" s="1221"/>
      <c r="S79" s="1221"/>
      <c r="T79" s="1221"/>
      <c r="U79" s="1221"/>
      <c r="V79" s="1221"/>
      <c r="W79" s="1221"/>
      <c r="X79" s="1221"/>
      <c r="Y79" s="1221"/>
      <c r="Z79" s="1221"/>
      <c r="AA79" s="1221"/>
      <c r="AB79" s="1221"/>
      <c r="AC79" s="1221"/>
      <c r="AD79" s="1221"/>
      <c r="AE79" s="1221"/>
      <c r="AF79" s="1221"/>
      <c r="AG79" s="1221"/>
      <c r="AH79" s="1221"/>
      <c r="AI79" s="1221"/>
      <c r="AJ79" s="1221"/>
      <c r="AK79" s="1221"/>
      <c r="AL79" s="1221"/>
      <c r="AM79" s="1221"/>
      <c r="AN79" s="1221"/>
      <c r="AO79" s="1221"/>
      <c r="AP79" s="1221"/>
      <c r="AQ79" s="1221"/>
      <c r="AR79" s="1221"/>
      <c r="AS79" s="1221"/>
      <c r="AT79" s="1221"/>
      <c r="AU79" s="17"/>
      <c r="AV79" s="17"/>
      <c r="AW79" s="17"/>
      <c r="AX79" s="17"/>
      <c r="AY79" s="17"/>
      <c r="AZ79" s="17"/>
      <c r="BD79" s="1135" t="s">
        <v>750</v>
      </c>
      <c r="BE79" s="1137">
        <f>'Points System'!AF815</f>
        <v>0</v>
      </c>
    </row>
    <row r="80" spans="1:57" ht="13" customHeight="1">
      <c r="A80" s="1221"/>
      <c r="B80" s="1221"/>
      <c r="C80" s="1221"/>
      <c r="D80" s="1221"/>
      <c r="E80" s="1221"/>
      <c r="F80" s="1221"/>
      <c r="G80" s="1221"/>
      <c r="H80" s="1221"/>
      <c r="I80" s="1221"/>
      <c r="J80" s="1221"/>
      <c r="K80" s="1221"/>
      <c r="L80" s="1221"/>
      <c r="M80" s="1221"/>
      <c r="N80" s="1221"/>
      <c r="O80" s="1221"/>
      <c r="P80" s="1221"/>
      <c r="Q80" s="1221"/>
      <c r="R80" s="1221"/>
      <c r="S80" s="1221"/>
      <c r="T80" s="1221"/>
      <c r="U80" s="1221"/>
      <c r="V80" s="1221"/>
      <c r="W80" s="1221"/>
      <c r="X80" s="1221"/>
      <c r="Y80" s="1221"/>
      <c r="Z80" s="1221"/>
      <c r="AA80" s="1221"/>
      <c r="AB80" s="1221"/>
      <c r="AC80" s="1221"/>
      <c r="AD80" s="1221"/>
      <c r="AE80" s="1221"/>
      <c r="AF80" s="1221"/>
      <c r="AG80" s="1221"/>
      <c r="AH80" s="1221"/>
      <c r="AI80" s="1221"/>
      <c r="AJ80" s="1221"/>
      <c r="AK80" s="1221"/>
      <c r="AL80" s="1221"/>
      <c r="AM80" s="1221"/>
      <c r="AN80" s="1221"/>
      <c r="AO80" s="1221"/>
      <c r="AP80" s="1221"/>
      <c r="AQ80" s="1221"/>
      <c r="AR80" s="1221"/>
      <c r="AS80" s="1221"/>
      <c r="AT80" s="1221"/>
      <c r="AU80" s="17"/>
      <c r="AV80" s="17"/>
      <c r="AW80" s="17"/>
      <c r="AX80" s="17"/>
      <c r="AY80" s="17"/>
      <c r="AZ80" s="17"/>
      <c r="BD80" s="1136" t="s">
        <v>751</v>
      </c>
      <c r="BE80" s="1137">
        <f>'Points System'!AF817</f>
        <v>10</v>
      </c>
    </row>
    <row r="81" spans="1:57" ht="13" customHeight="1">
      <c r="A81" s="1221"/>
      <c r="B81" s="1221"/>
      <c r="C81" s="1221"/>
      <c r="D81" s="1221"/>
      <c r="E81" s="1221"/>
      <c r="F81" s="1221"/>
      <c r="G81" s="1221"/>
      <c r="H81" s="1221"/>
      <c r="I81" s="1221"/>
      <c r="J81" s="1221"/>
      <c r="K81" s="1221"/>
      <c r="L81" s="1221"/>
      <c r="M81" s="1221"/>
      <c r="N81" s="1221"/>
      <c r="O81" s="1221"/>
      <c r="P81" s="1221"/>
      <c r="Q81" s="1221"/>
      <c r="R81" s="1221"/>
      <c r="S81" s="1221"/>
      <c r="T81" s="1221"/>
      <c r="U81" s="1221"/>
      <c r="V81" s="1221"/>
      <c r="W81" s="1221"/>
      <c r="X81" s="1221"/>
      <c r="Y81" s="1221"/>
      <c r="Z81" s="1221"/>
      <c r="AA81" s="1221"/>
      <c r="AB81" s="1221"/>
      <c r="AC81" s="1221"/>
      <c r="AD81" s="1221"/>
      <c r="AE81" s="1221"/>
      <c r="AF81" s="1221"/>
      <c r="AG81" s="1221"/>
      <c r="AH81" s="1221"/>
      <c r="AI81" s="1221"/>
      <c r="AJ81" s="1221"/>
      <c r="AK81" s="1221"/>
      <c r="AL81" s="1221"/>
      <c r="AM81" s="1221"/>
      <c r="AN81" s="1221"/>
      <c r="AO81" s="1221"/>
      <c r="AP81" s="1221"/>
      <c r="AQ81" s="1221"/>
      <c r="AR81" s="1221"/>
      <c r="AS81" s="1221"/>
      <c r="AT81" s="1221"/>
      <c r="AU81" s="17"/>
      <c r="AV81" s="17"/>
      <c r="AW81" s="17"/>
      <c r="AX81" s="17"/>
      <c r="AY81" s="17"/>
      <c r="AZ81" s="17"/>
      <c r="BD81" s="1135" t="s">
        <v>752</v>
      </c>
      <c r="BE81" s="1137">
        <f>'Points System'!AF818</f>
        <v>12</v>
      </c>
    </row>
    <row r="82" spans="1:57" ht="13" customHeight="1">
      <c r="A82" s="418"/>
      <c r="C82" s="418"/>
      <c r="D82" s="418"/>
      <c r="E82" s="418"/>
      <c r="F82" s="418"/>
      <c r="G82" s="418"/>
      <c r="H82" s="418"/>
      <c r="I82" s="418"/>
      <c r="J82" s="418"/>
      <c r="K82" s="418"/>
      <c r="L82" s="418"/>
      <c r="M82" s="418"/>
      <c r="N82" s="418"/>
      <c r="O82" s="418"/>
      <c r="P82" s="418"/>
      <c r="Q82" s="418"/>
      <c r="R82" s="418"/>
      <c r="S82" s="418"/>
      <c r="T82" s="418"/>
      <c r="U82" s="418"/>
      <c r="V82" s="418"/>
      <c r="W82" s="418"/>
      <c r="X82" s="418"/>
      <c r="Y82" s="418"/>
      <c r="Z82" s="418"/>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6" t="s">
        <v>753</v>
      </c>
      <c r="BE82" s="1137">
        <f>'Points System'!AF819</f>
        <v>10</v>
      </c>
    </row>
    <row r="83" spans="1:57" ht="13" customHeight="1">
      <c r="A83" s="1221" t="s">
        <v>754</v>
      </c>
      <c r="B83" s="1221"/>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7"/>
      <c r="AV83" s="17"/>
      <c r="AW83" s="17"/>
      <c r="AX83" s="17"/>
      <c r="AY83" s="17"/>
      <c r="AZ83" s="17"/>
      <c r="BD83" s="1135" t="s">
        <v>755</v>
      </c>
      <c r="BE83" s="1141">
        <f>'Tie Breaker'!H5</f>
        <v>2.3453562630407552</v>
      </c>
    </row>
    <row r="84" spans="1:57" ht="13" customHeight="1">
      <c r="A84" s="1221"/>
      <c r="B84" s="1221"/>
      <c r="C84" s="1221"/>
      <c r="D84" s="1221"/>
      <c r="E84" s="1221"/>
      <c r="F84" s="1221"/>
      <c r="G84" s="1221"/>
      <c r="H84" s="1221"/>
      <c r="I84" s="1221"/>
      <c r="J84" s="1221"/>
      <c r="K84" s="1221"/>
      <c r="L84" s="1221"/>
      <c r="M84" s="1221"/>
      <c r="N84" s="1221"/>
      <c r="O84" s="1221"/>
      <c r="P84" s="1221"/>
      <c r="Q84" s="1221"/>
      <c r="R84" s="1221"/>
      <c r="S84" s="1221"/>
      <c r="T84" s="1221"/>
      <c r="U84" s="1221"/>
      <c r="V84" s="1221"/>
      <c r="W84" s="1221"/>
      <c r="X84" s="1221"/>
      <c r="Y84" s="1221"/>
      <c r="Z84" s="1221"/>
      <c r="AA84" s="1221"/>
      <c r="AB84" s="1221"/>
      <c r="AC84" s="1221"/>
      <c r="AD84" s="1221"/>
      <c r="AE84" s="1221"/>
      <c r="AF84" s="1221"/>
      <c r="AG84" s="1221"/>
      <c r="AH84" s="1221"/>
      <c r="AI84" s="1221"/>
      <c r="AJ84" s="1221"/>
      <c r="AK84" s="1221"/>
      <c r="AL84" s="1221"/>
      <c r="AM84" s="1221"/>
      <c r="AN84" s="1221"/>
      <c r="AO84" s="1221"/>
      <c r="AP84" s="1221"/>
      <c r="AQ84" s="1221"/>
      <c r="AR84" s="1221"/>
      <c r="AS84" s="1221"/>
      <c r="AT84" s="1221"/>
      <c r="AU84" s="17"/>
      <c r="AV84" s="17"/>
      <c r="AW84" s="17"/>
      <c r="AX84" s="17"/>
      <c r="AY84" s="17"/>
      <c r="AZ84" s="17"/>
      <c r="BD84" s="1136" t="s">
        <v>756</v>
      </c>
      <c r="BE84" s="1137" t="str">
        <f>Application!O153</f>
        <v>Town of Corte Madera</v>
      </c>
    </row>
    <row r="85" spans="1:57" ht="13" customHeight="1">
      <c r="C85" s="418"/>
      <c r="D85" s="418"/>
      <c r="E85" s="418"/>
      <c r="F85" s="418"/>
      <c r="G85" s="418"/>
      <c r="H85" s="418"/>
      <c r="I85" s="418"/>
      <c r="J85" s="418"/>
      <c r="K85" s="418"/>
      <c r="L85" s="418"/>
      <c r="M85" s="418"/>
      <c r="N85" s="418"/>
      <c r="O85" s="418"/>
      <c r="P85" s="418"/>
      <c r="Q85" s="418"/>
      <c r="R85" s="418"/>
      <c r="S85" s="418"/>
      <c r="T85" s="418"/>
      <c r="U85" s="418"/>
      <c r="V85" s="418"/>
      <c r="W85" s="418"/>
      <c r="X85" s="418"/>
      <c r="Y85" s="418"/>
      <c r="Z85" s="418"/>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5" t="s">
        <v>757</v>
      </c>
      <c r="BE85" s="1137" t="str">
        <f>Application!O154</f>
        <v>Adam Wolff, Town Manager; Amy Lyle, Community Development Dir</v>
      </c>
    </row>
    <row r="86" spans="1:57" ht="13" customHeight="1">
      <c r="A86" s="1221" t="s">
        <v>758</v>
      </c>
      <c r="B86" s="1221"/>
      <c r="C86" s="1221"/>
      <c r="D86" s="1221"/>
      <c r="E86" s="1221"/>
      <c r="F86" s="1221"/>
      <c r="G86" s="1221"/>
      <c r="H86" s="1221"/>
      <c r="I86" s="1221"/>
      <c r="J86" s="1221"/>
      <c r="K86" s="1221"/>
      <c r="L86" s="1221"/>
      <c r="M86" s="1221"/>
      <c r="N86" s="1221"/>
      <c r="O86" s="1221"/>
      <c r="P86" s="1221"/>
      <c r="Q86" s="1221"/>
      <c r="R86" s="1221"/>
      <c r="S86" s="1221"/>
      <c r="T86" s="1221"/>
      <c r="U86" s="1221"/>
      <c r="V86" s="1221"/>
      <c r="W86" s="1221"/>
      <c r="X86" s="1221"/>
      <c r="Y86" s="1221"/>
      <c r="Z86" s="1221"/>
      <c r="AA86" s="1221"/>
      <c r="AB86" s="1221"/>
      <c r="AC86" s="1221"/>
      <c r="AD86" s="1221"/>
      <c r="AE86" s="1221"/>
      <c r="AF86" s="1221"/>
      <c r="AG86" s="1221"/>
      <c r="AH86" s="1221"/>
      <c r="AI86" s="1221"/>
      <c r="AJ86" s="1221"/>
      <c r="AK86" s="1221"/>
      <c r="AL86" s="1221"/>
      <c r="AM86" s="1221"/>
      <c r="AN86" s="1221"/>
      <c r="AO86" s="1221"/>
      <c r="AP86" s="1221"/>
      <c r="AQ86" s="1221"/>
      <c r="AR86" s="1221"/>
      <c r="AS86" s="1221"/>
      <c r="AT86" s="1221"/>
      <c r="AU86" s="17"/>
      <c r="AV86" s="17"/>
      <c r="AW86" s="17"/>
      <c r="AX86" s="17"/>
      <c r="AY86" s="17"/>
      <c r="AZ86" s="17"/>
      <c r="BD86" s="1136" t="s">
        <v>759</v>
      </c>
      <c r="BE86" s="1137" t="str">
        <f>Application!O155</f>
        <v>City Manager</v>
      </c>
    </row>
    <row r="87" spans="1:57" ht="13" customHeight="1">
      <c r="A87" s="1221"/>
      <c r="B87" s="1221"/>
      <c r="C87" s="1221"/>
      <c r="D87" s="1221"/>
      <c r="E87" s="1221"/>
      <c r="F87" s="1221"/>
      <c r="G87" s="1221"/>
      <c r="H87" s="1221"/>
      <c r="I87" s="1221"/>
      <c r="J87" s="1221"/>
      <c r="K87" s="1221"/>
      <c r="L87" s="1221"/>
      <c r="M87" s="1221"/>
      <c r="N87" s="1221"/>
      <c r="O87" s="1221"/>
      <c r="P87" s="1221"/>
      <c r="Q87" s="1221"/>
      <c r="R87" s="1221"/>
      <c r="S87" s="1221"/>
      <c r="T87" s="1221"/>
      <c r="U87" s="1221"/>
      <c r="V87" s="1221"/>
      <c r="W87" s="1221"/>
      <c r="X87" s="1221"/>
      <c r="Y87" s="1221"/>
      <c r="Z87" s="1221"/>
      <c r="AA87" s="1221"/>
      <c r="AB87" s="1221"/>
      <c r="AC87" s="1221"/>
      <c r="AD87" s="1221"/>
      <c r="AE87" s="1221"/>
      <c r="AF87" s="1221"/>
      <c r="AG87" s="1221"/>
      <c r="AH87" s="1221"/>
      <c r="AI87" s="1221"/>
      <c r="AJ87" s="1221"/>
      <c r="AK87" s="1221"/>
      <c r="AL87" s="1221"/>
      <c r="AM87" s="1221"/>
      <c r="AN87" s="1221"/>
      <c r="AO87" s="1221"/>
      <c r="AP87" s="1221"/>
      <c r="AQ87" s="1221"/>
      <c r="AR87" s="1221"/>
      <c r="AS87" s="1221"/>
      <c r="AT87" s="1221"/>
      <c r="AU87" s="17"/>
      <c r="AV87" s="17"/>
      <c r="AW87" s="17"/>
      <c r="AX87" s="17"/>
      <c r="AY87" s="17"/>
      <c r="AZ87" s="17"/>
      <c r="BD87" s="1135" t="s">
        <v>760</v>
      </c>
      <c r="BE87" s="1137" t="str">
        <f>Application!O156</f>
        <v>300 Tamalpais Drive</v>
      </c>
    </row>
    <row r="88" spans="1:57" ht="13" customHeight="1">
      <c r="A88" s="418"/>
      <c r="C88" s="418"/>
      <c r="D88" s="418"/>
      <c r="E88" s="418"/>
      <c r="F88" s="418"/>
      <c r="G88" s="418"/>
      <c r="H88" s="418"/>
      <c r="I88" s="418"/>
      <c r="J88" s="418"/>
      <c r="K88" s="418"/>
      <c r="L88" s="418"/>
      <c r="M88" s="418"/>
      <c r="N88" s="418"/>
      <c r="O88" s="418"/>
      <c r="P88" s="418"/>
      <c r="Q88" s="418"/>
      <c r="R88" s="418"/>
      <c r="S88" s="418"/>
      <c r="T88" s="418"/>
      <c r="U88" s="418"/>
      <c r="V88" s="418"/>
      <c r="W88" s="418"/>
      <c r="X88" s="418"/>
      <c r="Y88" s="418"/>
      <c r="Z88" s="418"/>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6" t="s">
        <v>761</v>
      </c>
      <c r="BE88" s="1137" t="str">
        <f>Application!O157</f>
        <v>Corte Madera</v>
      </c>
    </row>
    <row r="89" spans="1:57" ht="13" customHeight="1">
      <c r="A89" s="1498" t="s">
        <v>762</v>
      </c>
      <c r="B89" s="1498"/>
      <c r="C89" s="1498"/>
      <c r="D89" s="1498"/>
      <c r="E89" s="1498"/>
      <c r="F89" s="1498"/>
      <c r="G89" s="1498"/>
      <c r="H89" s="1498"/>
      <c r="I89" s="1498"/>
      <c r="J89" s="1498"/>
      <c r="K89" s="1498"/>
      <c r="L89" s="1498"/>
      <c r="M89" s="1498"/>
      <c r="N89" s="1498"/>
      <c r="O89" s="1498"/>
      <c r="P89" s="1498"/>
      <c r="Q89" s="1498"/>
      <c r="R89" s="1498"/>
      <c r="S89" s="1498"/>
      <c r="T89" s="1498"/>
      <c r="U89" s="1498"/>
      <c r="V89" s="1498"/>
      <c r="W89" s="1498"/>
      <c r="X89" s="1498"/>
      <c r="Y89" s="1498"/>
      <c r="Z89" s="1498"/>
      <c r="AA89" s="1498"/>
      <c r="AB89" s="1498"/>
      <c r="AC89" s="1498"/>
      <c r="AD89" s="1498"/>
      <c r="AE89" s="1498"/>
      <c r="AF89" s="1498"/>
      <c r="AG89" s="1498"/>
      <c r="AH89" s="1498"/>
      <c r="AI89" s="1498"/>
      <c r="AJ89" s="1498"/>
      <c r="AK89" s="1498"/>
      <c r="AL89" s="1498"/>
      <c r="AM89" s="1498"/>
      <c r="AN89" s="1498"/>
      <c r="AO89" s="1498"/>
      <c r="AP89" s="1498"/>
      <c r="AQ89" s="1498"/>
      <c r="AR89" s="1498"/>
      <c r="AS89" s="1498"/>
      <c r="AT89" s="1498"/>
      <c r="AU89" s="15"/>
      <c r="AV89" s="15"/>
      <c r="AW89" s="15"/>
      <c r="AX89" s="15"/>
      <c r="AY89" s="15"/>
      <c r="AZ89" s="17"/>
      <c r="BD89" s="1135" t="s">
        <v>763</v>
      </c>
      <c r="BE89" s="1137">
        <f>Application!O158</f>
        <v>94925</v>
      </c>
    </row>
    <row r="90" spans="1:57" ht="13" customHeight="1">
      <c r="A90" s="1498"/>
      <c r="B90" s="1498"/>
      <c r="C90" s="1498"/>
      <c r="D90" s="1498"/>
      <c r="E90" s="1498"/>
      <c r="F90" s="1498"/>
      <c r="G90" s="1498"/>
      <c r="H90" s="1498"/>
      <c r="I90" s="1498"/>
      <c r="J90" s="1498"/>
      <c r="K90" s="1498"/>
      <c r="L90" s="1498"/>
      <c r="M90" s="1498"/>
      <c r="N90" s="1498"/>
      <c r="O90" s="1498"/>
      <c r="P90" s="1498"/>
      <c r="Q90" s="1498"/>
      <c r="R90" s="1498"/>
      <c r="S90" s="1498"/>
      <c r="T90" s="1498"/>
      <c r="U90" s="1498"/>
      <c r="V90" s="1498"/>
      <c r="W90" s="1498"/>
      <c r="X90" s="1498"/>
      <c r="Y90" s="1498"/>
      <c r="Z90" s="1498"/>
      <c r="AA90" s="1498"/>
      <c r="AB90" s="1498"/>
      <c r="AC90" s="1498"/>
      <c r="AD90" s="1498"/>
      <c r="AE90" s="1498"/>
      <c r="AF90" s="1498"/>
      <c r="AG90" s="1498"/>
      <c r="AH90" s="1498"/>
      <c r="AI90" s="1498"/>
      <c r="AJ90" s="1498"/>
      <c r="AK90" s="1498"/>
      <c r="AL90" s="1498"/>
      <c r="AM90" s="1498"/>
      <c r="AN90" s="1498"/>
      <c r="AO90" s="1498"/>
      <c r="AP90" s="1498"/>
      <c r="AQ90" s="1498"/>
      <c r="AR90" s="1498"/>
      <c r="AS90" s="1498"/>
      <c r="AT90" s="1498"/>
      <c r="AU90" s="15"/>
      <c r="AV90" s="15"/>
      <c r="AW90" s="15"/>
      <c r="AX90" s="15"/>
      <c r="AY90" s="15"/>
      <c r="AZ90" s="17"/>
      <c r="BD90" s="1136" t="s">
        <v>764</v>
      </c>
      <c r="BE90" s="1137" t="str">
        <f>Application!H16</f>
        <v>San Clemente II Housing Partners, L.P.</v>
      </c>
    </row>
    <row r="91" spans="1:57" ht="13" customHeight="1">
      <c r="A91" s="418"/>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5" t="s">
        <v>765</v>
      </c>
      <c r="BE91" s="1137" t="str">
        <f>Application!M233</f>
        <v>22 Pelican Way</v>
      </c>
    </row>
    <row r="92" spans="1:57" ht="13" customHeight="1">
      <c r="A92" s="1490" t="s">
        <v>766</v>
      </c>
      <c r="B92" s="1490"/>
      <c r="C92" s="1490"/>
      <c r="D92" s="1490"/>
      <c r="E92" s="1490"/>
      <c r="F92" s="1490"/>
      <c r="G92" s="1490"/>
      <c r="H92" s="1490"/>
      <c r="I92" s="1490"/>
      <c r="J92" s="1490"/>
      <c r="K92" s="1490"/>
      <c r="L92" s="1490"/>
      <c r="M92" s="1490"/>
      <c r="N92" s="1490"/>
      <c r="O92" s="1490"/>
      <c r="P92" s="1490"/>
      <c r="Q92" s="1490"/>
      <c r="R92" s="1490"/>
      <c r="S92" s="1490"/>
      <c r="T92" s="1490"/>
      <c r="U92" s="1490"/>
      <c r="V92" s="1490"/>
      <c r="W92" s="1490"/>
      <c r="X92" s="1490"/>
      <c r="Y92" s="1490"/>
      <c r="Z92" s="1490"/>
      <c r="AA92" s="1490"/>
      <c r="AB92" s="1490"/>
      <c r="AC92" s="1490"/>
      <c r="AD92" s="1490"/>
      <c r="AE92" s="1490"/>
      <c r="AF92" s="1490"/>
      <c r="AG92" s="1490"/>
      <c r="AH92" s="1490"/>
      <c r="AI92" s="1490"/>
      <c r="AJ92" s="1490"/>
      <c r="AK92" s="1490"/>
      <c r="AL92" s="1490"/>
      <c r="AM92" s="1490"/>
      <c r="AN92" s="1490"/>
      <c r="AO92" s="1490"/>
      <c r="AP92" s="1490"/>
      <c r="AQ92" s="1490"/>
      <c r="AR92" s="1490"/>
      <c r="AS92" s="1490"/>
      <c r="AT92" s="1490"/>
      <c r="AU92" s="17"/>
      <c r="AV92" s="17"/>
      <c r="AW92" s="17"/>
      <c r="AX92" s="17"/>
      <c r="AY92" s="17"/>
      <c r="AZ92" s="17"/>
      <c r="BD92" s="1136" t="s">
        <v>767</v>
      </c>
      <c r="BE92" s="1137" t="str">
        <f>Application!M234</f>
        <v>San Rafael</v>
      </c>
    </row>
    <row r="93" spans="1:57" ht="13" customHeight="1">
      <c r="A93" s="1490"/>
      <c r="B93" s="1490"/>
      <c r="C93" s="1490"/>
      <c r="D93" s="1490"/>
      <c r="E93" s="1490"/>
      <c r="F93" s="1490"/>
      <c r="G93" s="1490"/>
      <c r="H93" s="1490"/>
      <c r="I93" s="1490"/>
      <c r="J93" s="1490"/>
      <c r="K93" s="1490"/>
      <c r="L93" s="1490"/>
      <c r="M93" s="1490"/>
      <c r="N93" s="1490"/>
      <c r="O93" s="1490"/>
      <c r="P93" s="1490"/>
      <c r="Q93" s="1490"/>
      <c r="R93" s="1490"/>
      <c r="S93" s="1490"/>
      <c r="T93" s="1490"/>
      <c r="U93" s="1490"/>
      <c r="V93" s="1490"/>
      <c r="W93" s="1490"/>
      <c r="X93" s="1490"/>
      <c r="Y93" s="1490"/>
      <c r="Z93" s="1490"/>
      <c r="AA93" s="1490"/>
      <c r="AB93" s="1490"/>
      <c r="AC93" s="1490"/>
      <c r="AD93" s="1490"/>
      <c r="AE93" s="1490"/>
      <c r="AF93" s="1490"/>
      <c r="AG93" s="1490"/>
      <c r="AH93" s="1490"/>
      <c r="AI93" s="1490"/>
      <c r="AJ93" s="1490"/>
      <c r="AK93" s="1490"/>
      <c r="AL93" s="1490"/>
      <c r="AM93" s="1490"/>
      <c r="AN93" s="1490"/>
      <c r="AO93" s="1490"/>
      <c r="AP93" s="1490"/>
      <c r="AQ93" s="1490"/>
      <c r="AR93" s="1490"/>
      <c r="AS93" s="1490"/>
      <c r="AT93" s="1490"/>
      <c r="AU93" s="17"/>
      <c r="AV93" s="17"/>
      <c r="AW93" s="17"/>
      <c r="AX93" s="17"/>
      <c r="AY93" s="17"/>
      <c r="AZ93" s="17"/>
      <c r="BD93" s="1135" t="s">
        <v>768</v>
      </c>
      <c r="BE93" s="1137" t="str">
        <f>Application!W234</f>
        <v>CA</v>
      </c>
    </row>
    <row r="94" spans="1:57" ht="13" customHeight="1">
      <c r="A94" s="1490"/>
      <c r="B94" s="1490"/>
      <c r="C94" s="1490"/>
      <c r="D94" s="1490"/>
      <c r="E94" s="1490"/>
      <c r="F94" s="1490"/>
      <c r="G94" s="1490"/>
      <c r="H94" s="1490"/>
      <c r="I94" s="1490"/>
      <c r="J94" s="1490"/>
      <c r="K94" s="1490"/>
      <c r="L94" s="1490"/>
      <c r="M94" s="1490"/>
      <c r="N94" s="1490"/>
      <c r="O94" s="1490"/>
      <c r="P94" s="1490"/>
      <c r="Q94" s="1490"/>
      <c r="R94" s="1490"/>
      <c r="S94" s="1490"/>
      <c r="T94" s="1490"/>
      <c r="U94" s="1490"/>
      <c r="V94" s="1490"/>
      <c r="W94" s="1490"/>
      <c r="X94" s="1490"/>
      <c r="Y94" s="1490"/>
      <c r="Z94" s="1490"/>
      <c r="AA94" s="1490"/>
      <c r="AB94" s="1490"/>
      <c r="AC94" s="1490"/>
      <c r="AD94" s="1490"/>
      <c r="AE94" s="1490"/>
      <c r="AF94" s="1490"/>
      <c r="AG94" s="1490"/>
      <c r="AH94" s="1490"/>
      <c r="AI94" s="1490"/>
      <c r="AJ94" s="1490"/>
      <c r="AK94" s="1490"/>
      <c r="AL94" s="1490"/>
      <c r="AM94" s="1490"/>
      <c r="AN94" s="1490"/>
      <c r="AO94" s="1490"/>
      <c r="AP94" s="1490"/>
      <c r="AQ94" s="1490"/>
      <c r="AR94" s="1490"/>
      <c r="AS94" s="1490"/>
      <c r="AT94" s="1490"/>
      <c r="AU94" s="17"/>
      <c r="AV94" s="17"/>
      <c r="AW94" s="17"/>
      <c r="AX94" s="17"/>
      <c r="AY94" s="17"/>
      <c r="AZ94" s="17"/>
      <c r="BD94" s="1136" t="s">
        <v>769</v>
      </c>
      <c r="BE94" s="1137">
        <f>Application!AC234</f>
        <v>94901</v>
      </c>
    </row>
    <row r="95" spans="1:57" ht="13" customHeight="1">
      <c r="A95" s="1490"/>
      <c r="B95" s="1490"/>
      <c r="C95" s="1490"/>
      <c r="D95" s="1490"/>
      <c r="E95" s="1490"/>
      <c r="F95" s="1490"/>
      <c r="G95" s="1490"/>
      <c r="H95" s="1490"/>
      <c r="I95" s="1490"/>
      <c r="J95" s="1490"/>
      <c r="K95" s="1490"/>
      <c r="L95" s="1490"/>
      <c r="M95" s="1490"/>
      <c r="N95" s="1490"/>
      <c r="O95" s="1490"/>
      <c r="P95" s="1490"/>
      <c r="Q95" s="1490"/>
      <c r="R95" s="1490"/>
      <c r="S95" s="1490"/>
      <c r="T95" s="1490"/>
      <c r="U95" s="1490"/>
      <c r="V95" s="1490"/>
      <c r="W95" s="1490"/>
      <c r="X95" s="1490"/>
      <c r="Y95" s="1490"/>
      <c r="Z95" s="1490"/>
      <c r="AA95" s="1490"/>
      <c r="AB95" s="1490"/>
      <c r="AC95" s="1490"/>
      <c r="AD95" s="1490"/>
      <c r="AE95" s="1490"/>
      <c r="AF95" s="1490"/>
      <c r="AG95" s="1490"/>
      <c r="AH95" s="1490"/>
      <c r="AI95" s="1490"/>
      <c r="AJ95" s="1490"/>
      <c r="AK95" s="1490"/>
      <c r="AL95" s="1490"/>
      <c r="AM95" s="1490"/>
      <c r="AN95" s="1490"/>
      <c r="AO95" s="1490"/>
      <c r="AP95" s="1490"/>
      <c r="AQ95" s="1490"/>
      <c r="AR95" s="1490"/>
      <c r="AS95" s="1490"/>
      <c r="AT95" s="1490"/>
      <c r="AU95" s="17"/>
      <c r="AV95" s="17"/>
      <c r="AW95" s="17"/>
      <c r="AX95" s="17"/>
      <c r="AY95" s="17"/>
      <c r="AZ95" s="17"/>
      <c r="BD95" s="1135" t="s">
        <v>770</v>
      </c>
      <c r="BE95" s="1137" t="str">
        <f>Application!M235</f>
        <v>Welton Jordan</v>
      </c>
    </row>
    <row r="96" spans="1:57" ht="13" customHeight="1">
      <c r="A96" s="1490"/>
      <c r="B96" s="1490"/>
      <c r="C96" s="1490"/>
      <c r="D96" s="1490"/>
      <c r="E96" s="1490"/>
      <c r="F96" s="1490"/>
      <c r="G96" s="1490"/>
      <c r="H96" s="1490"/>
      <c r="I96" s="1490"/>
      <c r="J96" s="1490"/>
      <c r="K96" s="1490"/>
      <c r="L96" s="1490"/>
      <c r="M96" s="1490"/>
      <c r="N96" s="1490"/>
      <c r="O96" s="1490"/>
      <c r="P96" s="1490"/>
      <c r="Q96" s="1490"/>
      <c r="R96" s="1490"/>
      <c r="S96" s="1490"/>
      <c r="T96" s="1490"/>
      <c r="U96" s="1490"/>
      <c r="V96" s="1490"/>
      <c r="W96" s="1490"/>
      <c r="X96" s="1490"/>
      <c r="Y96" s="1490"/>
      <c r="Z96" s="1490"/>
      <c r="AA96" s="1490"/>
      <c r="AB96" s="1490"/>
      <c r="AC96" s="1490"/>
      <c r="AD96" s="1490"/>
      <c r="AE96" s="1490"/>
      <c r="AF96" s="1490"/>
      <c r="AG96" s="1490"/>
      <c r="AH96" s="1490"/>
      <c r="AI96" s="1490"/>
      <c r="AJ96" s="1490"/>
      <c r="AK96" s="1490"/>
      <c r="AL96" s="1490"/>
      <c r="AM96" s="1490"/>
      <c r="AN96" s="1490"/>
      <c r="AO96" s="1490"/>
      <c r="AP96" s="1490"/>
      <c r="AQ96" s="1490"/>
      <c r="AR96" s="1490"/>
      <c r="AS96" s="1490"/>
      <c r="AT96" s="1490"/>
      <c r="AU96" s="17"/>
      <c r="AV96" s="17"/>
      <c r="AW96" s="17"/>
      <c r="AX96" s="17"/>
      <c r="AY96" s="17"/>
      <c r="AZ96" s="17"/>
      <c r="BD96" s="1136" t="s">
        <v>771</v>
      </c>
      <c r="BE96" s="1137" t="str">
        <f>Application!M237</f>
        <v>welton.jordan@eahhousing.org</v>
      </c>
    </row>
    <row r="97" spans="1:57" ht="13" customHeight="1">
      <c r="A97" s="1490"/>
      <c r="B97" s="1490"/>
      <c r="C97" s="1490"/>
      <c r="D97" s="1490"/>
      <c r="E97" s="1490"/>
      <c r="F97" s="1490"/>
      <c r="G97" s="1490"/>
      <c r="H97" s="1490"/>
      <c r="I97" s="1490"/>
      <c r="J97" s="1490"/>
      <c r="K97" s="1490"/>
      <c r="L97" s="1490"/>
      <c r="M97" s="1490"/>
      <c r="N97" s="1490"/>
      <c r="O97" s="1490"/>
      <c r="P97" s="1490"/>
      <c r="Q97" s="1490"/>
      <c r="R97" s="1490"/>
      <c r="S97" s="1490"/>
      <c r="T97" s="1490"/>
      <c r="U97" s="1490"/>
      <c r="V97" s="1490"/>
      <c r="W97" s="1490"/>
      <c r="X97" s="1490"/>
      <c r="Y97" s="1490"/>
      <c r="Z97" s="1490"/>
      <c r="AA97" s="1490"/>
      <c r="AB97" s="1490"/>
      <c r="AC97" s="1490"/>
      <c r="AD97" s="1490"/>
      <c r="AE97" s="1490"/>
      <c r="AF97" s="1490"/>
      <c r="AG97" s="1490"/>
      <c r="AH97" s="1490"/>
      <c r="AI97" s="1490"/>
      <c r="AJ97" s="1490"/>
      <c r="AK97" s="1490"/>
      <c r="AL97" s="1490"/>
      <c r="AM97" s="1490"/>
      <c r="AN97" s="1490"/>
      <c r="AO97" s="1490"/>
      <c r="AP97" s="1490"/>
      <c r="AQ97" s="1490"/>
      <c r="AR97" s="1490"/>
      <c r="AS97" s="1490"/>
      <c r="AT97" s="1490"/>
      <c r="AU97" s="17"/>
      <c r="AV97" s="17"/>
      <c r="AW97" s="17"/>
      <c r="AX97" s="17"/>
      <c r="AY97" s="17"/>
      <c r="AZ97" s="17"/>
      <c r="BD97" s="1135" t="s">
        <v>772</v>
      </c>
      <c r="BE97" s="1137" t="str">
        <f>Application!M248</f>
        <v>welton.jordan@eahhousing.org</v>
      </c>
    </row>
    <row r="98" spans="1:57" ht="13" customHeight="1">
      <c r="A98" s="1490"/>
      <c r="B98" s="1490"/>
      <c r="C98" s="1490"/>
      <c r="D98" s="1490"/>
      <c r="E98" s="1490"/>
      <c r="F98" s="1490"/>
      <c r="G98" s="1490"/>
      <c r="H98" s="1490"/>
      <c r="I98" s="1490"/>
      <c r="J98" s="1490"/>
      <c r="K98" s="1490"/>
      <c r="L98" s="1490"/>
      <c r="M98" s="1490"/>
      <c r="N98" s="1490"/>
      <c r="O98" s="1490"/>
      <c r="P98" s="1490"/>
      <c r="Q98" s="1490"/>
      <c r="R98" s="1490"/>
      <c r="S98" s="1490"/>
      <c r="T98" s="1490"/>
      <c r="U98" s="1490"/>
      <c r="V98" s="1490"/>
      <c r="W98" s="1490"/>
      <c r="X98" s="1490"/>
      <c r="Y98" s="1490"/>
      <c r="Z98" s="1490"/>
      <c r="AA98" s="1490"/>
      <c r="AB98" s="1490"/>
      <c r="AC98" s="1490"/>
      <c r="AD98" s="1490"/>
      <c r="AE98" s="1490"/>
      <c r="AF98" s="1490"/>
      <c r="AG98" s="1490"/>
      <c r="AH98" s="1490"/>
      <c r="AI98" s="1490"/>
      <c r="AJ98" s="1490"/>
      <c r="AK98" s="1490"/>
      <c r="AL98" s="1490"/>
      <c r="AM98" s="1490"/>
      <c r="AN98" s="1490"/>
      <c r="AO98" s="1490"/>
      <c r="AP98" s="1490"/>
      <c r="AQ98" s="1490"/>
      <c r="AR98" s="1490"/>
      <c r="AS98" s="1490"/>
      <c r="AT98" s="1490"/>
      <c r="AU98" s="17"/>
      <c r="AV98" s="17"/>
      <c r="AW98" s="17"/>
      <c r="AX98" s="17"/>
      <c r="AY98" s="17"/>
      <c r="AZ98" s="17"/>
      <c r="BD98" s="1136" t="s">
        <v>773</v>
      </c>
      <c r="BE98" s="1137">
        <f>Application!M256</f>
        <v>0</v>
      </c>
    </row>
    <row r="99" spans="1:57" ht="13" customHeight="1">
      <c r="C99" s="418"/>
      <c r="D99" s="418"/>
      <c r="E99" s="418"/>
      <c r="F99" s="418"/>
      <c r="G99" s="418"/>
      <c r="H99" s="418"/>
      <c r="I99" s="418"/>
      <c r="J99" s="418"/>
      <c r="K99" s="418"/>
      <c r="L99" s="418"/>
      <c r="M99" s="418"/>
      <c r="N99" s="418"/>
      <c r="O99" s="418"/>
      <c r="P99" s="418"/>
      <c r="Q99" s="418"/>
      <c r="R99" s="418"/>
      <c r="S99" s="418"/>
      <c r="T99" s="418"/>
      <c r="U99" s="418"/>
      <c r="V99" s="418"/>
      <c r="W99" s="418"/>
      <c r="X99" s="418"/>
      <c r="Y99" s="418"/>
      <c r="Z99" s="418"/>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5" t="s">
        <v>774</v>
      </c>
      <c r="BE99" s="1137">
        <f>Application!M264</f>
        <v>0</v>
      </c>
    </row>
    <row r="100" spans="1:57" ht="13" customHeight="1">
      <c r="A100" s="1499" t="s">
        <v>775</v>
      </c>
      <c r="B100" s="1499"/>
      <c r="C100" s="1499"/>
      <c r="D100" s="1499"/>
      <c r="E100" s="1499"/>
      <c r="F100" s="1499"/>
      <c r="G100" s="1499"/>
      <c r="H100" s="1499"/>
      <c r="I100" s="1499"/>
      <c r="J100" s="1499"/>
      <c r="K100" s="1499"/>
      <c r="L100" s="1499"/>
      <c r="M100" s="1499"/>
      <c r="N100" s="1499"/>
      <c r="O100" s="1499"/>
      <c r="P100" s="1499"/>
      <c r="Q100" s="1499"/>
      <c r="R100" s="1499"/>
      <c r="S100" s="1499"/>
      <c r="T100" s="1499"/>
      <c r="U100" s="1499"/>
      <c r="V100" s="1499"/>
      <c r="W100" s="1499"/>
      <c r="X100" s="1499"/>
      <c r="Y100" s="1499"/>
      <c r="Z100" s="1499"/>
      <c r="AA100" s="1499"/>
      <c r="AB100" s="1499"/>
      <c r="AC100" s="1499"/>
      <c r="AD100" s="1499"/>
      <c r="AE100" s="1499"/>
      <c r="AF100" s="1499"/>
      <c r="AG100" s="1499"/>
      <c r="AH100" s="1499"/>
      <c r="AI100" s="1499"/>
      <c r="AJ100" s="1499"/>
      <c r="AK100" s="1499"/>
      <c r="AL100" s="1499"/>
      <c r="AM100" s="1499"/>
      <c r="AN100" s="1499"/>
      <c r="AO100" s="1499"/>
      <c r="AP100" s="1499"/>
      <c r="AQ100" s="1499"/>
      <c r="AR100" s="1499"/>
      <c r="AS100" s="1499"/>
      <c r="AT100" s="1499"/>
      <c r="AU100" s="17"/>
      <c r="AV100" s="17"/>
      <c r="AW100" s="17"/>
      <c r="AX100" s="17"/>
      <c r="AY100" s="17"/>
      <c r="AZ100" s="17"/>
      <c r="BD100" s="1136" t="s">
        <v>776</v>
      </c>
      <c r="BE100" s="1137" t="str">
        <f>Application!L279</f>
        <v>bronson.viscarra@eahhousing.org</v>
      </c>
    </row>
    <row r="101" spans="1:57" ht="13" customHeight="1">
      <c r="A101" s="1499"/>
      <c r="B101" s="1499"/>
      <c r="C101" s="1499"/>
      <c r="D101" s="1499"/>
      <c r="E101" s="1499"/>
      <c r="F101" s="1499"/>
      <c r="G101" s="1499"/>
      <c r="H101" s="1499"/>
      <c r="I101" s="1499"/>
      <c r="J101" s="1499"/>
      <c r="K101" s="1499"/>
      <c r="L101" s="1499"/>
      <c r="M101" s="1499"/>
      <c r="N101" s="1499"/>
      <c r="O101" s="1499"/>
      <c r="P101" s="1499"/>
      <c r="Q101" s="1499"/>
      <c r="R101" s="1499"/>
      <c r="S101" s="1499"/>
      <c r="T101" s="1499"/>
      <c r="U101" s="1499"/>
      <c r="V101" s="1499"/>
      <c r="W101" s="1499"/>
      <c r="X101" s="1499"/>
      <c r="Y101" s="1499"/>
      <c r="Z101" s="1499"/>
      <c r="AA101" s="1499"/>
      <c r="AB101" s="1499"/>
      <c r="AC101" s="1499"/>
      <c r="AD101" s="1499"/>
      <c r="AE101" s="1499"/>
      <c r="AF101" s="1499"/>
      <c r="AG101" s="1499"/>
      <c r="AH101" s="1499"/>
      <c r="AI101" s="1499"/>
      <c r="AJ101" s="1499"/>
      <c r="AK101" s="1499"/>
      <c r="AL101" s="1499"/>
      <c r="AM101" s="1499"/>
      <c r="AN101" s="1499"/>
      <c r="AO101" s="1499"/>
      <c r="AP101" s="1499"/>
      <c r="AQ101" s="1499"/>
      <c r="AR101" s="1499"/>
      <c r="AS101" s="1499"/>
      <c r="AT101" s="1499"/>
      <c r="AU101" s="17"/>
      <c r="AV101" s="17"/>
      <c r="AW101" s="17"/>
      <c r="AX101" s="17"/>
      <c r="AY101" s="17"/>
      <c r="AZ101" s="17"/>
      <c r="BD101" s="3" t="s">
        <v>777</v>
      </c>
      <c r="BE101">
        <f>'Sources and Uses Budget'!C105</f>
        <v>56745149</v>
      </c>
    </row>
    <row r="102" spans="1:57" ht="13" customHeight="1">
      <c r="A102" s="1499"/>
      <c r="B102" s="1499"/>
      <c r="C102" s="1499"/>
      <c r="D102" s="1499"/>
      <c r="E102" s="1499"/>
      <c r="F102" s="1499"/>
      <c r="G102" s="1499"/>
      <c r="H102" s="1499"/>
      <c r="I102" s="1499"/>
      <c r="J102" s="1499"/>
      <c r="K102" s="1499"/>
      <c r="L102" s="1499"/>
      <c r="M102" s="1499"/>
      <c r="N102" s="1499"/>
      <c r="O102" s="1499"/>
      <c r="P102" s="1499"/>
      <c r="Q102" s="1499"/>
      <c r="R102" s="1499"/>
      <c r="S102" s="1499"/>
      <c r="T102" s="1499"/>
      <c r="U102" s="1499"/>
      <c r="V102" s="1499"/>
      <c r="W102" s="1499"/>
      <c r="X102" s="1499"/>
      <c r="Y102" s="1499"/>
      <c r="Z102" s="1499"/>
      <c r="AA102" s="1499"/>
      <c r="AB102" s="1499"/>
      <c r="AC102" s="1499"/>
      <c r="AD102" s="1499"/>
      <c r="AE102" s="1499"/>
      <c r="AF102" s="1499"/>
      <c r="AG102" s="1499"/>
      <c r="AH102" s="1499"/>
      <c r="AI102" s="1499"/>
      <c r="AJ102" s="1499"/>
      <c r="AK102" s="1499"/>
      <c r="AL102" s="1499"/>
      <c r="AM102" s="1499"/>
      <c r="AN102" s="1499"/>
      <c r="AO102" s="1499"/>
      <c r="AP102" s="1499"/>
      <c r="AQ102" s="1499"/>
      <c r="AR102" s="1499"/>
      <c r="AS102" s="1499"/>
      <c r="AT102" s="1499"/>
      <c r="AU102" s="17"/>
      <c r="AV102" s="17"/>
      <c r="AW102" s="17"/>
      <c r="AX102" s="17"/>
      <c r="AY102" s="17"/>
      <c r="AZ102" s="17"/>
      <c r="BD102" s="3" t="s">
        <v>778</v>
      </c>
      <c r="BE102" t="b">
        <f>T197="Yes"</f>
        <v>0</v>
      </c>
    </row>
    <row r="103" spans="1:57" ht="13" customHeight="1">
      <c r="A103" s="1499"/>
      <c r="B103" s="1499"/>
      <c r="C103" s="1499"/>
      <c r="D103" s="1499"/>
      <c r="E103" s="1499"/>
      <c r="F103" s="1499"/>
      <c r="G103" s="1499"/>
      <c r="H103" s="1499"/>
      <c r="I103" s="1499"/>
      <c r="J103" s="1499"/>
      <c r="K103" s="1499"/>
      <c r="L103" s="1499"/>
      <c r="M103" s="1499"/>
      <c r="N103" s="1499"/>
      <c r="O103" s="1499"/>
      <c r="P103" s="1499"/>
      <c r="Q103" s="1499"/>
      <c r="R103" s="1499"/>
      <c r="S103" s="1499"/>
      <c r="T103" s="1499"/>
      <c r="U103" s="1499"/>
      <c r="V103" s="1499"/>
      <c r="W103" s="1499"/>
      <c r="X103" s="1499"/>
      <c r="Y103" s="1499"/>
      <c r="Z103" s="1499"/>
      <c r="AA103" s="1499"/>
      <c r="AB103" s="1499"/>
      <c r="AC103" s="1499"/>
      <c r="AD103" s="1499"/>
      <c r="AE103" s="1499"/>
      <c r="AF103" s="1499"/>
      <c r="AG103" s="1499"/>
      <c r="AH103" s="1499"/>
      <c r="AI103" s="1499"/>
      <c r="AJ103" s="1499"/>
      <c r="AK103" s="1499"/>
      <c r="AL103" s="1499"/>
      <c r="AM103" s="1499"/>
      <c r="AN103" s="1499"/>
      <c r="AO103" s="1499"/>
      <c r="AP103" s="1499"/>
      <c r="AQ103" s="1499"/>
      <c r="AR103" s="1499"/>
      <c r="AS103" s="1499"/>
      <c r="AT103" s="1499"/>
      <c r="AU103" s="17"/>
      <c r="AV103" s="17"/>
      <c r="AW103" s="17"/>
      <c r="AX103" s="17"/>
      <c r="AY103" s="17"/>
      <c r="BD103" t="s">
        <v>779</v>
      </c>
      <c r="BE103" s="1137" t="b">
        <f>T199="Yes"</f>
        <v>0</v>
      </c>
    </row>
    <row r="104" spans="1:57" ht="13" customHeight="1">
      <c r="C104" s="418"/>
      <c r="D104" s="418"/>
      <c r="E104" s="418"/>
      <c r="F104" s="418"/>
      <c r="G104" s="418"/>
      <c r="H104" s="418"/>
      <c r="I104" s="418"/>
      <c r="J104" s="418"/>
      <c r="K104" s="418"/>
      <c r="L104" s="418"/>
      <c r="M104" s="418"/>
      <c r="N104" s="418"/>
      <c r="O104" s="418"/>
      <c r="P104" s="418"/>
      <c r="Q104" s="418"/>
      <c r="R104" s="418"/>
      <c r="S104" s="418"/>
      <c r="T104" s="418"/>
      <c r="U104" s="418"/>
      <c r="V104" s="418"/>
      <c r="W104" s="418"/>
      <c r="X104" s="418"/>
      <c r="Y104" s="418"/>
      <c r="Z104" s="418"/>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3" customHeight="1">
      <c r="A105" s="1499" t="s">
        <v>780</v>
      </c>
      <c r="B105" s="1499"/>
      <c r="C105" s="1499"/>
      <c r="D105" s="1499"/>
      <c r="E105" s="1499"/>
      <c r="F105" s="1499"/>
      <c r="G105" s="1499"/>
      <c r="H105" s="1499"/>
      <c r="I105" s="1499"/>
      <c r="J105" s="1499"/>
      <c r="K105" s="1499"/>
      <c r="L105" s="1499"/>
      <c r="M105" s="1499"/>
      <c r="N105" s="1499"/>
      <c r="O105" s="1499"/>
      <c r="P105" s="1499"/>
      <c r="Q105" s="1499"/>
      <c r="R105" s="1499"/>
      <c r="S105" s="1499"/>
      <c r="T105" s="1499"/>
      <c r="U105" s="1499"/>
      <c r="V105" s="1499"/>
      <c r="W105" s="1499"/>
      <c r="X105" s="1499"/>
      <c r="Y105" s="1499"/>
      <c r="Z105" s="1499"/>
      <c r="AA105" s="1499"/>
      <c r="AB105" s="1499"/>
      <c r="AC105" s="1499"/>
      <c r="AD105" s="1499"/>
      <c r="AE105" s="1499"/>
      <c r="AF105" s="1499"/>
      <c r="AG105" s="1499"/>
      <c r="AH105" s="1499"/>
      <c r="AI105" s="1499"/>
      <c r="AJ105" s="1499"/>
      <c r="AK105" s="1499"/>
      <c r="AL105" s="1499"/>
      <c r="AM105" s="1499"/>
      <c r="AN105" s="1499"/>
      <c r="AO105" s="1499"/>
      <c r="AP105" s="1499"/>
      <c r="AQ105" s="1499"/>
      <c r="AR105" s="1499"/>
      <c r="AS105" s="1499"/>
      <c r="AT105" s="1499"/>
      <c r="AU105" s="17"/>
      <c r="AV105" s="17"/>
      <c r="AW105" s="17"/>
      <c r="AX105" s="17"/>
      <c r="AY105" s="17"/>
    </row>
    <row r="106" spans="1:57" ht="13" customHeight="1">
      <c r="A106" s="1499"/>
      <c r="B106" s="1499"/>
      <c r="C106" s="1499"/>
      <c r="D106" s="1499"/>
      <c r="E106" s="1499"/>
      <c r="F106" s="1499"/>
      <c r="G106" s="1499"/>
      <c r="H106" s="1499"/>
      <c r="I106" s="1499"/>
      <c r="J106" s="1499"/>
      <c r="K106" s="1499"/>
      <c r="L106" s="1499"/>
      <c r="M106" s="1499"/>
      <c r="N106" s="1499"/>
      <c r="O106" s="1499"/>
      <c r="P106" s="1499"/>
      <c r="Q106" s="1499"/>
      <c r="R106" s="1499"/>
      <c r="S106" s="1499"/>
      <c r="T106" s="1499"/>
      <c r="U106" s="1499"/>
      <c r="V106" s="1499"/>
      <c r="W106" s="1499"/>
      <c r="X106" s="1499"/>
      <c r="Y106" s="1499"/>
      <c r="Z106" s="1499"/>
      <c r="AA106" s="1499"/>
      <c r="AB106" s="1499"/>
      <c r="AC106" s="1499"/>
      <c r="AD106" s="1499"/>
      <c r="AE106" s="1499"/>
      <c r="AF106" s="1499"/>
      <c r="AG106" s="1499"/>
      <c r="AH106" s="1499"/>
      <c r="AI106" s="1499"/>
      <c r="AJ106" s="1499"/>
      <c r="AK106" s="1499"/>
      <c r="AL106" s="1499"/>
      <c r="AM106" s="1499"/>
      <c r="AN106" s="1499"/>
      <c r="AO106" s="1499"/>
      <c r="AP106" s="1499"/>
      <c r="AQ106" s="1499"/>
      <c r="AR106" s="1499"/>
      <c r="AS106" s="1499"/>
      <c r="AT106" s="1499"/>
      <c r="AU106" s="17"/>
      <c r="AV106" s="17"/>
      <c r="AW106" s="17"/>
      <c r="AX106" s="17"/>
      <c r="AY106" s="17"/>
    </row>
    <row r="107" spans="1:57" ht="13" customHeight="1">
      <c r="A107" s="416"/>
      <c r="C107" s="418"/>
      <c r="D107" s="418"/>
      <c r="E107" s="418"/>
      <c r="F107" s="418"/>
      <c r="G107" s="418"/>
      <c r="H107" s="418"/>
      <c r="I107" s="418"/>
      <c r="J107" s="418"/>
      <c r="K107" s="418"/>
      <c r="L107" s="418"/>
      <c r="M107" s="418"/>
      <c r="N107" s="418"/>
      <c r="O107" s="418"/>
      <c r="P107" s="418"/>
      <c r="Q107" s="418"/>
      <c r="R107" s="418"/>
      <c r="S107" s="418"/>
      <c r="T107" s="418"/>
      <c r="U107" s="418"/>
      <c r="V107" s="418"/>
      <c r="W107" s="418"/>
      <c r="X107" s="418"/>
      <c r="Y107" s="418"/>
      <c r="Z107" s="418"/>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3" customHeight="1">
      <c r="A108" s="416" t="s">
        <v>781</v>
      </c>
      <c r="C108" s="418"/>
      <c r="D108" s="418"/>
      <c r="E108" s="418"/>
      <c r="F108" s="418"/>
      <c r="G108" s="418"/>
      <c r="H108" s="418"/>
      <c r="I108" s="418"/>
      <c r="J108" s="418"/>
      <c r="K108" s="418"/>
      <c r="L108" s="418"/>
      <c r="M108" s="418"/>
      <c r="N108" s="418"/>
      <c r="O108" s="418"/>
      <c r="P108" s="418"/>
      <c r="Q108" s="418"/>
      <c r="R108" s="418"/>
      <c r="S108" s="418"/>
      <c r="T108" s="418"/>
      <c r="U108" s="418"/>
      <c r="V108" s="418"/>
      <c r="W108" s="418"/>
      <c r="X108" s="418"/>
      <c r="Y108" s="418"/>
      <c r="Z108" s="418"/>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3" customHeight="1">
      <c r="C109" s="418"/>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3" customHeight="1">
      <c r="A110" s="416"/>
      <c r="C110" s="418"/>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3" customHeight="1">
      <c r="A111" s="416"/>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18"/>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3" customHeight="1">
      <c r="A112" s="416"/>
      <c r="C112" s="418"/>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3" customHeight="1">
      <c r="A113" s="198"/>
      <c r="C113" s="3" t="s">
        <v>782</v>
      </c>
      <c r="G113" s="1492" t="s">
        <v>2761</v>
      </c>
      <c r="H113" s="1492"/>
      <c r="I113" s="3" t="s">
        <v>783</v>
      </c>
      <c r="L113" s="1492" t="s">
        <v>2762</v>
      </c>
      <c r="M113" s="1492"/>
      <c r="N113" s="1492"/>
      <c r="O113" s="1492"/>
      <c r="P113" s="1507" t="s">
        <v>784</v>
      </c>
      <c r="Q113" s="1507"/>
      <c r="R113" s="1507"/>
      <c r="S113" s="1507"/>
      <c r="T113" s="418"/>
      <c r="U113" s="418"/>
      <c r="V113" s="418"/>
      <c r="W113" s="418"/>
      <c r="X113" s="418"/>
      <c r="Y113" s="418"/>
      <c r="Z113" s="418"/>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3" customHeight="1">
      <c r="M114" s="3"/>
      <c r="S114" s="3"/>
      <c r="T114" s="418"/>
      <c r="U114" s="418"/>
      <c r="V114" s="418"/>
      <c r="W114" s="418"/>
      <c r="X114" s="418"/>
      <c r="Y114" s="418"/>
      <c r="Z114" s="418"/>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3" customHeight="1">
      <c r="A115" s="418"/>
      <c r="C115" s="1493" t="s">
        <v>1062</v>
      </c>
      <c r="D115" s="1493"/>
      <c r="E115" s="1493"/>
      <c r="F115" s="1493"/>
      <c r="G115" s="1493"/>
      <c r="H115" s="1493"/>
      <c r="I115" s="1493"/>
      <c r="J115" s="1493"/>
      <c r="K115" s="1493"/>
      <c r="L115" s="134" t="s">
        <v>785</v>
      </c>
      <c r="S115" s="3"/>
      <c r="T115" s="418"/>
      <c r="U115" s="418"/>
      <c r="V115" s="418"/>
      <c r="W115" s="418"/>
      <c r="X115" s="418"/>
      <c r="Y115" s="418"/>
      <c r="Z115" s="418"/>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3" customHeight="1">
      <c r="A116" s="418"/>
      <c r="C116" s="418"/>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3" customHeight="1">
      <c r="A117" s="418"/>
      <c r="B117" s="19"/>
      <c r="C117" s="19"/>
      <c r="X117" s="3" t="s">
        <v>786</v>
      </c>
      <c r="Y117" s="1492"/>
      <c r="Z117" s="1492"/>
      <c r="AA117" s="1492"/>
      <c r="AB117" s="1492"/>
      <c r="AC117" s="1492"/>
      <c r="AD117" s="1492"/>
      <c r="AE117" s="1492"/>
      <c r="AF117" s="1492"/>
      <c r="AG117" s="1492"/>
      <c r="AH117" s="1492"/>
      <c r="AI117" s="1492"/>
      <c r="AJ117" s="1492"/>
      <c r="AK117" s="1492"/>
    </row>
    <row r="118" spans="1:117" ht="13" customHeight="1">
      <c r="X118" s="3"/>
      <c r="Y118" s="3"/>
      <c r="Z118" s="3" t="s">
        <v>787</v>
      </c>
      <c r="AA118" s="3"/>
      <c r="AB118" s="3"/>
      <c r="AC118" s="3"/>
      <c r="AD118" s="3"/>
      <c r="AE118" s="3"/>
      <c r="AF118" s="3"/>
      <c r="AG118" s="3"/>
      <c r="AH118" s="3"/>
      <c r="AI118" s="3"/>
      <c r="AJ118" s="3"/>
      <c r="AK118" s="3"/>
    </row>
    <row r="119" spans="1:117" ht="13" customHeight="1">
      <c r="A119" s="418"/>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418"/>
      <c r="B120" s="3"/>
      <c r="P120" s="3"/>
      <c r="Q120" s="3"/>
      <c r="R120" s="3"/>
      <c r="S120" s="3"/>
      <c r="T120" s="3"/>
      <c r="U120" s="3"/>
      <c r="V120" s="3"/>
      <c r="W120" s="3"/>
      <c r="X120" s="3"/>
      <c r="Y120" s="1492" t="s">
        <v>1066</v>
      </c>
      <c r="Z120" s="1492"/>
      <c r="AA120" s="1492"/>
      <c r="AB120" s="1492"/>
      <c r="AC120" s="1492"/>
      <c r="AD120" s="1492"/>
      <c r="AE120" s="1492"/>
      <c r="AF120" s="1492"/>
      <c r="AG120" s="1492"/>
      <c r="AH120" s="1492"/>
      <c r="AI120" s="1492"/>
      <c r="AJ120" s="1492"/>
      <c r="AK120" s="1492"/>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788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3" t="s">
        <v>789</v>
      </c>
      <c r="CR122" s="13"/>
      <c r="CS122" s="13"/>
      <c r="CT122" s="13"/>
      <c r="CU122" s="1633" t="s">
        <v>790</v>
      </c>
      <c r="CV122" s="1634"/>
      <c r="CW122" s="13"/>
      <c r="CX122" s="13" t="s">
        <v>791</v>
      </c>
      <c r="CY122" s="13"/>
      <c r="CZ122" s="13"/>
      <c r="DA122" s="13"/>
      <c r="DB122" s="13"/>
      <c r="DC122" s="13"/>
      <c r="DD122" s="13"/>
      <c r="DE122" s="13"/>
      <c r="DF122" s="13"/>
      <c r="DG122" s="1630" t="str">
        <f>T189</f>
        <v>Marin</v>
      </c>
      <c r="DH122" s="1631"/>
      <c r="DI122" s="1631"/>
      <c r="DJ122" s="1631"/>
      <c r="DK122" s="1631"/>
      <c r="DL122" s="1631"/>
      <c r="DM122" s="1632"/>
    </row>
    <row r="123" spans="1:117" ht="13" customHeight="1">
      <c r="A123" s="3"/>
      <c r="B123" s="3"/>
      <c r="T123" s="3"/>
      <c r="U123" s="3"/>
      <c r="V123" s="3"/>
      <c r="W123" s="3"/>
      <c r="X123" s="3"/>
      <c r="Y123" s="1492" t="s">
        <v>1227</v>
      </c>
      <c r="Z123" s="1492"/>
      <c r="AA123" s="1492"/>
      <c r="AB123" s="1492"/>
      <c r="AC123" s="1492"/>
      <c r="AD123" s="1492"/>
      <c r="AE123" s="1492"/>
      <c r="AF123" s="1492"/>
      <c r="AG123" s="1492"/>
      <c r="AH123" s="1492"/>
      <c r="AI123" s="1492"/>
      <c r="AJ123" s="1492"/>
      <c r="AK123" s="1492"/>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792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790</v>
      </c>
      <c r="CV124" s="13"/>
      <c r="CW124" s="13"/>
      <c r="CX124" s="13"/>
      <c r="CY124" s="13"/>
      <c r="CZ124" s="13"/>
      <c r="DA124" s="13"/>
      <c r="DB124" s="13"/>
      <c r="DE124" s="27"/>
      <c r="DF124" s="27"/>
      <c r="DG124" s="27"/>
      <c r="DH124" s="27"/>
      <c r="DI124" s="27"/>
      <c r="DJ124" s="13"/>
      <c r="DK124" s="13"/>
      <c r="DL124" s="13"/>
      <c r="DM124" s="13"/>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793</v>
      </c>
      <c r="CV125" s="3"/>
      <c r="CW125" s="13"/>
      <c r="CX125" s="13"/>
      <c r="CY125" s="13"/>
      <c r="CZ125" s="13"/>
      <c r="DA125" s="13"/>
      <c r="DB125" s="13"/>
      <c r="DE125" s="3"/>
      <c r="DF125" s="3"/>
      <c r="DG125" s="3"/>
      <c r="DH125" s="3"/>
      <c r="DI125" s="3"/>
      <c r="DJ125" s="3"/>
      <c r="DK125" s="3"/>
      <c r="DL125" s="3"/>
      <c r="DM125" s="3"/>
    </row>
    <row r="126" spans="1:117" ht="13"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790</v>
      </c>
      <c r="DD127" s="3"/>
      <c r="DE127" s="3"/>
      <c r="DF127" s="3"/>
      <c r="DG127" s="3"/>
      <c r="DH127" s="3"/>
      <c r="DI127" s="3"/>
      <c r="DJ127" s="3"/>
      <c r="DK127" s="3"/>
      <c r="DL127" s="3"/>
      <c r="DM127" s="3"/>
    </row>
    <row r="128" spans="1:117" ht="13" customHeight="1">
      <c r="A128" s="256"/>
      <c r="AL128" s="256"/>
      <c r="AM128" s="256"/>
      <c r="AN128" s="256"/>
      <c r="AO128" s="256"/>
      <c r="AP128" s="256"/>
      <c r="AQ128" s="256"/>
      <c r="AR128" s="256"/>
      <c r="AS128" s="256"/>
      <c r="AT128" s="256"/>
      <c r="AU128" s="256"/>
      <c r="AV128" s="256"/>
      <c r="AW128" s="256"/>
      <c r="AX128" s="256"/>
      <c r="AY128" s="256"/>
    </row>
    <row r="129" spans="1:51" ht="13" customHeight="1">
      <c r="A129" s="256"/>
      <c r="B129" s="3"/>
      <c r="R129" s="256"/>
      <c r="S129" s="256"/>
      <c r="T129" s="256"/>
      <c r="U129" s="256"/>
      <c r="V129" s="256"/>
      <c r="W129" s="256"/>
      <c r="AL129" s="256"/>
      <c r="AM129" s="256"/>
      <c r="AN129" s="256"/>
      <c r="AO129" s="256"/>
      <c r="AP129" s="256"/>
      <c r="AQ129" s="256"/>
      <c r="AR129" s="256"/>
      <c r="AS129" s="256"/>
      <c r="AT129" s="256"/>
      <c r="AU129" s="256"/>
      <c r="AV129" s="256"/>
      <c r="AW129" s="256"/>
      <c r="AX129" s="256"/>
      <c r="AY129" s="256"/>
    </row>
    <row r="130" spans="1:51" ht="13" customHeight="1">
      <c r="A130" s="3"/>
      <c r="B130" s="84"/>
      <c r="C130" s="256"/>
      <c r="R130" s="256"/>
      <c r="S130" s="256"/>
      <c r="T130" s="256"/>
      <c r="U130" s="256"/>
      <c r="V130" s="256"/>
      <c r="W130" s="25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84"/>
      <c r="T139" s="356"/>
      <c r="U139" s="356"/>
      <c r="V139" s="356"/>
      <c r="W139" s="356"/>
      <c r="X139" s="356"/>
      <c r="Y139" s="356"/>
      <c r="Z139" s="356"/>
      <c r="AA139" s="356"/>
      <c r="AB139" s="356"/>
      <c r="AC139" s="356"/>
      <c r="AD139" s="356"/>
      <c r="AE139" s="356"/>
      <c r="AF139" s="356"/>
      <c r="AG139" s="356"/>
      <c r="AH139" s="356"/>
      <c r="AI139" s="356"/>
      <c r="AJ139" s="356"/>
      <c r="AK139" s="3"/>
      <c r="AL139" s="3"/>
      <c r="AM139" s="3"/>
      <c r="AN139" s="3"/>
      <c r="AO139" s="3"/>
      <c r="AP139" s="3"/>
      <c r="AQ139" s="3"/>
      <c r="AR139" s="3"/>
      <c r="AS139" s="3"/>
      <c r="AT139" s="3"/>
      <c r="AU139" s="3"/>
      <c r="AV139" s="3"/>
      <c r="AW139" s="3"/>
      <c r="AX139" s="3"/>
      <c r="AY139" s="3"/>
    </row>
    <row r="140" spans="1:51" ht="13" customHeight="1">
      <c r="A140" s="3"/>
      <c r="B140" s="85"/>
      <c r="C140" s="356"/>
      <c r="D140" s="356"/>
      <c r="E140" s="356"/>
      <c r="F140" s="356"/>
      <c r="G140" s="356"/>
      <c r="H140" s="356"/>
      <c r="I140" s="356"/>
      <c r="J140" s="356"/>
      <c r="K140" s="356"/>
      <c r="L140" s="356"/>
      <c r="M140" s="356"/>
      <c r="N140" s="356"/>
      <c r="O140" s="356"/>
      <c r="P140" s="356"/>
      <c r="Q140" s="356"/>
      <c r="R140" s="356"/>
      <c r="S140" s="356"/>
      <c r="T140" s="356"/>
      <c r="U140" s="356"/>
      <c r="V140" s="356"/>
      <c r="W140" s="356"/>
      <c r="X140" s="356"/>
      <c r="Y140" s="356"/>
      <c r="Z140" s="356"/>
      <c r="AA140" s="356"/>
      <c r="AB140" s="356"/>
      <c r="AC140" s="356"/>
      <c r="AD140" s="356"/>
      <c r="AE140" s="356"/>
      <c r="AF140" s="356"/>
      <c r="AG140" s="356"/>
      <c r="AH140" s="356"/>
      <c r="AI140" s="356"/>
      <c r="AJ140" s="356"/>
      <c r="AK140" s="3"/>
      <c r="AL140" s="3"/>
      <c r="AM140" s="3"/>
      <c r="AN140" s="3"/>
      <c r="AO140" s="3"/>
      <c r="AP140" s="3"/>
      <c r="AQ140" s="3"/>
      <c r="AR140" s="3"/>
      <c r="AS140" s="3"/>
      <c r="AT140" s="3"/>
      <c r="AU140" s="3"/>
      <c r="AV140" s="3"/>
      <c r="AW140" s="3"/>
      <c r="AX140" s="3"/>
      <c r="AY140" s="3"/>
    </row>
    <row r="141" spans="1:51" ht="13" customHeight="1">
      <c r="A141" s="3"/>
      <c r="B141" s="85"/>
      <c r="C141" s="356"/>
      <c r="D141" s="356"/>
      <c r="E141" s="356"/>
      <c r="F141" s="356"/>
      <c r="G141" s="356"/>
      <c r="H141" s="356"/>
      <c r="I141" s="356"/>
      <c r="J141" s="356"/>
      <c r="K141" s="356"/>
      <c r="L141" s="356"/>
      <c r="M141" s="356"/>
      <c r="N141" s="356"/>
      <c r="O141" s="356"/>
      <c r="P141" s="356"/>
      <c r="Q141" s="356"/>
      <c r="R141" s="356"/>
      <c r="S141" s="356"/>
      <c r="T141" s="356"/>
      <c r="U141" s="356"/>
      <c r="V141" s="356"/>
      <c r="W141" s="356"/>
      <c r="X141" s="356"/>
      <c r="Y141" s="356"/>
      <c r="Z141" s="356"/>
      <c r="AA141" s="356"/>
      <c r="AB141" s="356"/>
      <c r="AC141" s="356"/>
      <c r="AD141" s="356"/>
      <c r="AE141" s="356"/>
      <c r="AF141" s="356"/>
      <c r="AG141" s="356"/>
      <c r="AH141" s="356"/>
      <c r="AI141" s="356"/>
      <c r="AJ141" s="356"/>
      <c r="AK141" s="3"/>
      <c r="AL141" s="3"/>
      <c r="AM141" s="3"/>
      <c r="AN141" s="3"/>
      <c r="AO141" s="3"/>
      <c r="AP141" s="3"/>
      <c r="AQ141" s="3"/>
      <c r="AR141" s="3"/>
      <c r="AS141" s="3"/>
      <c r="AT141" s="3"/>
      <c r="AU141" s="3"/>
      <c r="AV141" s="3"/>
      <c r="AW141" s="3"/>
      <c r="AX141" s="3"/>
      <c r="AY141" s="3"/>
    </row>
    <row r="142" spans="1:51" ht="13" customHeight="1">
      <c r="A142" s="3"/>
      <c r="B142" s="85"/>
      <c r="C142" s="343"/>
      <c r="D142" s="343"/>
      <c r="E142" s="343"/>
      <c r="F142" s="343"/>
      <c r="G142" s="343"/>
      <c r="H142" s="343"/>
      <c r="I142" s="343"/>
      <c r="J142" s="343"/>
      <c r="K142" s="343"/>
      <c r="L142" s="343"/>
      <c r="M142" s="343"/>
      <c r="N142" s="343"/>
      <c r="O142" s="343"/>
      <c r="P142" s="343"/>
      <c r="Q142" s="343"/>
      <c r="R142" s="343"/>
      <c r="S142" s="343"/>
      <c r="T142" s="343"/>
      <c r="U142" s="343"/>
      <c r="V142" s="343"/>
      <c r="W142" s="343"/>
      <c r="X142" s="343"/>
      <c r="Y142" s="343"/>
      <c r="Z142" s="343"/>
      <c r="AA142" s="343"/>
      <c r="AB142" s="343"/>
      <c r="AC142" s="343"/>
      <c r="AD142" s="343"/>
      <c r="AE142" s="343"/>
      <c r="AF142" s="343"/>
      <c r="AG142" s="343"/>
      <c r="AH142" s="343"/>
      <c r="AI142" s="343"/>
      <c r="AJ142" s="343"/>
      <c r="AK142" s="3"/>
      <c r="AL142" s="3"/>
      <c r="AM142" s="3"/>
      <c r="AN142" s="3"/>
      <c r="AO142" s="3"/>
      <c r="AP142" s="3"/>
      <c r="AQ142" s="3"/>
      <c r="AR142" s="3"/>
      <c r="AS142" s="3"/>
      <c r="AT142" s="3"/>
      <c r="AU142" s="3"/>
      <c r="AV142" s="3"/>
      <c r="AW142" s="3"/>
      <c r="AX142" s="3"/>
      <c r="AY142" s="3"/>
    </row>
    <row r="143" spans="1:51" ht="13" customHeight="1">
      <c r="A143" s="3"/>
      <c r="D143" s="343"/>
      <c r="E143" s="343"/>
      <c r="F143" s="343"/>
      <c r="G143" s="343"/>
      <c r="H143" s="343"/>
      <c r="I143" s="343"/>
      <c r="J143" s="343"/>
      <c r="K143" s="343"/>
      <c r="L143" s="343"/>
      <c r="M143" s="343"/>
      <c r="N143" s="343"/>
      <c r="O143" s="343"/>
      <c r="P143" s="343"/>
      <c r="Q143" s="343"/>
      <c r="R143" s="343"/>
      <c r="S143" s="343"/>
      <c r="T143" s="343"/>
      <c r="U143" s="343"/>
      <c r="V143" s="343"/>
      <c r="W143" s="343"/>
      <c r="X143" s="343"/>
      <c r="Y143" s="343"/>
      <c r="Z143" s="343"/>
      <c r="AA143" s="343"/>
      <c r="AB143" s="343"/>
      <c r="AC143" s="343"/>
      <c r="AD143" s="343"/>
      <c r="AE143" s="343"/>
      <c r="AF143" s="343"/>
      <c r="AG143" s="343"/>
      <c r="AH143" s="343"/>
      <c r="AI143" s="343"/>
      <c r="AJ143" s="343"/>
      <c r="AK143" s="3"/>
      <c r="AL143" s="3"/>
      <c r="AM143" s="3"/>
      <c r="AN143" s="3"/>
      <c r="AO143" s="3"/>
      <c r="AP143" s="3"/>
      <c r="AQ143" s="3"/>
      <c r="AR143" s="3"/>
      <c r="AS143" s="3"/>
      <c r="AT143" s="3"/>
      <c r="AU143" s="3"/>
      <c r="AV143" s="3"/>
      <c r="AW143" s="3"/>
      <c r="AX143" s="3"/>
      <c r="AY143" s="3"/>
    </row>
    <row r="144" spans="1:51" ht="13" customHeight="1">
      <c r="A144" s="3"/>
      <c r="B144" s="418"/>
      <c r="C144" s="343"/>
      <c r="D144" s="343"/>
      <c r="E144" s="343"/>
      <c r="F144" s="343"/>
      <c r="G144" s="343"/>
      <c r="H144" s="343"/>
      <c r="I144" s="343"/>
      <c r="J144" s="34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3"/>
      <c r="AJ144" s="343"/>
      <c r="AK144" s="3"/>
      <c r="AL144" s="3"/>
      <c r="AM144" s="3"/>
      <c r="AN144" s="3"/>
      <c r="AO144" s="3"/>
      <c r="AP144" s="3"/>
      <c r="AQ144" s="3"/>
      <c r="AR144" s="3"/>
      <c r="AS144" s="3"/>
      <c r="AT144" s="3"/>
      <c r="AU144" s="3"/>
      <c r="AV144" s="3"/>
      <c r="AW144" s="3"/>
      <c r="AX144" s="3"/>
      <c r="AY144" s="3"/>
    </row>
    <row r="145" spans="1:108" ht="13" customHeight="1">
      <c r="A145" s="3"/>
      <c r="B145" s="3"/>
      <c r="C145" s="343"/>
      <c r="D145" s="343"/>
      <c r="E145" s="343"/>
      <c r="F145" s="343"/>
      <c r="G145" s="343"/>
      <c r="H145" s="343"/>
      <c r="I145" s="343"/>
      <c r="J145" s="34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3"/>
      <c r="AJ145" s="343"/>
      <c r="AK145" s="3"/>
      <c r="AL145" s="3"/>
      <c r="AM145" s="3"/>
      <c r="AN145" s="3"/>
      <c r="AO145" s="3"/>
      <c r="AP145" s="3"/>
      <c r="AQ145" s="3"/>
      <c r="AR145" s="3"/>
      <c r="AS145" s="3"/>
      <c r="AT145" s="3"/>
      <c r="AU145" s="3"/>
      <c r="AV145" s="3"/>
      <c r="AW145" s="3"/>
      <c r="AX145" s="3"/>
      <c r="AY145" s="3"/>
    </row>
    <row r="146" spans="1:108" ht="13" customHeight="1">
      <c r="A146" s="3"/>
      <c r="D146" s="343"/>
      <c r="E146" s="343"/>
      <c r="F146" s="343"/>
      <c r="G146" s="343"/>
      <c r="H146" s="343"/>
      <c r="I146" s="343"/>
      <c r="J146" s="34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3"/>
      <c r="AJ146" s="343"/>
      <c r="AK146" s="3"/>
      <c r="AL146" s="3"/>
      <c r="AM146" s="3"/>
      <c r="AN146" s="3"/>
      <c r="AO146" s="3"/>
      <c r="AP146" s="3"/>
      <c r="AQ146" s="3"/>
      <c r="AR146" s="3"/>
      <c r="AS146" s="3"/>
      <c r="AT146" s="3"/>
      <c r="AU146" s="3"/>
      <c r="AV146" s="3"/>
      <c r="AW146" s="3"/>
      <c r="AX146" s="3"/>
      <c r="AY146" s="3"/>
    </row>
    <row r="147" spans="1:108" ht="13" customHeight="1">
      <c r="A147" s="3"/>
      <c r="B147" s="418"/>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309</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794</v>
      </c>
    </row>
    <row r="150" spans="1:108" ht="13" customHeight="1">
      <c r="A150" s="3"/>
      <c r="B150" s="3"/>
      <c r="D150" s="3"/>
      <c r="E150" s="3"/>
      <c r="F150" s="1357"/>
      <c r="G150" s="1357"/>
      <c r="H150" s="1357"/>
      <c r="I150" s="1357"/>
      <c r="J150" s="1357"/>
      <c r="K150" s="1357"/>
      <c r="L150" s="1357"/>
      <c r="M150" s="1357"/>
      <c r="N150" s="1357"/>
      <c r="O150" s="1357"/>
      <c r="P150" s="1357"/>
      <c r="Q150" s="1357"/>
      <c r="R150" s="1357"/>
      <c r="S150" s="1357"/>
      <c r="T150" s="135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795</v>
      </c>
    </row>
    <row r="152" spans="1:108" ht="13" customHeight="1">
      <c r="BM152">
        <v>4</v>
      </c>
      <c r="BN152" s="3" t="s">
        <v>796</v>
      </c>
    </row>
    <row r="153" spans="1:108" ht="13" customHeight="1">
      <c r="D153" t="s">
        <v>797</v>
      </c>
      <c r="O153" s="1472" t="s">
        <v>798</v>
      </c>
      <c r="P153" s="1472"/>
      <c r="Q153" s="1472"/>
      <c r="R153" s="1472"/>
      <c r="S153" s="1472"/>
      <c r="T153" s="1472"/>
      <c r="U153" s="1472"/>
      <c r="V153" s="1472"/>
      <c r="W153" s="1472"/>
      <c r="X153" s="1472"/>
      <c r="Y153" s="1472"/>
      <c r="Z153" s="1472"/>
      <c r="AA153" s="1472"/>
      <c r="AB153" s="1472"/>
      <c r="AC153" s="1472"/>
      <c r="AD153" s="1472"/>
      <c r="AE153" s="1472"/>
      <c r="AF153" s="1472"/>
      <c r="AG153" s="1472"/>
      <c r="AH153" s="1472"/>
      <c r="BM153">
        <v>5</v>
      </c>
      <c r="BN153" s="3" t="s">
        <v>799</v>
      </c>
      <c r="CR153" s="26" t="s">
        <v>800</v>
      </c>
      <c r="CS153" s="27"/>
      <c r="CT153" s="27"/>
      <c r="CU153" s="27"/>
      <c r="CV153" s="27"/>
      <c r="CW153" s="27"/>
      <c r="CX153" s="13"/>
      <c r="CY153" s="26" t="s">
        <v>801</v>
      </c>
      <c r="CZ153" s="13"/>
      <c r="DA153" s="13"/>
      <c r="DB153" s="13"/>
      <c r="DC153" s="13"/>
      <c r="DD153" s="13"/>
    </row>
    <row r="154" spans="1:108" ht="13" customHeight="1">
      <c r="D154" s="209" t="s">
        <v>802</v>
      </c>
      <c r="O154" s="1423" t="s">
        <v>803</v>
      </c>
      <c r="P154" s="1423"/>
      <c r="Q154" s="1423"/>
      <c r="R154" s="1423"/>
      <c r="S154" s="1423"/>
      <c r="T154" s="1423"/>
      <c r="U154" s="1423"/>
      <c r="V154" s="1423"/>
      <c r="W154" s="1423"/>
      <c r="X154" s="1423"/>
      <c r="Y154" s="1423"/>
      <c r="Z154" s="1423"/>
      <c r="AA154" s="1423"/>
      <c r="AB154" s="1423"/>
      <c r="AC154" s="1423"/>
      <c r="AD154" s="1423"/>
      <c r="AE154" s="1423"/>
      <c r="AF154" s="1423"/>
      <c r="AG154" s="1423"/>
      <c r="AH154" s="1423"/>
      <c r="BM154">
        <v>6</v>
      </c>
      <c r="BN154" s="3" t="s">
        <v>804</v>
      </c>
      <c r="CR154" s="26"/>
      <c r="CS154" s="27"/>
      <c r="CT154" s="27"/>
      <c r="CU154" s="27"/>
      <c r="CV154" s="27"/>
      <c r="CW154" s="27"/>
      <c r="CX154" s="13"/>
      <c r="CY154" s="26"/>
      <c r="CZ154" s="13"/>
      <c r="DA154" s="13"/>
      <c r="DB154" s="13"/>
      <c r="DC154" s="13"/>
      <c r="DD154" s="13"/>
    </row>
    <row r="155" spans="1:108" ht="13" customHeight="1">
      <c r="D155" s="7" t="s">
        <v>805</v>
      </c>
      <c r="F155" s="7"/>
      <c r="G155" s="7"/>
      <c r="H155" s="7"/>
      <c r="I155" s="7"/>
      <c r="J155" s="7"/>
      <c r="K155" s="7"/>
      <c r="L155" s="7"/>
      <c r="M155" s="7"/>
      <c r="N155" s="7"/>
      <c r="O155" s="1480" t="s">
        <v>806</v>
      </c>
      <c r="P155" s="1480"/>
      <c r="Q155" s="1480"/>
      <c r="R155" s="1480"/>
      <c r="S155" s="1480"/>
      <c r="T155" s="1480"/>
      <c r="U155" s="1480"/>
      <c r="V155" s="1480"/>
      <c r="W155" s="1480"/>
      <c r="X155" s="1480"/>
      <c r="Y155" s="1480"/>
      <c r="Z155" s="1480"/>
      <c r="AA155" s="1480"/>
      <c r="AB155" s="1480"/>
      <c r="AC155" s="1480"/>
      <c r="AD155" s="1480"/>
      <c r="AE155" s="1480"/>
      <c r="AF155" s="1480"/>
      <c r="AG155" s="1480"/>
      <c r="AH155" s="1480"/>
      <c r="BM155">
        <v>7</v>
      </c>
      <c r="BN155" s="3" t="s">
        <v>807</v>
      </c>
      <c r="CR155" s="26"/>
      <c r="CS155" s="27"/>
      <c r="CT155" s="27"/>
      <c r="CU155" s="27"/>
      <c r="CV155" s="27"/>
      <c r="CW155" s="27"/>
      <c r="CX155" s="13"/>
      <c r="CY155" s="26"/>
      <c r="CZ155" s="13"/>
      <c r="DA155" s="13"/>
      <c r="DB155" s="13"/>
      <c r="DC155" s="13"/>
      <c r="DD155" s="13"/>
    </row>
    <row r="156" spans="1:108" ht="13" customHeight="1">
      <c r="D156" t="s">
        <v>808</v>
      </c>
      <c r="O156" s="1359" t="s">
        <v>809</v>
      </c>
      <c r="P156" s="1359"/>
      <c r="Q156" s="1359"/>
      <c r="R156" s="1359"/>
      <c r="S156" s="1359"/>
      <c r="T156" s="1359"/>
      <c r="U156" s="1359"/>
      <c r="V156" s="1359"/>
      <c r="W156" s="1359"/>
      <c r="X156" s="1359"/>
      <c r="Y156" s="1359"/>
      <c r="Z156" s="1359"/>
      <c r="AA156" s="1359"/>
      <c r="AB156" s="1359"/>
      <c r="AC156" s="1359"/>
      <c r="AD156" s="1359"/>
      <c r="AE156" s="1359"/>
      <c r="AF156" s="1359"/>
      <c r="AG156" s="1359"/>
      <c r="AH156" s="1359"/>
      <c r="BT156" t="s">
        <v>309</v>
      </c>
      <c r="CB156" s="131" t="s">
        <v>810</v>
      </c>
      <c r="CC156" s="132"/>
      <c r="CD156" s="132"/>
      <c r="CE156" s="132"/>
      <c r="CF156" s="132"/>
      <c r="CG156" s="132"/>
      <c r="CH156" s="132"/>
      <c r="CI156" s="3"/>
      <c r="CJ156" s="131" t="s">
        <v>811</v>
      </c>
      <c r="CK156" s="3"/>
      <c r="CL156" s="3"/>
      <c r="CM156" s="3"/>
      <c r="CN156" s="3"/>
      <c r="CR156" s="26"/>
      <c r="CS156" s="27"/>
      <c r="CT156" s="27"/>
      <c r="CU156" s="27"/>
      <c r="CV156" s="27"/>
      <c r="CW156" s="27"/>
      <c r="CX156" s="13"/>
      <c r="CY156" s="26"/>
      <c r="CZ156" s="13"/>
      <c r="DA156" s="13"/>
      <c r="DB156" s="13"/>
      <c r="DC156" s="13"/>
      <c r="DD156" s="13"/>
    </row>
    <row r="157" spans="1:108" ht="13" customHeight="1">
      <c r="D157" t="s">
        <v>812</v>
      </c>
      <c r="O157" s="1472" t="s">
        <v>813</v>
      </c>
      <c r="P157" s="1472"/>
      <c r="Q157" s="1472"/>
      <c r="R157" s="1472"/>
      <c r="S157" s="1472"/>
      <c r="T157" s="1472"/>
      <c r="U157" s="1472"/>
      <c r="V157" s="1472"/>
      <c r="W157" s="1472"/>
      <c r="X157" s="1472"/>
      <c r="Y157" s="7"/>
      <c r="Z157" s="7"/>
      <c r="AA157" s="7"/>
      <c r="AB157" s="7"/>
      <c r="AC157" s="7"/>
      <c r="AD157" s="7"/>
      <c r="AE157" s="7"/>
      <c r="AF157" s="7"/>
      <c r="BN157" s="133" t="s">
        <v>814</v>
      </c>
      <c r="BS157">
        <v>2</v>
      </c>
      <c r="BT157" t="s">
        <v>815</v>
      </c>
      <c r="CB157" s="195" t="s">
        <v>816</v>
      </c>
      <c r="CC157" s="132"/>
      <c r="CD157" s="132"/>
      <c r="CE157" s="132"/>
      <c r="CF157" s="132"/>
      <c r="CG157" s="132"/>
      <c r="CH157" s="132"/>
      <c r="CI157" s="3"/>
      <c r="CJ157" s="195" t="s">
        <v>817</v>
      </c>
      <c r="CK157" s="3"/>
      <c r="CL157" s="3"/>
      <c r="CM157" s="3"/>
      <c r="CN157" s="3"/>
      <c r="CR157" s="13"/>
      <c r="CS157" s="27"/>
      <c r="CT157" s="27"/>
      <c r="CU157" s="27"/>
      <c r="CV157" s="27"/>
      <c r="CW157" s="27"/>
      <c r="CX157" s="13"/>
      <c r="CY157" s="13"/>
      <c r="CZ157" s="13"/>
      <c r="DA157" s="13"/>
      <c r="DB157" s="13"/>
      <c r="DC157" s="13"/>
      <c r="DD157" s="13"/>
    </row>
    <row r="158" spans="1:108" ht="13" customHeight="1">
      <c r="D158" t="s">
        <v>818</v>
      </c>
      <c r="O158" s="1502">
        <v>94925</v>
      </c>
      <c r="P158" s="1502"/>
      <c r="Q158" s="1502"/>
      <c r="R158" s="1502"/>
      <c r="S158" s="8"/>
      <c r="T158" s="8"/>
      <c r="U158" s="8"/>
      <c r="V158" s="8"/>
      <c r="W158" s="8"/>
      <c r="X158" s="8"/>
      <c r="Y158" s="8"/>
      <c r="Z158" s="8"/>
      <c r="AA158" s="8"/>
      <c r="AB158" s="8"/>
      <c r="AC158" s="8"/>
      <c r="AD158" s="8"/>
      <c r="AE158" s="8"/>
      <c r="AF158" s="8"/>
      <c r="BN158" s="133" t="s">
        <v>819</v>
      </c>
      <c r="BS158">
        <v>7</v>
      </c>
      <c r="BT158" t="s">
        <v>820</v>
      </c>
      <c r="CB158" s="1153"/>
      <c r="CC158" s="1154"/>
      <c r="CD158" s="1155"/>
      <c r="CE158" s="1155"/>
      <c r="CF158" s="1155"/>
      <c r="CG158" s="1155"/>
      <c r="CH158" s="1155"/>
      <c r="CI158" s="3"/>
      <c r="CJ158" s="3"/>
      <c r="CK158" s="3"/>
      <c r="CL158" s="3"/>
      <c r="CM158" s="3"/>
      <c r="CN158" s="3"/>
      <c r="CR158" s="13"/>
      <c r="CS158" s="27"/>
      <c r="CT158" s="27"/>
      <c r="CU158" s="27"/>
      <c r="CV158" s="27"/>
      <c r="CW158" s="27"/>
      <c r="CX158" s="13"/>
      <c r="CY158" s="13"/>
      <c r="CZ158" s="13"/>
      <c r="DA158" s="13"/>
      <c r="DB158" s="13"/>
      <c r="DC158" s="13"/>
      <c r="DD158" s="13"/>
    </row>
    <row r="159" spans="1:108" ht="13" customHeight="1" thickBot="1">
      <c r="D159" t="s">
        <v>821</v>
      </c>
      <c r="O159" s="1497" t="s">
        <v>822</v>
      </c>
      <c r="P159" s="1497"/>
      <c r="Q159" s="1497"/>
      <c r="R159" s="1497"/>
      <c r="S159" s="1497"/>
      <c r="T159" s="1497"/>
      <c r="V159" s="72" t="s">
        <v>823</v>
      </c>
      <c r="W159" s="1503"/>
      <c r="X159" s="1503"/>
      <c r="Y159" s="9"/>
      <c r="Z159" s="9"/>
      <c r="AA159" s="9"/>
      <c r="AB159" s="9"/>
      <c r="AC159" s="9"/>
      <c r="AD159" s="9"/>
      <c r="AE159" s="9"/>
      <c r="AF159" s="9"/>
      <c r="BN159" s="133" t="s">
        <v>824</v>
      </c>
      <c r="BS159">
        <v>7</v>
      </c>
      <c r="BT159" t="s">
        <v>825</v>
      </c>
      <c r="CB159" s="249" t="s">
        <v>826</v>
      </c>
      <c r="CC159" s="250" t="s">
        <v>827</v>
      </c>
      <c r="CD159" s="250" t="s">
        <v>828</v>
      </c>
      <c r="CE159" s="250" t="s">
        <v>829</v>
      </c>
      <c r="CF159" s="250" t="s">
        <v>830</v>
      </c>
      <c r="CG159" s="250" t="s">
        <v>831</v>
      </c>
      <c r="CH159" s="250" t="s">
        <v>832</v>
      </c>
      <c r="CI159" s="3"/>
      <c r="CJ159" s="250" t="s">
        <v>827</v>
      </c>
      <c r="CK159" s="250" t="s">
        <v>828</v>
      </c>
      <c r="CL159" s="250" t="s">
        <v>829</v>
      </c>
      <c r="CM159" s="250" t="s">
        <v>830</v>
      </c>
      <c r="CN159" s="250" t="s">
        <v>831</v>
      </c>
      <c r="CR159" s="13"/>
      <c r="CS159" s="1156" t="s">
        <v>833</v>
      </c>
      <c r="CT159" s="1157" t="s">
        <v>828</v>
      </c>
      <c r="CU159" s="1157" t="s">
        <v>829</v>
      </c>
      <c r="CV159" s="1157" t="s">
        <v>830</v>
      </c>
      <c r="CW159" s="1157" t="s">
        <v>834</v>
      </c>
      <c r="CX159" s="13"/>
      <c r="CY159" s="13"/>
      <c r="CZ159" s="1156" t="s">
        <v>833</v>
      </c>
      <c r="DA159" s="1157" t="s">
        <v>828</v>
      </c>
      <c r="DB159" s="1157" t="s">
        <v>829</v>
      </c>
      <c r="DC159" s="1157" t="s">
        <v>830</v>
      </c>
      <c r="DD159" s="1157" t="s">
        <v>834</v>
      </c>
    </row>
    <row r="160" spans="1:108" ht="13" customHeight="1">
      <c r="D160" t="s">
        <v>835</v>
      </c>
      <c r="O160" s="1497"/>
      <c r="P160" s="1497"/>
      <c r="Q160" s="1497"/>
      <c r="R160" s="1497"/>
      <c r="S160" s="1497"/>
      <c r="T160" s="1497"/>
      <c r="U160" s="9"/>
      <c r="V160" s="9"/>
      <c r="W160" s="9"/>
      <c r="X160" s="9"/>
      <c r="Y160" s="9"/>
      <c r="Z160" s="9"/>
      <c r="AA160" s="9"/>
      <c r="AB160" s="9"/>
      <c r="AC160" s="9"/>
      <c r="AD160" s="9"/>
      <c r="AE160" s="9"/>
      <c r="AF160" s="9"/>
      <c r="BN160" s="133" t="s">
        <v>836</v>
      </c>
      <c r="BS160">
        <v>6</v>
      </c>
      <c r="BT160" t="s">
        <v>837</v>
      </c>
      <c r="CB160" s="251" t="s">
        <v>815</v>
      </c>
      <c r="CC160" s="357">
        <v>2796</v>
      </c>
      <c r="CD160" s="358">
        <v>2996</v>
      </c>
      <c r="CE160" s="359">
        <v>3596</v>
      </c>
      <c r="CF160" s="358">
        <v>4154</v>
      </c>
      <c r="CG160" s="359">
        <v>4634</v>
      </c>
      <c r="CH160" s="360">
        <v>5114</v>
      </c>
      <c r="CI160" s="3"/>
      <c r="CJ160" s="759">
        <v>1937</v>
      </c>
      <c r="CK160" s="759">
        <v>2201</v>
      </c>
      <c r="CL160" s="759">
        <v>2682</v>
      </c>
      <c r="CM160" s="759">
        <v>3432</v>
      </c>
      <c r="CN160" s="759">
        <v>4077</v>
      </c>
      <c r="CR160" s="133" t="s">
        <v>814</v>
      </c>
      <c r="CS160" s="227">
        <v>473390</v>
      </c>
      <c r="CT160" s="227">
        <v>545814</v>
      </c>
      <c r="CU160" s="227">
        <v>658400</v>
      </c>
      <c r="CV160" s="227">
        <v>842752</v>
      </c>
      <c r="CW160" s="227">
        <v>938878</v>
      </c>
      <c r="CX160" s="13"/>
      <c r="CY160" s="133" t="s">
        <v>814</v>
      </c>
      <c r="CZ160" s="227">
        <v>473390</v>
      </c>
      <c r="DA160" s="227">
        <v>545814</v>
      </c>
      <c r="DB160" s="227">
        <v>658400</v>
      </c>
      <c r="DC160" s="227">
        <v>842752</v>
      </c>
      <c r="DD160" s="227">
        <v>938878</v>
      </c>
    </row>
    <row r="161" spans="1:108" ht="13" customHeight="1">
      <c r="D161" t="s">
        <v>838</v>
      </c>
      <c r="O161" s="1486" t="s">
        <v>839</v>
      </c>
      <c r="P161" s="1486"/>
      <c r="Q161" s="1486"/>
      <c r="R161" s="1486"/>
      <c r="S161" s="1486"/>
      <c r="T161" s="1486"/>
      <c r="U161" s="1486"/>
      <c r="V161" s="1486"/>
      <c r="W161" s="1486"/>
      <c r="X161" s="1486"/>
      <c r="Y161" s="1486"/>
      <c r="Z161" s="1486"/>
      <c r="AA161" s="1486"/>
      <c r="AB161" s="1486"/>
      <c r="AC161" s="1486"/>
      <c r="AD161" s="1486"/>
      <c r="AE161" s="1486"/>
      <c r="AF161" s="1486"/>
      <c r="AG161" s="1486"/>
      <c r="AH161" s="1486"/>
      <c r="BJ161" t="s">
        <v>692</v>
      </c>
      <c r="BN161" s="133" t="s">
        <v>840</v>
      </c>
      <c r="BS161">
        <v>7</v>
      </c>
      <c r="BT161" t="s">
        <v>841</v>
      </c>
      <c r="CB161" s="252" t="s">
        <v>820</v>
      </c>
      <c r="CC161" s="361">
        <v>2020</v>
      </c>
      <c r="CD161" s="362">
        <v>2162</v>
      </c>
      <c r="CE161" s="361">
        <v>2594</v>
      </c>
      <c r="CF161" s="362">
        <v>3000</v>
      </c>
      <c r="CG161" s="362">
        <v>3346</v>
      </c>
      <c r="CH161" s="363">
        <v>3692</v>
      </c>
      <c r="CI161" s="3"/>
      <c r="CJ161" s="759">
        <v>1003</v>
      </c>
      <c r="CK161" s="759">
        <v>1101</v>
      </c>
      <c r="CL161" s="759">
        <v>1445</v>
      </c>
      <c r="CM161" s="759">
        <v>2025</v>
      </c>
      <c r="CN161" s="759">
        <v>2396</v>
      </c>
      <c r="CR161" s="133" t="s">
        <v>819</v>
      </c>
      <c r="CS161" s="225">
        <v>352022</v>
      </c>
      <c r="CT161" s="225">
        <v>405878</v>
      </c>
      <c r="CU161" s="225">
        <v>489600</v>
      </c>
      <c r="CV161" s="225">
        <v>626688</v>
      </c>
      <c r="CW161" s="225">
        <v>698170</v>
      </c>
      <c r="CX161" s="13"/>
      <c r="CY161" s="133" t="s">
        <v>819</v>
      </c>
      <c r="CZ161" s="225">
        <v>352022</v>
      </c>
      <c r="DA161" s="225">
        <v>405878</v>
      </c>
      <c r="DB161" s="225">
        <v>489600</v>
      </c>
      <c r="DC161" s="225">
        <v>626688</v>
      </c>
      <c r="DD161" s="225">
        <v>698170</v>
      </c>
    </row>
    <row r="162" spans="1:108" ht="13"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842</v>
      </c>
      <c r="BN162" s="133" t="s">
        <v>843</v>
      </c>
      <c r="BS162">
        <v>7</v>
      </c>
      <c r="BT162" t="s">
        <v>844</v>
      </c>
      <c r="CB162" s="252" t="s">
        <v>825</v>
      </c>
      <c r="CC162" s="364">
        <v>1924</v>
      </c>
      <c r="CD162" s="365">
        <v>2062</v>
      </c>
      <c r="CE162" s="364">
        <v>2474</v>
      </c>
      <c r="CF162" s="365">
        <v>2856</v>
      </c>
      <c r="CG162" s="365">
        <v>3186</v>
      </c>
      <c r="CH162" s="366">
        <v>3516</v>
      </c>
      <c r="CI162" s="3"/>
      <c r="CJ162" s="759">
        <v>1253</v>
      </c>
      <c r="CK162" s="759">
        <v>1260</v>
      </c>
      <c r="CL162" s="759">
        <v>1493</v>
      </c>
      <c r="CM162" s="759">
        <v>2084</v>
      </c>
      <c r="CN162" s="759">
        <v>2507</v>
      </c>
      <c r="CR162" s="133" t="s">
        <v>824</v>
      </c>
      <c r="CS162" s="227">
        <v>352022</v>
      </c>
      <c r="CT162" s="227">
        <v>405878</v>
      </c>
      <c r="CU162" s="227">
        <v>489600</v>
      </c>
      <c r="CV162" s="227">
        <v>626688</v>
      </c>
      <c r="CW162" s="227">
        <v>698170</v>
      </c>
      <c r="CX162" s="13"/>
      <c r="CY162" s="133" t="s">
        <v>824</v>
      </c>
      <c r="CZ162" s="227">
        <v>352022</v>
      </c>
      <c r="DA162" s="227">
        <v>405878</v>
      </c>
      <c r="DB162" s="227">
        <v>489600</v>
      </c>
      <c r="DC162" s="227">
        <v>626688</v>
      </c>
      <c r="DD162" s="227">
        <v>698170</v>
      </c>
    </row>
    <row r="163" spans="1:108" ht="13" customHeight="1">
      <c r="C163" s="23" t="s">
        <v>845</v>
      </c>
      <c r="D163" s="3" t="s">
        <v>846</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847</v>
      </c>
      <c r="BS163">
        <v>2</v>
      </c>
      <c r="BT163" t="s">
        <v>848</v>
      </c>
      <c r="CB163" s="252" t="s">
        <v>837</v>
      </c>
      <c r="CC163" s="364">
        <v>1644</v>
      </c>
      <c r="CD163" s="365">
        <v>1762</v>
      </c>
      <c r="CE163" s="364">
        <v>2114</v>
      </c>
      <c r="CF163" s="365">
        <v>2442</v>
      </c>
      <c r="CG163" s="365">
        <v>2724</v>
      </c>
      <c r="CH163" s="366">
        <v>3006</v>
      </c>
      <c r="CI163" s="3"/>
      <c r="CJ163" s="759">
        <v>1069</v>
      </c>
      <c r="CK163" s="759">
        <v>1126</v>
      </c>
      <c r="CL163" s="759">
        <v>1466</v>
      </c>
      <c r="CM163" s="759">
        <v>2054</v>
      </c>
      <c r="CN163" s="759">
        <v>2462</v>
      </c>
      <c r="CR163" s="133" t="s">
        <v>836</v>
      </c>
      <c r="CS163" s="225">
        <v>319236</v>
      </c>
      <c r="CT163" s="225">
        <v>368076</v>
      </c>
      <c r="CU163" s="225">
        <v>444000</v>
      </c>
      <c r="CV163" s="225">
        <v>568320</v>
      </c>
      <c r="CW163" s="225">
        <v>633144</v>
      </c>
      <c r="CX163" s="13"/>
      <c r="CY163" s="133" t="s">
        <v>836</v>
      </c>
      <c r="CZ163" s="225">
        <v>319236</v>
      </c>
      <c r="DA163" s="225">
        <v>368076</v>
      </c>
      <c r="DB163" s="225">
        <v>444000</v>
      </c>
      <c r="DC163" s="225">
        <v>568320</v>
      </c>
      <c r="DD163" s="225">
        <v>633144</v>
      </c>
    </row>
    <row r="164" spans="1:108" ht="13" customHeight="1">
      <c r="C164" s="23"/>
      <c r="D164" s="1494" t="s">
        <v>849</v>
      </c>
      <c r="E164" s="1494"/>
      <c r="F164" s="1494"/>
      <c r="G164" s="1494"/>
      <c r="H164" s="1494"/>
      <c r="I164" s="1494"/>
      <c r="J164" s="1494"/>
      <c r="K164" s="1494"/>
      <c r="L164" s="1494"/>
      <c r="M164" s="1494"/>
      <c r="N164" s="1494"/>
      <c r="O164" s="1494"/>
      <c r="P164" s="1494"/>
      <c r="Q164" s="1494"/>
      <c r="R164" s="1494"/>
      <c r="S164" s="1494"/>
      <c r="T164" s="1494"/>
      <c r="U164" s="1494"/>
      <c r="V164" s="1494"/>
      <c r="W164" s="1494"/>
      <c r="X164" s="1494"/>
      <c r="Y164" s="1494"/>
      <c r="Z164" s="1494"/>
      <c r="AA164" s="1494"/>
      <c r="AB164" s="1494"/>
      <c r="AC164" s="1494"/>
      <c r="AD164" s="1494"/>
      <c r="AE164" s="1494"/>
      <c r="AF164" s="1494"/>
      <c r="AG164" s="1494"/>
      <c r="AH164" s="1494"/>
      <c r="BN164" s="133" t="s">
        <v>850</v>
      </c>
      <c r="BS164">
        <v>7</v>
      </c>
      <c r="BT164" t="s">
        <v>851</v>
      </c>
      <c r="CB164" s="252" t="s">
        <v>841</v>
      </c>
      <c r="CC164" s="364">
        <v>1776</v>
      </c>
      <c r="CD164" s="365">
        <v>1902</v>
      </c>
      <c r="CE164" s="364">
        <v>2284</v>
      </c>
      <c r="CF164" s="365">
        <v>2640</v>
      </c>
      <c r="CG164" s="365">
        <v>2944</v>
      </c>
      <c r="CH164" s="366">
        <v>3248</v>
      </c>
      <c r="CI164" s="3"/>
      <c r="CJ164" s="759">
        <v>989</v>
      </c>
      <c r="CK164" s="759">
        <v>1086</v>
      </c>
      <c r="CL164" s="759">
        <v>1425</v>
      </c>
      <c r="CM164" s="759">
        <v>1997</v>
      </c>
      <c r="CN164" s="759">
        <v>2195</v>
      </c>
      <c r="CR164" s="133" t="s">
        <v>840</v>
      </c>
      <c r="CS164" s="227">
        <v>352022</v>
      </c>
      <c r="CT164" s="227">
        <v>405878</v>
      </c>
      <c r="CU164" s="227">
        <v>489600</v>
      </c>
      <c r="CV164" s="227">
        <v>626688</v>
      </c>
      <c r="CW164" s="227">
        <v>698170</v>
      </c>
      <c r="CX164" s="13"/>
      <c r="CY164" s="133" t="s">
        <v>840</v>
      </c>
      <c r="CZ164" s="227">
        <v>352022</v>
      </c>
      <c r="DA164" s="227">
        <v>405878</v>
      </c>
      <c r="DB164" s="227">
        <v>489600</v>
      </c>
      <c r="DC164" s="227">
        <v>626688</v>
      </c>
      <c r="DD164" s="227">
        <v>698170</v>
      </c>
    </row>
    <row r="165" spans="1:108" ht="13" customHeight="1">
      <c r="C165" s="23"/>
      <c r="D165" s="73"/>
      <c r="E165" s="73"/>
      <c r="F165" s="73"/>
      <c r="G165" s="73"/>
      <c r="H165" s="73"/>
      <c r="I165" s="73"/>
      <c r="J165" s="73"/>
      <c r="K165" s="73"/>
      <c r="L165" s="73"/>
      <c r="M165" s="73"/>
      <c r="N165" s="73"/>
      <c r="O165" s="1158"/>
      <c r="P165" s="1158"/>
      <c r="Q165" s="1158"/>
      <c r="R165" s="1158"/>
      <c r="S165" s="1158"/>
      <c r="T165" s="1158"/>
      <c r="U165" s="1158"/>
      <c r="V165" s="1158"/>
      <c r="W165" s="1158"/>
      <c r="X165" s="1158"/>
      <c r="Y165" s="1158"/>
      <c r="Z165" s="1158"/>
      <c r="AA165" s="116"/>
      <c r="AB165" s="116"/>
      <c r="AC165" s="116"/>
      <c r="AD165" s="116"/>
      <c r="AE165" s="116"/>
      <c r="AF165" s="116"/>
      <c r="AG165" s="116"/>
      <c r="AH165" s="116"/>
      <c r="BN165" s="133" t="s">
        <v>852</v>
      </c>
      <c r="BS165">
        <v>6</v>
      </c>
      <c r="BT165" t="s">
        <v>853</v>
      </c>
      <c r="CB165" s="252" t="s">
        <v>844</v>
      </c>
      <c r="CC165" s="364">
        <v>1680</v>
      </c>
      <c r="CD165" s="365">
        <v>1800</v>
      </c>
      <c r="CE165" s="364">
        <v>2160</v>
      </c>
      <c r="CF165" s="365">
        <v>2496</v>
      </c>
      <c r="CG165" s="365">
        <v>2784</v>
      </c>
      <c r="CH165" s="366">
        <v>3072</v>
      </c>
      <c r="CI165" s="3"/>
      <c r="CJ165" s="759">
        <v>915</v>
      </c>
      <c r="CK165" s="759">
        <v>921</v>
      </c>
      <c r="CL165" s="759">
        <v>1208</v>
      </c>
      <c r="CM165" s="759">
        <v>1625</v>
      </c>
      <c r="CN165" s="759">
        <v>1631</v>
      </c>
      <c r="CR165" s="133" t="s">
        <v>843</v>
      </c>
      <c r="CS165" s="225">
        <v>352022</v>
      </c>
      <c r="CT165" s="225">
        <v>405878</v>
      </c>
      <c r="CU165" s="225">
        <v>489600</v>
      </c>
      <c r="CV165" s="225">
        <v>626688</v>
      </c>
      <c r="CW165" s="225">
        <v>698170</v>
      </c>
      <c r="CX165" s="13"/>
      <c r="CY165" s="133" t="s">
        <v>843</v>
      </c>
      <c r="CZ165" s="225">
        <v>352022</v>
      </c>
      <c r="DA165" s="225">
        <v>405878</v>
      </c>
      <c r="DB165" s="225">
        <v>489600</v>
      </c>
      <c r="DC165" s="225">
        <v>626688</v>
      </c>
      <c r="DD165" s="225">
        <v>698170</v>
      </c>
    </row>
    <row r="166" spans="1:108" ht="13" customHeight="1">
      <c r="B166" s="2"/>
      <c r="C166" s="23"/>
      <c r="D166" s="73"/>
      <c r="E166" s="73"/>
      <c r="F166" s="73"/>
      <c r="G166" s="73"/>
      <c r="H166" s="73"/>
      <c r="I166" s="73"/>
      <c r="J166" s="73"/>
      <c r="K166" s="73"/>
      <c r="L166" s="73"/>
      <c r="M166" s="73"/>
      <c r="N166" s="73"/>
      <c r="O166" s="1158"/>
      <c r="P166" s="1158"/>
      <c r="Q166" s="1158"/>
      <c r="R166" s="1158"/>
      <c r="S166" s="1158"/>
      <c r="T166" s="1158"/>
      <c r="U166" s="1158"/>
      <c r="V166" s="1158"/>
      <c r="W166" s="1158"/>
      <c r="X166" s="1158"/>
      <c r="Y166" s="1158"/>
      <c r="Z166" s="1158"/>
      <c r="AA166" s="116"/>
      <c r="AB166" s="116"/>
      <c r="AC166" s="116"/>
      <c r="AD166" s="116"/>
      <c r="AE166" s="116"/>
      <c r="AF166" s="116"/>
      <c r="AG166" s="116"/>
      <c r="AH166" s="116"/>
      <c r="BN166" s="133" t="s">
        <v>854</v>
      </c>
      <c r="BS166">
        <v>5</v>
      </c>
      <c r="BT166" t="s">
        <v>855</v>
      </c>
      <c r="CB166" s="252" t="s">
        <v>848</v>
      </c>
      <c r="CC166" s="364">
        <v>2796</v>
      </c>
      <c r="CD166" s="365">
        <v>2996</v>
      </c>
      <c r="CE166" s="364">
        <v>3596</v>
      </c>
      <c r="CF166" s="365">
        <v>4154</v>
      </c>
      <c r="CG166" s="365">
        <v>4634</v>
      </c>
      <c r="CH166" s="366">
        <v>5114</v>
      </c>
      <c r="CI166" s="3"/>
      <c r="CJ166" s="759">
        <v>1937</v>
      </c>
      <c r="CK166" s="759">
        <v>2201</v>
      </c>
      <c r="CL166" s="759">
        <v>2682</v>
      </c>
      <c r="CM166" s="759">
        <v>3432</v>
      </c>
      <c r="CN166" s="759">
        <v>4077</v>
      </c>
      <c r="CR166" s="133" t="s">
        <v>847</v>
      </c>
      <c r="CS166" s="227">
        <v>473390</v>
      </c>
      <c r="CT166" s="227">
        <v>545814</v>
      </c>
      <c r="CU166" s="227">
        <v>658400</v>
      </c>
      <c r="CV166" s="227">
        <v>842752</v>
      </c>
      <c r="CW166" s="227">
        <v>938878</v>
      </c>
      <c r="CX166" s="13"/>
      <c r="CY166" s="133" t="s">
        <v>847</v>
      </c>
      <c r="CZ166" s="227">
        <v>473390</v>
      </c>
      <c r="DA166" s="227">
        <v>545814</v>
      </c>
      <c r="DB166" s="227">
        <v>658400</v>
      </c>
      <c r="DC166" s="227">
        <v>842752</v>
      </c>
      <c r="DD166" s="227">
        <v>938878</v>
      </c>
    </row>
    <row r="167" spans="1:108" ht="13" customHeight="1">
      <c r="B167" s="2"/>
      <c r="C167" s="23"/>
      <c r="D167" s="73"/>
      <c r="E167" s="73"/>
      <c r="F167" s="73"/>
      <c r="G167" s="73"/>
      <c r="H167" s="73"/>
      <c r="I167" s="73"/>
      <c r="J167" s="73"/>
      <c r="K167" s="73"/>
      <c r="L167" s="73"/>
      <c r="M167" s="73"/>
      <c r="N167" s="73"/>
      <c r="O167" s="1158"/>
      <c r="P167" s="1158"/>
      <c r="Q167" s="1158"/>
      <c r="R167" s="1158"/>
      <c r="S167" s="1158"/>
      <c r="T167" s="1158"/>
      <c r="U167" s="1158"/>
      <c r="V167" s="1158"/>
      <c r="W167" s="1158"/>
      <c r="X167" s="1158"/>
      <c r="Y167" s="1158"/>
      <c r="Z167" s="1158"/>
      <c r="AA167" s="116"/>
      <c r="AB167" s="116"/>
      <c r="AC167" s="116"/>
      <c r="AD167" s="116"/>
      <c r="AE167" s="116"/>
      <c r="AF167" s="116"/>
      <c r="AG167" s="116"/>
      <c r="AH167" s="116"/>
      <c r="BN167" s="133" t="s">
        <v>856</v>
      </c>
      <c r="BS167">
        <v>7</v>
      </c>
      <c r="BT167" t="s">
        <v>857</v>
      </c>
      <c r="CB167" s="252" t="s">
        <v>851</v>
      </c>
      <c r="CC167" s="364">
        <v>1644</v>
      </c>
      <c r="CD167" s="365">
        <v>1762</v>
      </c>
      <c r="CE167" s="364">
        <v>2114</v>
      </c>
      <c r="CF167" s="365">
        <v>2442</v>
      </c>
      <c r="CG167" s="365">
        <v>2724</v>
      </c>
      <c r="CH167" s="366">
        <v>3006</v>
      </c>
      <c r="CI167" s="3"/>
      <c r="CJ167" s="759">
        <v>869</v>
      </c>
      <c r="CK167" s="759">
        <v>1086</v>
      </c>
      <c r="CL167" s="759">
        <v>1253</v>
      </c>
      <c r="CM167" s="759">
        <v>1756</v>
      </c>
      <c r="CN167" s="759">
        <v>2104</v>
      </c>
      <c r="CR167" s="133" t="s">
        <v>850</v>
      </c>
      <c r="CS167" s="225">
        <v>352022</v>
      </c>
      <c r="CT167" s="225">
        <v>405878</v>
      </c>
      <c r="CU167" s="225">
        <v>489600</v>
      </c>
      <c r="CV167" s="225">
        <v>626688</v>
      </c>
      <c r="CW167" s="225">
        <v>698170</v>
      </c>
      <c r="CX167" s="13"/>
      <c r="CY167" s="133" t="s">
        <v>850</v>
      </c>
      <c r="CZ167" s="225">
        <v>352022</v>
      </c>
      <c r="DA167" s="225">
        <v>405878</v>
      </c>
      <c r="DB167" s="225">
        <v>489600</v>
      </c>
      <c r="DC167" s="225">
        <v>626688</v>
      </c>
      <c r="DD167" s="225">
        <v>698170</v>
      </c>
    </row>
    <row r="168" spans="1:108" ht="13"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858</v>
      </c>
      <c r="BS168">
        <v>7</v>
      </c>
      <c r="BT168" t="s">
        <v>859</v>
      </c>
      <c r="CB168" s="252" t="s">
        <v>853</v>
      </c>
      <c r="CC168" s="364">
        <v>2252</v>
      </c>
      <c r="CD168" s="365">
        <v>2412</v>
      </c>
      <c r="CE168" s="364">
        <v>2894</v>
      </c>
      <c r="CF168" s="365">
        <v>3342</v>
      </c>
      <c r="CG168" s="365">
        <v>3730</v>
      </c>
      <c r="CH168" s="366">
        <v>4116</v>
      </c>
      <c r="CI168" s="3"/>
      <c r="CJ168" s="759">
        <v>1679</v>
      </c>
      <c r="CK168" s="759">
        <v>1777</v>
      </c>
      <c r="CL168" s="759">
        <v>2206</v>
      </c>
      <c r="CM168" s="759">
        <v>2992</v>
      </c>
      <c r="CN168" s="759">
        <v>3455</v>
      </c>
      <c r="CR168" s="133" t="s">
        <v>852</v>
      </c>
      <c r="CS168" s="227">
        <v>331890</v>
      </c>
      <c r="CT168" s="227">
        <v>382666</v>
      </c>
      <c r="CU168" s="227">
        <v>461600</v>
      </c>
      <c r="CV168" s="227">
        <v>590848</v>
      </c>
      <c r="CW168" s="227">
        <v>658242</v>
      </c>
      <c r="CX168" s="13"/>
      <c r="CY168" s="133" t="s">
        <v>852</v>
      </c>
      <c r="CZ168" s="227">
        <v>331890</v>
      </c>
      <c r="DA168" s="227">
        <v>382666</v>
      </c>
      <c r="DB168" s="227">
        <v>461600</v>
      </c>
      <c r="DC168" s="227">
        <v>590848</v>
      </c>
      <c r="DD168" s="227">
        <v>658242</v>
      </c>
    </row>
    <row r="169" spans="1:108" ht="13" customHeight="1">
      <c r="A169" s="1482" t="s">
        <v>860</v>
      </c>
      <c r="B169" s="1482"/>
      <c r="C169" s="1482"/>
      <c r="D169" s="1482"/>
      <c r="E169" s="1482"/>
      <c r="F169" s="1482"/>
      <c r="G169" s="1482"/>
      <c r="H169" s="1482"/>
      <c r="I169" s="1482"/>
      <c r="J169" s="1482"/>
      <c r="K169" s="1482"/>
      <c r="L169" s="1482"/>
      <c r="M169" s="1482"/>
      <c r="N169" s="1482"/>
      <c r="O169" s="1482"/>
      <c r="P169" s="1482"/>
      <c r="Q169" s="1482"/>
      <c r="R169" s="1482"/>
      <c r="S169" s="1482"/>
      <c r="T169" s="1482"/>
      <c r="U169" s="1482"/>
      <c r="V169" s="1482"/>
      <c r="W169" s="1482"/>
      <c r="X169" s="1482"/>
      <c r="Y169" s="1482"/>
      <c r="Z169" s="1482"/>
      <c r="AA169" s="1482"/>
      <c r="AB169" s="1482"/>
      <c r="AC169" s="1482"/>
      <c r="AD169" s="1482"/>
      <c r="AE169" s="1482"/>
      <c r="AF169" s="1482"/>
      <c r="AG169" s="1482"/>
      <c r="AH169" s="1482"/>
      <c r="AI169" s="1482"/>
      <c r="AJ169" s="1482"/>
      <c r="AK169" s="1482"/>
      <c r="AL169" s="1482"/>
      <c r="AM169" s="1482"/>
      <c r="AN169" s="1482"/>
      <c r="AO169" s="1482"/>
      <c r="AP169" s="1482"/>
      <c r="AQ169" s="1482"/>
      <c r="AR169" s="1482"/>
      <c r="AS169" s="1482"/>
      <c r="AT169" s="1482"/>
      <c r="AU169" s="70"/>
      <c r="AV169" s="70"/>
      <c r="AW169" s="70"/>
      <c r="AX169" s="70"/>
      <c r="AY169" s="70"/>
      <c r="BN169" s="133" t="s">
        <v>861</v>
      </c>
      <c r="BS169">
        <v>5</v>
      </c>
      <c r="BT169" t="s">
        <v>862</v>
      </c>
      <c r="CB169" s="252" t="s">
        <v>855</v>
      </c>
      <c r="CC169" s="364">
        <v>1644</v>
      </c>
      <c r="CD169" s="365">
        <v>1762</v>
      </c>
      <c r="CE169" s="364">
        <v>2114</v>
      </c>
      <c r="CF169" s="365">
        <v>2442</v>
      </c>
      <c r="CG169" s="365">
        <v>2724</v>
      </c>
      <c r="CH169" s="366">
        <v>3006</v>
      </c>
      <c r="CI169" s="3"/>
      <c r="CJ169" s="759">
        <v>1210</v>
      </c>
      <c r="CK169" s="759">
        <v>1217</v>
      </c>
      <c r="CL169" s="759">
        <v>1505</v>
      </c>
      <c r="CM169" s="759">
        <v>2109</v>
      </c>
      <c r="CN169" s="759">
        <v>2415</v>
      </c>
      <c r="CR169" s="133" t="s">
        <v>854</v>
      </c>
      <c r="CS169" s="225">
        <v>307732</v>
      </c>
      <c r="CT169" s="225">
        <v>354812</v>
      </c>
      <c r="CU169" s="225">
        <v>428000</v>
      </c>
      <c r="CV169" s="225">
        <v>547840</v>
      </c>
      <c r="CW169" s="225">
        <v>610328</v>
      </c>
      <c r="CX169" s="13"/>
      <c r="CY169" s="133" t="s">
        <v>854</v>
      </c>
      <c r="CZ169" s="225">
        <v>307732</v>
      </c>
      <c r="DA169" s="225">
        <v>354812</v>
      </c>
      <c r="DB169" s="225">
        <v>428000</v>
      </c>
      <c r="DC169" s="225">
        <v>547840</v>
      </c>
      <c r="DD169" s="225">
        <v>610328</v>
      </c>
    </row>
    <row r="170" spans="1:108" ht="13" customHeight="1">
      <c r="A170" s="1482"/>
      <c r="B170" s="1482"/>
      <c r="C170" s="1482"/>
      <c r="D170" s="1482"/>
      <c r="E170" s="1482"/>
      <c r="F170" s="1482"/>
      <c r="G170" s="1482"/>
      <c r="H170" s="1482"/>
      <c r="I170" s="1482"/>
      <c r="J170" s="1482"/>
      <c r="K170" s="1482"/>
      <c r="L170" s="1482"/>
      <c r="M170" s="1482"/>
      <c r="N170" s="1482"/>
      <c r="O170" s="1482"/>
      <c r="P170" s="1482"/>
      <c r="Q170" s="1482"/>
      <c r="R170" s="1482"/>
      <c r="S170" s="1482"/>
      <c r="T170" s="1482"/>
      <c r="U170" s="1482"/>
      <c r="V170" s="1482"/>
      <c r="W170" s="1482"/>
      <c r="X170" s="1482"/>
      <c r="Y170" s="1482"/>
      <c r="Z170" s="1482"/>
      <c r="AA170" s="1482"/>
      <c r="AB170" s="1482"/>
      <c r="AC170" s="1482"/>
      <c r="AD170" s="1482"/>
      <c r="AE170" s="1482"/>
      <c r="AF170" s="1482"/>
      <c r="AG170" s="1482"/>
      <c r="AH170" s="1482"/>
      <c r="AI170" s="1482"/>
      <c r="AJ170" s="1482"/>
      <c r="AK170" s="1482"/>
      <c r="AL170" s="1482"/>
      <c r="AM170" s="1482"/>
      <c r="AN170" s="1482"/>
      <c r="AO170" s="1482"/>
      <c r="AP170" s="1482"/>
      <c r="AQ170" s="1482"/>
      <c r="AR170" s="1482"/>
      <c r="AS170" s="1482"/>
      <c r="AT170" s="1482"/>
      <c r="AU170" s="70"/>
      <c r="AV170" s="70"/>
      <c r="AW170" s="70"/>
      <c r="AX170" s="70"/>
      <c r="AY170" s="70"/>
      <c r="BN170" s="133" t="s">
        <v>863</v>
      </c>
      <c r="BS170">
        <v>7</v>
      </c>
      <c r="BT170" t="s">
        <v>864</v>
      </c>
      <c r="CB170" s="252" t="s">
        <v>857</v>
      </c>
      <c r="CC170" s="364">
        <v>1644</v>
      </c>
      <c r="CD170" s="365">
        <v>1762</v>
      </c>
      <c r="CE170" s="364">
        <v>2114</v>
      </c>
      <c r="CF170" s="365">
        <v>2442</v>
      </c>
      <c r="CG170" s="365">
        <v>2724</v>
      </c>
      <c r="CH170" s="366">
        <v>3006</v>
      </c>
      <c r="CI170" s="3"/>
      <c r="CJ170" s="759">
        <v>841</v>
      </c>
      <c r="CK170" s="759">
        <v>935</v>
      </c>
      <c r="CL170" s="759">
        <v>1227</v>
      </c>
      <c r="CM170" s="759">
        <v>1631</v>
      </c>
      <c r="CN170" s="759">
        <v>2060</v>
      </c>
      <c r="CR170" s="133" t="s">
        <v>856</v>
      </c>
      <c r="CS170" s="227">
        <v>352022</v>
      </c>
      <c r="CT170" s="227">
        <v>405878</v>
      </c>
      <c r="CU170" s="227">
        <v>489600</v>
      </c>
      <c r="CV170" s="227">
        <v>626688</v>
      </c>
      <c r="CW170" s="227">
        <v>698170</v>
      </c>
      <c r="CX170" s="13"/>
      <c r="CY170" s="133" t="s">
        <v>856</v>
      </c>
      <c r="CZ170" s="227">
        <v>352022</v>
      </c>
      <c r="DA170" s="227">
        <v>405878</v>
      </c>
      <c r="DB170" s="227">
        <v>489600</v>
      </c>
      <c r="DC170" s="227">
        <v>626688</v>
      </c>
      <c r="DD170" s="227">
        <v>698170</v>
      </c>
    </row>
    <row r="171" spans="1:108" ht="13" customHeight="1">
      <c r="BN171" s="133" t="s">
        <v>865</v>
      </c>
      <c r="BS171">
        <v>5</v>
      </c>
      <c r="BT171" t="s">
        <v>866</v>
      </c>
      <c r="CB171" s="252" t="s">
        <v>859</v>
      </c>
      <c r="CC171" s="364">
        <v>1644</v>
      </c>
      <c r="CD171" s="365">
        <v>1762</v>
      </c>
      <c r="CE171" s="364">
        <v>2114</v>
      </c>
      <c r="CF171" s="365">
        <v>2442</v>
      </c>
      <c r="CG171" s="365">
        <v>2724</v>
      </c>
      <c r="CH171" s="366">
        <v>3006</v>
      </c>
      <c r="CI171" s="3"/>
      <c r="CJ171" s="759">
        <v>1065</v>
      </c>
      <c r="CK171" s="759">
        <v>1132</v>
      </c>
      <c r="CL171" s="759">
        <v>1478</v>
      </c>
      <c r="CM171" s="759">
        <v>2071</v>
      </c>
      <c r="CN171" s="759">
        <v>2482</v>
      </c>
      <c r="CR171" s="133" t="s">
        <v>858</v>
      </c>
      <c r="CS171" s="225">
        <v>352022</v>
      </c>
      <c r="CT171" s="225">
        <v>405878</v>
      </c>
      <c r="CU171" s="225">
        <v>489600</v>
      </c>
      <c r="CV171" s="225">
        <v>626688</v>
      </c>
      <c r="CW171" s="225">
        <v>698170</v>
      </c>
      <c r="CX171" s="13"/>
      <c r="CY171" s="133" t="s">
        <v>858</v>
      </c>
      <c r="CZ171" s="225">
        <v>352022</v>
      </c>
      <c r="DA171" s="225">
        <v>405878</v>
      </c>
      <c r="DB171" s="225">
        <v>489600</v>
      </c>
      <c r="DC171" s="225">
        <v>626688</v>
      </c>
      <c r="DD171" s="225">
        <v>698170</v>
      </c>
    </row>
    <row r="172" spans="1:108" ht="13" customHeight="1">
      <c r="A172" s="2" t="s">
        <v>867</v>
      </c>
      <c r="C172" s="2" t="s">
        <v>91</v>
      </c>
      <c r="BN172" s="133" t="s">
        <v>868</v>
      </c>
      <c r="BS172">
        <v>5</v>
      </c>
      <c r="BT172" t="s">
        <v>869</v>
      </c>
      <c r="CB172" s="252" t="s">
        <v>862</v>
      </c>
      <c r="CC172" s="364">
        <v>1644</v>
      </c>
      <c r="CD172" s="365">
        <v>1762</v>
      </c>
      <c r="CE172" s="364">
        <v>2114</v>
      </c>
      <c r="CF172" s="365">
        <v>2442</v>
      </c>
      <c r="CG172" s="365">
        <v>2724</v>
      </c>
      <c r="CH172" s="366">
        <v>3006</v>
      </c>
      <c r="CI172" s="3"/>
      <c r="CJ172" s="759">
        <v>940</v>
      </c>
      <c r="CK172" s="759">
        <v>1056</v>
      </c>
      <c r="CL172" s="759">
        <v>1371</v>
      </c>
      <c r="CM172" s="759">
        <v>1873</v>
      </c>
      <c r="CN172" s="759">
        <v>2287</v>
      </c>
      <c r="CR172" s="133" t="s">
        <v>861</v>
      </c>
      <c r="CS172" s="227">
        <v>324988</v>
      </c>
      <c r="CT172" s="227">
        <v>374708</v>
      </c>
      <c r="CU172" s="227">
        <v>452000</v>
      </c>
      <c r="CV172" s="227">
        <v>578560</v>
      </c>
      <c r="CW172" s="227">
        <v>644552</v>
      </c>
      <c r="CX172" s="13"/>
      <c r="CY172" s="133" t="s">
        <v>861</v>
      </c>
      <c r="CZ172" s="227">
        <v>324988</v>
      </c>
      <c r="DA172" s="227">
        <v>374708</v>
      </c>
      <c r="DB172" s="227">
        <v>452000</v>
      </c>
      <c r="DC172" s="227">
        <v>578560</v>
      </c>
      <c r="DD172" s="227">
        <v>644552</v>
      </c>
    </row>
    <row r="173" spans="1:108" ht="13" customHeight="1">
      <c r="C173" s="20"/>
      <c r="D173" t="s">
        <v>870</v>
      </c>
      <c r="J173" s="1479" t="s">
        <v>871</v>
      </c>
      <c r="K173" s="1479"/>
      <c r="L173" s="1479"/>
      <c r="M173" s="1479"/>
      <c r="N173" s="1479"/>
      <c r="O173" s="1479"/>
      <c r="P173" s="1479"/>
      <c r="Q173" s="1479"/>
      <c r="R173" s="1479"/>
      <c r="S173" s="1479"/>
      <c r="U173" s="21"/>
      <c r="X173" s="21"/>
      <c r="BB173" s="3" t="s">
        <v>309</v>
      </c>
      <c r="BN173" s="133" t="s">
        <v>872</v>
      </c>
      <c r="BS173">
        <v>7</v>
      </c>
      <c r="BT173" t="s">
        <v>873</v>
      </c>
      <c r="CB173" s="252" t="s">
        <v>864</v>
      </c>
      <c r="CC173" s="364">
        <v>1680</v>
      </c>
      <c r="CD173" s="365">
        <v>1800</v>
      </c>
      <c r="CE173" s="364">
        <v>2160</v>
      </c>
      <c r="CF173" s="365">
        <v>2496</v>
      </c>
      <c r="CG173" s="365">
        <v>2784</v>
      </c>
      <c r="CH173" s="366">
        <v>3072</v>
      </c>
      <c r="CI173" s="3"/>
      <c r="CJ173" s="759">
        <v>978</v>
      </c>
      <c r="CK173" s="759">
        <v>1254</v>
      </c>
      <c r="CL173" s="759">
        <v>1426</v>
      </c>
      <c r="CM173" s="759">
        <v>1734</v>
      </c>
      <c r="CN173" s="759">
        <v>2365</v>
      </c>
      <c r="CR173" s="133" t="s">
        <v>863</v>
      </c>
      <c r="CS173" s="225">
        <v>352022</v>
      </c>
      <c r="CT173" s="225">
        <v>405878</v>
      </c>
      <c r="CU173" s="225">
        <v>489600</v>
      </c>
      <c r="CV173" s="225">
        <v>626688</v>
      </c>
      <c r="CW173" s="225">
        <v>698170</v>
      </c>
      <c r="CX173" s="13"/>
      <c r="CY173" s="133" t="s">
        <v>863</v>
      </c>
      <c r="CZ173" s="225">
        <v>352022</v>
      </c>
      <c r="DA173" s="225">
        <v>405878</v>
      </c>
      <c r="DB173" s="225">
        <v>489600</v>
      </c>
      <c r="DC173" s="225">
        <v>626688</v>
      </c>
      <c r="DD173" s="225">
        <v>698170</v>
      </c>
    </row>
    <row r="174" spans="1:108" ht="13" customHeight="1">
      <c r="C174" s="20"/>
      <c r="D174" s="3" t="s">
        <v>874</v>
      </c>
      <c r="J174" s="1359" t="s">
        <v>875</v>
      </c>
      <c r="K174" s="1359"/>
      <c r="L174" s="1359"/>
      <c r="M174" s="1359"/>
      <c r="N174" s="1359"/>
      <c r="O174" s="1359"/>
      <c r="P174" s="1359"/>
      <c r="Q174" s="1359"/>
      <c r="R174" s="1359"/>
      <c r="S174" s="1359"/>
      <c r="T174" s="1359"/>
      <c r="U174" s="1359"/>
      <c r="V174" s="1359"/>
      <c r="W174" s="1359"/>
      <c r="X174" s="1359"/>
      <c r="Y174" s="1359"/>
      <c r="Z174" s="1359"/>
      <c r="AA174" s="1359"/>
      <c r="AB174" s="1359"/>
      <c r="BB174" t="s">
        <v>876</v>
      </c>
      <c r="BN174" s="133" t="s">
        <v>877</v>
      </c>
      <c r="BS174">
        <v>7</v>
      </c>
      <c r="BT174" t="s">
        <v>878</v>
      </c>
      <c r="CB174" s="252" t="s">
        <v>866</v>
      </c>
      <c r="CC174" s="364">
        <v>1644</v>
      </c>
      <c r="CD174" s="365">
        <v>1762</v>
      </c>
      <c r="CE174" s="364">
        <v>2114</v>
      </c>
      <c r="CF174" s="365">
        <v>2442</v>
      </c>
      <c r="CG174" s="365">
        <v>2724</v>
      </c>
      <c r="CH174" s="366">
        <v>3006</v>
      </c>
      <c r="CI174" s="3"/>
      <c r="CJ174" s="759">
        <v>1058</v>
      </c>
      <c r="CK174" s="759">
        <v>1064</v>
      </c>
      <c r="CL174" s="759">
        <v>1380</v>
      </c>
      <c r="CM174" s="759">
        <v>1934</v>
      </c>
      <c r="CN174" s="759">
        <v>2317</v>
      </c>
      <c r="CR174" s="133" t="s">
        <v>865</v>
      </c>
      <c r="CS174" s="227">
        <v>307732</v>
      </c>
      <c r="CT174" s="227">
        <v>354812</v>
      </c>
      <c r="CU174" s="227">
        <v>428000</v>
      </c>
      <c r="CV174" s="227">
        <v>547840</v>
      </c>
      <c r="CW174" s="227">
        <v>610328</v>
      </c>
      <c r="CX174" s="13"/>
      <c r="CY174" s="133" t="s">
        <v>865</v>
      </c>
      <c r="CZ174" s="227">
        <v>307732</v>
      </c>
      <c r="DA174" s="227">
        <v>354812</v>
      </c>
      <c r="DB174" s="227">
        <v>428000</v>
      </c>
      <c r="DC174" s="227">
        <v>547840</v>
      </c>
      <c r="DD174" s="227">
        <v>610328</v>
      </c>
    </row>
    <row r="175" spans="1:108" ht="13" customHeight="1">
      <c r="C175" s="7"/>
      <c r="D175" s="3" t="s">
        <v>879</v>
      </c>
      <c r="O175" s="23"/>
      <c r="U175" s="1367" t="s">
        <v>842</v>
      </c>
      <c r="V175" s="1367"/>
      <c r="BB175" t="s">
        <v>880</v>
      </c>
      <c r="BN175" s="133" t="s">
        <v>881</v>
      </c>
      <c r="BS175">
        <v>1</v>
      </c>
      <c r="BT175" t="s">
        <v>882</v>
      </c>
      <c r="CB175" s="252" t="s">
        <v>869</v>
      </c>
      <c r="CC175" s="364">
        <v>1644</v>
      </c>
      <c r="CD175" s="365">
        <v>1762</v>
      </c>
      <c r="CE175" s="364">
        <v>2114</v>
      </c>
      <c r="CF175" s="365">
        <v>2442</v>
      </c>
      <c r="CG175" s="365">
        <v>2724</v>
      </c>
      <c r="CH175" s="366">
        <v>3006</v>
      </c>
      <c r="CI175" s="3"/>
      <c r="CJ175" s="759">
        <v>1151</v>
      </c>
      <c r="CK175" s="759">
        <v>1158</v>
      </c>
      <c r="CL175" s="759">
        <v>1445</v>
      </c>
      <c r="CM175" s="759">
        <v>2025</v>
      </c>
      <c r="CN175" s="759">
        <v>2427</v>
      </c>
      <c r="CR175" s="133" t="s">
        <v>868</v>
      </c>
      <c r="CS175" s="225">
        <v>307732</v>
      </c>
      <c r="CT175" s="225">
        <v>354812</v>
      </c>
      <c r="CU175" s="225">
        <v>428000</v>
      </c>
      <c r="CV175" s="225">
        <v>547840</v>
      </c>
      <c r="CW175" s="225">
        <v>610328</v>
      </c>
      <c r="CX175" s="13"/>
      <c r="CY175" s="133" t="s">
        <v>868</v>
      </c>
      <c r="CZ175" s="225">
        <v>307732</v>
      </c>
      <c r="DA175" s="225">
        <v>354812</v>
      </c>
      <c r="DB175" s="225">
        <v>428000</v>
      </c>
      <c r="DC175" s="225">
        <v>547840</v>
      </c>
      <c r="DD175" s="225">
        <v>610328</v>
      </c>
    </row>
    <row r="176" spans="1:108" ht="13" customHeight="1">
      <c r="C176" s="7"/>
      <c r="D176" s="22"/>
      <c r="E176" t="s">
        <v>883</v>
      </c>
      <c r="O176" s="23"/>
      <c r="P176" t="s">
        <v>884</v>
      </c>
      <c r="T176" s="23" t="s">
        <v>885</v>
      </c>
      <c r="U176" s="1459">
        <v>25</v>
      </c>
      <c r="V176" s="1459"/>
      <c r="W176" s="1" t="s">
        <v>886</v>
      </c>
      <c r="X176" s="1511">
        <v>480</v>
      </c>
      <c r="Y176" s="1511"/>
      <c r="BB176" t="s">
        <v>887</v>
      </c>
      <c r="BN176" s="133" t="s">
        <v>888</v>
      </c>
      <c r="BS176">
        <v>5</v>
      </c>
      <c r="BT176" t="s">
        <v>889</v>
      </c>
      <c r="CB176" s="252" t="s">
        <v>873</v>
      </c>
      <c r="CC176" s="364">
        <v>1644</v>
      </c>
      <c r="CD176" s="365">
        <v>1762</v>
      </c>
      <c r="CE176" s="364">
        <v>2114</v>
      </c>
      <c r="CF176" s="365">
        <v>2442</v>
      </c>
      <c r="CG176" s="365">
        <v>2724</v>
      </c>
      <c r="CH176" s="366">
        <v>3006</v>
      </c>
      <c r="CI176" s="3"/>
      <c r="CJ176" s="759">
        <v>1053</v>
      </c>
      <c r="CK176" s="759">
        <v>1060</v>
      </c>
      <c r="CL176" s="759">
        <v>1390</v>
      </c>
      <c r="CM176" s="759">
        <v>1948</v>
      </c>
      <c r="CN176" s="759">
        <v>2334</v>
      </c>
      <c r="CR176" s="133" t="s">
        <v>872</v>
      </c>
      <c r="CS176" s="227">
        <v>352022</v>
      </c>
      <c r="CT176" s="227">
        <v>405878</v>
      </c>
      <c r="CU176" s="227">
        <v>489600</v>
      </c>
      <c r="CV176" s="227">
        <v>626688</v>
      </c>
      <c r="CW176" s="227">
        <v>698170</v>
      </c>
      <c r="CX176" s="13"/>
      <c r="CY176" s="133" t="s">
        <v>872</v>
      </c>
      <c r="CZ176" s="227">
        <v>352022</v>
      </c>
      <c r="DA176" s="227">
        <v>405878</v>
      </c>
      <c r="DB176" s="227">
        <v>489600</v>
      </c>
      <c r="DC176" s="227">
        <v>626688</v>
      </c>
      <c r="DD176" s="227">
        <v>698170</v>
      </c>
    </row>
    <row r="177" spans="1:108" ht="13" customHeight="1">
      <c r="C177" s="20"/>
      <c r="D177" t="s">
        <v>890</v>
      </c>
      <c r="R177" s="1367"/>
      <c r="S177" s="1367"/>
      <c r="BB177" t="s">
        <v>891</v>
      </c>
      <c r="BN177" s="133" t="s">
        <v>892</v>
      </c>
      <c r="BS177">
        <v>2</v>
      </c>
      <c r="BT177" t="s">
        <v>893</v>
      </c>
      <c r="CB177" s="252" t="s">
        <v>878</v>
      </c>
      <c r="CC177" s="364">
        <v>1644</v>
      </c>
      <c r="CD177" s="365">
        <v>1762</v>
      </c>
      <c r="CE177" s="364">
        <v>2114</v>
      </c>
      <c r="CF177" s="365">
        <v>2442</v>
      </c>
      <c r="CG177" s="365">
        <v>2724</v>
      </c>
      <c r="CH177" s="366">
        <v>3006</v>
      </c>
      <c r="CI177" s="3"/>
      <c r="CJ177" s="759">
        <v>819</v>
      </c>
      <c r="CK177" s="759">
        <v>910</v>
      </c>
      <c r="CL177" s="759">
        <v>1194</v>
      </c>
      <c r="CM177" s="759">
        <v>1673</v>
      </c>
      <c r="CN177" s="759">
        <v>2005</v>
      </c>
      <c r="CR177" s="133" t="s">
        <v>877</v>
      </c>
      <c r="CS177" s="225">
        <v>352022</v>
      </c>
      <c r="CT177" s="225">
        <v>405878</v>
      </c>
      <c r="CU177" s="225">
        <v>489600</v>
      </c>
      <c r="CV177" s="225">
        <v>626688</v>
      </c>
      <c r="CW177" s="225">
        <v>698170</v>
      </c>
      <c r="CX177" s="13"/>
      <c r="CY177" s="133" t="s">
        <v>877</v>
      </c>
      <c r="CZ177" s="225">
        <v>352022</v>
      </c>
      <c r="DA177" s="225">
        <v>405878</v>
      </c>
      <c r="DB177" s="225">
        <v>489600</v>
      </c>
      <c r="DC177" s="225">
        <v>626688</v>
      </c>
      <c r="DD177" s="225">
        <v>698170</v>
      </c>
    </row>
    <row r="178" spans="1:108" ht="13" customHeight="1">
      <c r="C178" s="20"/>
      <c r="D178" s="3" t="s">
        <v>894</v>
      </c>
      <c r="AA178" t="s">
        <v>884</v>
      </c>
      <c r="AE178" s="23" t="s">
        <v>885</v>
      </c>
      <c r="AF178" s="1510"/>
      <c r="AG178" s="1510"/>
      <c r="AH178" s="1" t="s">
        <v>886</v>
      </c>
      <c r="AI178" s="1398"/>
      <c r="AJ178" s="1398"/>
      <c r="AK178" s="1398"/>
      <c r="BB178" t="s">
        <v>895</v>
      </c>
      <c r="BN178" s="133" t="s">
        <v>896</v>
      </c>
      <c r="BS178">
        <v>7</v>
      </c>
      <c r="BT178" t="s">
        <v>897</v>
      </c>
      <c r="CB178" s="252" t="s">
        <v>882</v>
      </c>
      <c r="CC178" s="364">
        <v>2650</v>
      </c>
      <c r="CD178" s="365">
        <v>2840</v>
      </c>
      <c r="CE178" s="364">
        <v>3406</v>
      </c>
      <c r="CF178" s="365">
        <v>3938</v>
      </c>
      <c r="CG178" s="365">
        <v>4392</v>
      </c>
      <c r="CH178" s="366">
        <v>4846</v>
      </c>
      <c r="CI178" s="3"/>
      <c r="CJ178" s="759">
        <v>1856</v>
      </c>
      <c r="CK178" s="759">
        <v>2081</v>
      </c>
      <c r="CL178" s="759">
        <v>2625</v>
      </c>
      <c r="CM178" s="759">
        <v>3335</v>
      </c>
      <c r="CN178" s="759">
        <v>3698</v>
      </c>
      <c r="CR178" s="133" t="s">
        <v>881</v>
      </c>
      <c r="CS178" s="227">
        <v>437727</v>
      </c>
      <c r="CT178" s="227">
        <v>504695</v>
      </c>
      <c r="CU178" s="227">
        <v>608800</v>
      </c>
      <c r="CV178" s="227">
        <v>779264</v>
      </c>
      <c r="CW178" s="227">
        <v>868149</v>
      </c>
      <c r="CX178" s="13"/>
      <c r="CY178" s="133" t="s">
        <v>881</v>
      </c>
      <c r="CZ178" s="227">
        <v>437727</v>
      </c>
      <c r="DA178" s="227">
        <v>504695</v>
      </c>
      <c r="DB178" s="227">
        <v>608800</v>
      </c>
      <c r="DC178" s="227">
        <v>779264</v>
      </c>
      <c r="DD178" s="227">
        <v>868149</v>
      </c>
    </row>
    <row r="179" spans="1:108" ht="13" customHeight="1">
      <c r="C179" s="20"/>
      <c r="BN179" s="133" t="s">
        <v>898</v>
      </c>
      <c r="BS179">
        <v>7</v>
      </c>
      <c r="BT179" t="s">
        <v>899</v>
      </c>
      <c r="CB179" s="252" t="s">
        <v>889</v>
      </c>
      <c r="CC179" s="364">
        <v>1644</v>
      </c>
      <c r="CD179" s="365">
        <v>1762</v>
      </c>
      <c r="CE179" s="364">
        <v>2114</v>
      </c>
      <c r="CF179" s="365">
        <v>2442</v>
      </c>
      <c r="CG179" s="365">
        <v>2724</v>
      </c>
      <c r="CH179" s="366">
        <v>3006</v>
      </c>
      <c r="CI179" s="3"/>
      <c r="CJ179" s="759">
        <v>1099</v>
      </c>
      <c r="CK179" s="759">
        <v>1106</v>
      </c>
      <c r="CL179" s="759">
        <v>1433</v>
      </c>
      <c r="CM179" s="759">
        <v>2008</v>
      </c>
      <c r="CN179" s="759">
        <v>2293</v>
      </c>
      <c r="CR179" s="133" t="s">
        <v>888</v>
      </c>
      <c r="CS179" s="225">
        <v>307732</v>
      </c>
      <c r="CT179" s="225">
        <v>354812</v>
      </c>
      <c r="CU179" s="225">
        <v>428000</v>
      </c>
      <c r="CV179" s="225">
        <v>547840</v>
      </c>
      <c r="CW179" s="225">
        <v>610328</v>
      </c>
      <c r="CX179" s="13"/>
      <c r="CY179" s="133" t="s">
        <v>888</v>
      </c>
      <c r="CZ179" s="225">
        <v>307732</v>
      </c>
      <c r="DA179" s="225">
        <v>354812</v>
      </c>
      <c r="DB179" s="225">
        <v>428000</v>
      </c>
      <c r="DC179" s="225">
        <v>547840</v>
      </c>
      <c r="DD179" s="225">
        <v>610328</v>
      </c>
    </row>
    <row r="180" spans="1:108" ht="13" customHeight="1">
      <c r="C180" s="20"/>
      <c r="D180" t="s">
        <v>900</v>
      </c>
      <c r="X180" s="1367" t="s">
        <v>842</v>
      </c>
      <c r="Y180" s="1367"/>
      <c r="BN180" s="133" t="s">
        <v>901</v>
      </c>
      <c r="BS180">
        <v>5</v>
      </c>
      <c r="BT180" t="s">
        <v>902</v>
      </c>
      <c r="CB180" s="252" t="s">
        <v>893</v>
      </c>
      <c r="CC180" s="364">
        <v>3384</v>
      </c>
      <c r="CD180" s="365">
        <v>3626</v>
      </c>
      <c r="CE180" s="364">
        <v>4352</v>
      </c>
      <c r="CF180" s="365">
        <v>5028</v>
      </c>
      <c r="CG180" s="365">
        <v>5610</v>
      </c>
      <c r="CH180" s="366">
        <v>6190</v>
      </c>
      <c r="CI180" s="3"/>
      <c r="CJ180" s="759">
        <v>2275</v>
      </c>
      <c r="CK180" s="759">
        <v>2780</v>
      </c>
      <c r="CL180" s="759">
        <v>3318</v>
      </c>
      <c r="CM180" s="759">
        <v>4138</v>
      </c>
      <c r="CN180" s="759">
        <v>4399</v>
      </c>
      <c r="CR180" s="133" t="s">
        <v>892</v>
      </c>
      <c r="CS180" s="227">
        <v>384234</v>
      </c>
      <c r="CT180" s="227">
        <v>443018</v>
      </c>
      <c r="CU180" s="227">
        <v>534400</v>
      </c>
      <c r="CV180" s="227">
        <v>684032</v>
      </c>
      <c r="CW180" s="227">
        <v>762054</v>
      </c>
      <c r="CX180" s="13"/>
      <c r="CY180" s="133" t="s">
        <v>892</v>
      </c>
      <c r="CZ180" s="227">
        <v>384234</v>
      </c>
      <c r="DA180" s="227">
        <v>443018</v>
      </c>
      <c r="DB180" s="227">
        <v>534400</v>
      </c>
      <c r="DC180" s="227">
        <v>684032</v>
      </c>
      <c r="DD180" s="227">
        <v>762054</v>
      </c>
    </row>
    <row r="181" spans="1:108" ht="13" customHeight="1">
      <c r="C181" s="7"/>
      <c r="E181" s="3" t="s">
        <v>903</v>
      </c>
      <c r="BN181" s="133" t="s">
        <v>904</v>
      </c>
      <c r="BS181">
        <v>7</v>
      </c>
      <c r="BT181" t="s">
        <v>905</v>
      </c>
      <c r="CB181" s="252" t="s">
        <v>897</v>
      </c>
      <c r="CC181" s="364">
        <v>1644</v>
      </c>
      <c r="CD181" s="365">
        <v>1762</v>
      </c>
      <c r="CE181" s="364">
        <v>2114</v>
      </c>
      <c r="CF181" s="365">
        <v>2442</v>
      </c>
      <c r="CG181" s="365">
        <v>2724</v>
      </c>
      <c r="CH181" s="366">
        <v>3006</v>
      </c>
      <c r="CI181" s="3"/>
      <c r="CJ181" s="759">
        <v>928</v>
      </c>
      <c r="CK181" s="759">
        <v>1119</v>
      </c>
      <c r="CL181" s="759">
        <v>1338</v>
      </c>
      <c r="CM181" s="759">
        <v>1875</v>
      </c>
      <c r="CN181" s="759">
        <v>2247</v>
      </c>
      <c r="CR181" s="133" t="s">
        <v>896</v>
      </c>
      <c r="CS181" s="225">
        <v>352022</v>
      </c>
      <c r="CT181" s="225">
        <v>405878</v>
      </c>
      <c r="CU181" s="225">
        <v>489600</v>
      </c>
      <c r="CV181" s="225">
        <v>626688</v>
      </c>
      <c r="CW181" s="225">
        <v>698170</v>
      </c>
      <c r="CX181" s="13"/>
      <c r="CY181" s="133" t="s">
        <v>896</v>
      </c>
      <c r="CZ181" s="225">
        <v>352022</v>
      </c>
      <c r="DA181" s="225">
        <v>405878</v>
      </c>
      <c r="DB181" s="225">
        <v>489600</v>
      </c>
      <c r="DC181" s="225">
        <v>626688</v>
      </c>
      <c r="DD181" s="225">
        <v>698170</v>
      </c>
    </row>
    <row r="182" spans="1:108" ht="13" customHeight="1">
      <c r="C182" s="429"/>
      <c r="BN182" s="133" t="s">
        <v>906</v>
      </c>
      <c r="BS182">
        <v>7</v>
      </c>
      <c r="BT182" t="s">
        <v>907</v>
      </c>
      <c r="CB182" s="252" t="s">
        <v>899</v>
      </c>
      <c r="CC182" s="364">
        <v>1644</v>
      </c>
      <c r="CD182" s="365">
        <v>1762</v>
      </c>
      <c r="CE182" s="364">
        <v>2114</v>
      </c>
      <c r="CF182" s="365">
        <v>2442</v>
      </c>
      <c r="CG182" s="365">
        <v>2724</v>
      </c>
      <c r="CH182" s="366">
        <v>3006</v>
      </c>
      <c r="CI182" s="3"/>
      <c r="CJ182" s="759">
        <v>1173</v>
      </c>
      <c r="CK182" s="759">
        <v>1220</v>
      </c>
      <c r="CL182" s="759">
        <v>1601</v>
      </c>
      <c r="CM182" s="759">
        <v>2243</v>
      </c>
      <c r="CN182" s="759">
        <v>2688</v>
      </c>
      <c r="CR182" s="133" t="s">
        <v>898</v>
      </c>
      <c r="CS182" s="227">
        <v>352022</v>
      </c>
      <c r="CT182" s="227">
        <v>405878</v>
      </c>
      <c r="CU182" s="227">
        <v>489600</v>
      </c>
      <c r="CV182" s="227">
        <v>626688</v>
      </c>
      <c r="CW182" s="227">
        <v>698170</v>
      </c>
      <c r="CX182" s="13"/>
      <c r="CY182" s="133" t="s">
        <v>898</v>
      </c>
      <c r="CZ182" s="227">
        <v>352022</v>
      </c>
      <c r="DA182" s="227">
        <v>405878</v>
      </c>
      <c r="DB182" s="227">
        <v>489600</v>
      </c>
      <c r="DC182" s="227">
        <v>626688</v>
      </c>
      <c r="DD182" s="227">
        <v>698170</v>
      </c>
    </row>
    <row r="183" spans="1:108" ht="13" customHeight="1">
      <c r="A183" s="2" t="s">
        <v>908</v>
      </c>
      <c r="C183" s="2" t="s">
        <v>93</v>
      </c>
      <c r="BN183" s="133" t="s">
        <v>909</v>
      </c>
      <c r="BS183">
        <v>4</v>
      </c>
      <c r="BT183" t="s">
        <v>910</v>
      </c>
      <c r="CB183" s="252" t="s">
        <v>902</v>
      </c>
      <c r="CC183" s="364">
        <v>1644</v>
      </c>
      <c r="CD183" s="365">
        <v>1762</v>
      </c>
      <c r="CE183" s="364">
        <v>2114</v>
      </c>
      <c r="CF183" s="365">
        <v>2442</v>
      </c>
      <c r="CG183" s="365">
        <v>2724</v>
      </c>
      <c r="CH183" s="366">
        <v>3006</v>
      </c>
      <c r="CI183" s="3"/>
      <c r="CJ183" s="759">
        <v>1071</v>
      </c>
      <c r="CK183" s="759">
        <v>1227</v>
      </c>
      <c r="CL183" s="759">
        <v>1509</v>
      </c>
      <c r="CM183" s="759">
        <v>2081</v>
      </c>
      <c r="CN183" s="759">
        <v>2534</v>
      </c>
      <c r="CR183" s="133" t="s">
        <v>901</v>
      </c>
      <c r="CS183" s="225">
        <v>307732</v>
      </c>
      <c r="CT183" s="225">
        <v>354812</v>
      </c>
      <c r="CU183" s="225">
        <v>428000</v>
      </c>
      <c r="CV183" s="225">
        <v>547840</v>
      </c>
      <c r="CW183" s="225">
        <v>610328</v>
      </c>
      <c r="CX183" s="13"/>
      <c r="CY183" s="133" t="s">
        <v>901</v>
      </c>
      <c r="CZ183" s="225">
        <v>307732</v>
      </c>
      <c r="DA183" s="225">
        <v>354812</v>
      </c>
      <c r="DB183" s="225">
        <v>428000</v>
      </c>
      <c r="DC183" s="225">
        <v>547840</v>
      </c>
      <c r="DD183" s="225">
        <v>610328</v>
      </c>
    </row>
    <row r="184" spans="1:108" ht="13" customHeight="1">
      <c r="C184" s="18"/>
      <c r="D184" t="s">
        <v>911</v>
      </c>
      <c r="I184" s="1435" t="str">
        <f>H18</f>
        <v>San Clemente Family Homes</v>
      </c>
      <c r="J184" s="1435"/>
      <c r="K184" s="1435"/>
      <c r="L184" s="1435"/>
      <c r="M184" s="1435"/>
      <c r="N184" s="1435"/>
      <c r="O184" s="1435"/>
      <c r="P184" s="1435"/>
      <c r="Q184" s="1435"/>
      <c r="R184" s="1435"/>
      <c r="S184" s="1435"/>
      <c r="T184" s="1435"/>
      <c r="U184" s="1435"/>
      <c r="V184" s="1435"/>
      <c r="W184" s="1435"/>
      <c r="X184" s="1435"/>
      <c r="Y184" s="1435"/>
      <c r="Z184" s="1435"/>
      <c r="AA184" s="1435"/>
      <c r="AB184" s="1435"/>
      <c r="AC184" s="1435"/>
      <c r="AD184" s="1435"/>
      <c r="AE184" s="1435"/>
      <c r="BC184" t="s">
        <v>912</v>
      </c>
      <c r="BN184" s="133" t="s">
        <v>913</v>
      </c>
      <c r="BS184">
        <v>4</v>
      </c>
      <c r="BT184" t="s">
        <v>914</v>
      </c>
      <c r="CB184" s="252" t="s">
        <v>905</v>
      </c>
      <c r="CC184" s="364">
        <v>1644</v>
      </c>
      <c r="CD184" s="365">
        <v>1762</v>
      </c>
      <c r="CE184" s="364">
        <v>2114</v>
      </c>
      <c r="CF184" s="365">
        <v>2442</v>
      </c>
      <c r="CG184" s="365">
        <v>2724</v>
      </c>
      <c r="CH184" s="366">
        <v>3006</v>
      </c>
      <c r="CI184" s="3"/>
      <c r="CJ184" s="759">
        <v>731</v>
      </c>
      <c r="CK184" s="759">
        <v>886</v>
      </c>
      <c r="CL184" s="759">
        <v>1054</v>
      </c>
      <c r="CM184" s="759">
        <v>1270</v>
      </c>
      <c r="CN184" s="759">
        <v>1748</v>
      </c>
      <c r="CR184" s="133" t="s">
        <v>904</v>
      </c>
      <c r="CS184" s="227">
        <v>352022</v>
      </c>
      <c r="CT184" s="227">
        <v>405878</v>
      </c>
      <c r="CU184" s="227">
        <v>489600</v>
      </c>
      <c r="CV184" s="227">
        <v>626688</v>
      </c>
      <c r="CW184" s="227">
        <v>698170</v>
      </c>
      <c r="CX184" s="13"/>
      <c r="CY184" s="133" t="s">
        <v>904</v>
      </c>
      <c r="CZ184" s="227">
        <v>352022</v>
      </c>
      <c r="DA184" s="227">
        <v>405878</v>
      </c>
      <c r="DB184" s="227">
        <v>489600</v>
      </c>
      <c r="DC184" s="227">
        <v>626688</v>
      </c>
      <c r="DD184" s="227">
        <v>698170</v>
      </c>
    </row>
    <row r="185" spans="1:108" ht="13" customHeight="1">
      <c r="C185" s="18"/>
      <c r="D185" t="s">
        <v>915</v>
      </c>
      <c r="I185" s="1326" t="s">
        <v>916</v>
      </c>
      <c r="J185" s="1326"/>
      <c r="K185" s="1326"/>
      <c r="L185" s="1326"/>
      <c r="M185" s="1326"/>
      <c r="N185" s="1326"/>
      <c r="O185" s="1326"/>
      <c r="P185" s="1326"/>
      <c r="Q185" s="1326"/>
      <c r="R185" s="1326"/>
      <c r="S185" s="1326"/>
      <c r="T185" s="1326"/>
      <c r="U185" s="1326"/>
      <c r="V185" s="1326"/>
      <c r="W185" s="1326"/>
      <c r="X185" s="1326"/>
      <c r="Y185" s="1326"/>
      <c r="Z185" s="1326"/>
      <c r="AA185" s="1326"/>
      <c r="AB185" s="1326"/>
      <c r="AC185" s="1326"/>
      <c r="AD185" s="1326"/>
      <c r="AE185" s="1326"/>
      <c r="BC185" t="s">
        <v>917</v>
      </c>
      <c r="BN185" s="133" t="s">
        <v>918</v>
      </c>
      <c r="BS185">
        <v>7</v>
      </c>
      <c r="BT185" t="s">
        <v>919</v>
      </c>
      <c r="CB185" s="252" t="s">
        <v>907</v>
      </c>
      <c r="CC185" s="364">
        <v>1784</v>
      </c>
      <c r="CD185" s="365">
        <v>1912</v>
      </c>
      <c r="CE185" s="364">
        <v>2294</v>
      </c>
      <c r="CF185" s="365">
        <v>2652</v>
      </c>
      <c r="CG185" s="365">
        <v>2960</v>
      </c>
      <c r="CH185" s="366">
        <v>3266</v>
      </c>
      <c r="CI185" s="3"/>
      <c r="CJ185" s="759">
        <v>1036</v>
      </c>
      <c r="CK185" s="759">
        <v>1348</v>
      </c>
      <c r="CL185" s="759">
        <v>1493</v>
      </c>
      <c r="CM185" s="759">
        <v>2092</v>
      </c>
      <c r="CN185" s="759">
        <v>2476</v>
      </c>
      <c r="CR185" s="133" t="s">
        <v>906</v>
      </c>
      <c r="CS185" s="225">
        <v>352022</v>
      </c>
      <c r="CT185" s="225">
        <v>405878</v>
      </c>
      <c r="CU185" s="225">
        <v>489600</v>
      </c>
      <c r="CV185" s="225">
        <v>626688</v>
      </c>
      <c r="CW185" s="225">
        <v>698170</v>
      </c>
      <c r="CX185" s="13"/>
      <c r="CY185" s="133" t="s">
        <v>906</v>
      </c>
      <c r="CZ185" s="225">
        <v>352022</v>
      </c>
      <c r="DA185" s="225">
        <v>405878</v>
      </c>
      <c r="DB185" s="225">
        <v>489600</v>
      </c>
      <c r="DC185" s="225">
        <v>626688</v>
      </c>
      <c r="DD185" s="225">
        <v>698170</v>
      </c>
    </row>
    <row r="186" spans="1:108" ht="13" customHeight="1">
      <c r="C186" s="18"/>
      <c r="E186" t="s">
        <v>920</v>
      </c>
      <c r="BN186" s="133" t="s">
        <v>921</v>
      </c>
      <c r="BS186">
        <v>4</v>
      </c>
      <c r="BT186" t="s">
        <v>922</v>
      </c>
      <c r="CB186" s="252" t="s">
        <v>910</v>
      </c>
      <c r="CC186" s="364">
        <v>2530</v>
      </c>
      <c r="CD186" s="365">
        <v>2710</v>
      </c>
      <c r="CE186" s="364">
        <v>3254</v>
      </c>
      <c r="CF186" s="365">
        <v>3760</v>
      </c>
      <c r="CG186" s="365">
        <v>4192</v>
      </c>
      <c r="CH186" s="366">
        <v>4626</v>
      </c>
      <c r="CI186" s="3"/>
      <c r="CJ186" s="759">
        <v>2414</v>
      </c>
      <c r="CK186" s="759">
        <v>2479</v>
      </c>
      <c r="CL186" s="759">
        <v>2982</v>
      </c>
      <c r="CM186" s="759">
        <v>4025</v>
      </c>
      <c r="CN186" s="759">
        <v>4383</v>
      </c>
      <c r="CR186" s="133" t="s">
        <v>909</v>
      </c>
      <c r="CS186" s="227">
        <v>404366</v>
      </c>
      <c r="CT186" s="227">
        <v>466230</v>
      </c>
      <c r="CU186" s="227">
        <v>562400</v>
      </c>
      <c r="CV186" s="227">
        <v>719872</v>
      </c>
      <c r="CW186" s="227">
        <v>801982</v>
      </c>
      <c r="CX186" s="13"/>
      <c r="CY186" s="133" t="s">
        <v>909</v>
      </c>
      <c r="CZ186" s="227">
        <v>404366</v>
      </c>
      <c r="DA186" s="227">
        <v>466230</v>
      </c>
      <c r="DB186" s="227">
        <v>562400</v>
      </c>
      <c r="DC186" s="227">
        <v>719872</v>
      </c>
      <c r="DD186" s="227">
        <v>801982</v>
      </c>
    </row>
    <row r="187" spans="1:108" ht="13" customHeight="1">
      <c r="C187" s="18"/>
      <c r="E187" s="1477"/>
      <c r="F187" s="1477"/>
      <c r="G187" s="1477"/>
      <c r="H187" s="1477"/>
      <c r="I187" s="1477"/>
      <c r="J187" s="1477"/>
      <c r="K187" s="1477"/>
      <c r="L187" s="1477"/>
      <c r="M187" s="1477"/>
      <c r="N187" s="1477"/>
      <c r="O187" s="1477"/>
      <c r="P187" s="1477"/>
      <c r="Q187" s="1477"/>
      <c r="R187" s="1477"/>
      <c r="S187" s="1477"/>
      <c r="T187" s="1477"/>
      <c r="U187" s="1477"/>
      <c r="V187" s="1477"/>
      <c r="W187" s="1477"/>
      <c r="X187" s="1477"/>
      <c r="Y187" s="1477"/>
      <c r="Z187" s="1477"/>
      <c r="AA187" s="1477"/>
      <c r="AB187" s="1477"/>
      <c r="AC187" s="1477"/>
      <c r="AD187" s="1477"/>
      <c r="AE187" s="1477"/>
      <c r="BN187" s="133" t="s">
        <v>923</v>
      </c>
      <c r="BS187">
        <v>6</v>
      </c>
      <c r="BT187" t="s">
        <v>924</v>
      </c>
      <c r="CB187" s="252" t="s">
        <v>914</v>
      </c>
      <c r="CC187" s="364">
        <v>2804</v>
      </c>
      <c r="CD187" s="365">
        <v>3004</v>
      </c>
      <c r="CE187" s="364">
        <v>3606</v>
      </c>
      <c r="CF187" s="365">
        <v>4168</v>
      </c>
      <c r="CG187" s="365">
        <v>4650</v>
      </c>
      <c r="CH187" s="366">
        <v>5130</v>
      </c>
      <c r="CI187" s="3"/>
      <c r="CJ187" s="759">
        <v>1915</v>
      </c>
      <c r="CK187" s="759">
        <v>2128</v>
      </c>
      <c r="CL187" s="759">
        <v>2792</v>
      </c>
      <c r="CM187" s="759">
        <v>3636</v>
      </c>
      <c r="CN187" s="759">
        <v>4144</v>
      </c>
      <c r="CR187" s="133" t="s">
        <v>913</v>
      </c>
      <c r="CS187" s="225">
        <v>384234</v>
      </c>
      <c r="CT187" s="225">
        <v>443018</v>
      </c>
      <c r="CU187" s="225">
        <v>534400</v>
      </c>
      <c r="CV187" s="225">
        <v>684032</v>
      </c>
      <c r="CW187" s="225">
        <v>762054</v>
      </c>
      <c r="CX187" s="13"/>
      <c r="CY187" s="133" t="s">
        <v>913</v>
      </c>
      <c r="CZ187" s="225">
        <v>384234</v>
      </c>
      <c r="DA187" s="225">
        <v>443018</v>
      </c>
      <c r="DB187" s="225">
        <v>534400</v>
      </c>
      <c r="DC187" s="225">
        <v>684032</v>
      </c>
      <c r="DD187" s="225">
        <v>762054</v>
      </c>
    </row>
    <row r="188" spans="1:108" ht="13" customHeight="1">
      <c r="C188" s="18"/>
      <c r="E188" s="1478"/>
      <c r="F188" s="1478"/>
      <c r="G188" s="1478"/>
      <c r="H188" s="1478"/>
      <c r="I188" s="1478"/>
      <c r="J188" s="1478"/>
      <c r="K188" s="1478"/>
      <c r="L188" s="1478"/>
      <c r="M188" s="1478"/>
      <c r="N188" s="1478"/>
      <c r="O188" s="1478"/>
      <c r="P188" s="1478"/>
      <c r="Q188" s="1478"/>
      <c r="R188" s="1478"/>
      <c r="S188" s="1478"/>
      <c r="T188" s="1478"/>
      <c r="U188" s="1478"/>
      <c r="V188" s="1478"/>
      <c r="W188" s="1478"/>
      <c r="X188" s="1478"/>
      <c r="Y188" s="1478"/>
      <c r="Z188" s="1478"/>
      <c r="AA188" s="1478"/>
      <c r="AB188" s="1478"/>
      <c r="AC188" s="1478"/>
      <c r="AD188" s="1478"/>
      <c r="AE188" s="1478"/>
      <c r="BN188" s="133" t="s">
        <v>925</v>
      </c>
      <c r="BS188">
        <v>7</v>
      </c>
      <c r="BT188" t="s">
        <v>926</v>
      </c>
      <c r="CB188" s="252" t="s">
        <v>919</v>
      </c>
      <c r="CC188" s="364">
        <v>1992</v>
      </c>
      <c r="CD188" s="365">
        <v>2132</v>
      </c>
      <c r="CE188" s="364">
        <v>2560</v>
      </c>
      <c r="CF188" s="365">
        <v>2958</v>
      </c>
      <c r="CG188" s="365">
        <v>3300</v>
      </c>
      <c r="CH188" s="366">
        <v>3642</v>
      </c>
      <c r="CI188" s="3"/>
      <c r="CJ188" s="759">
        <v>1352</v>
      </c>
      <c r="CK188" s="759">
        <v>1361</v>
      </c>
      <c r="CL188" s="759">
        <v>1785</v>
      </c>
      <c r="CM188" s="759">
        <v>2501</v>
      </c>
      <c r="CN188" s="759">
        <v>2997</v>
      </c>
      <c r="CR188" s="133" t="s">
        <v>918</v>
      </c>
      <c r="CS188" s="227">
        <v>352022</v>
      </c>
      <c r="CT188" s="227">
        <v>405878</v>
      </c>
      <c r="CU188" s="227">
        <v>489600</v>
      </c>
      <c r="CV188" s="227">
        <v>626688</v>
      </c>
      <c r="CW188" s="227">
        <v>698170</v>
      </c>
      <c r="CX188" s="13"/>
      <c r="CY188" s="133" t="s">
        <v>918</v>
      </c>
      <c r="CZ188" s="227">
        <v>352022</v>
      </c>
      <c r="DA188" s="227">
        <v>405878</v>
      </c>
      <c r="DB188" s="227">
        <v>489600</v>
      </c>
      <c r="DC188" s="227">
        <v>626688</v>
      </c>
      <c r="DD188" s="227">
        <v>698170</v>
      </c>
    </row>
    <row r="189" spans="1:108" ht="13" customHeight="1">
      <c r="C189" s="18"/>
      <c r="D189" t="s">
        <v>927</v>
      </c>
      <c r="I189" s="1472" t="s">
        <v>813</v>
      </c>
      <c r="J189" s="1359"/>
      <c r="K189" s="1359"/>
      <c r="L189" s="1359"/>
      <c r="M189" s="1359"/>
      <c r="N189" s="1359"/>
      <c r="O189" s="1359"/>
      <c r="P189" s="1359"/>
      <c r="Q189" t="s">
        <v>928</v>
      </c>
      <c r="T189" s="1359" t="s">
        <v>893</v>
      </c>
      <c r="U189" s="1359"/>
      <c r="V189" s="1359"/>
      <c r="W189" s="1359"/>
      <c r="X189" s="1359"/>
      <c r="Y189" s="1359"/>
      <c r="Z189" s="1359"/>
      <c r="AA189" s="1359"/>
      <c r="AB189" s="1359"/>
      <c r="AC189" s="1359"/>
      <c r="AD189" s="1359"/>
      <c r="AE189" s="1359"/>
      <c r="BC189" t="s">
        <v>309</v>
      </c>
      <c r="BH189" s="3" t="s">
        <v>807</v>
      </c>
      <c r="BN189" s="133" t="s">
        <v>929</v>
      </c>
      <c r="BS189">
        <v>5</v>
      </c>
      <c r="BT189" t="s">
        <v>930</v>
      </c>
      <c r="CB189" s="252" t="s">
        <v>922</v>
      </c>
      <c r="CC189" s="364">
        <v>2962</v>
      </c>
      <c r="CD189" s="365">
        <v>3172</v>
      </c>
      <c r="CE189" s="364">
        <v>3806</v>
      </c>
      <c r="CF189" s="365">
        <v>4400</v>
      </c>
      <c r="CG189" s="365">
        <v>4906</v>
      </c>
      <c r="CH189" s="366">
        <v>5416</v>
      </c>
      <c r="CI189" s="3"/>
      <c r="CJ189" s="759">
        <v>2352</v>
      </c>
      <c r="CK189" s="759">
        <v>2454</v>
      </c>
      <c r="CL189" s="759">
        <v>2903</v>
      </c>
      <c r="CM189" s="759">
        <v>3927</v>
      </c>
      <c r="CN189" s="759">
        <v>4693</v>
      </c>
      <c r="CR189" s="133" t="s">
        <v>921</v>
      </c>
      <c r="CS189" s="225">
        <v>396888</v>
      </c>
      <c r="CT189" s="225">
        <v>457608</v>
      </c>
      <c r="CU189" s="225">
        <v>552000</v>
      </c>
      <c r="CV189" s="225">
        <v>706560</v>
      </c>
      <c r="CW189" s="225">
        <v>787152</v>
      </c>
      <c r="CX189" s="13"/>
      <c r="CY189" s="133" t="s">
        <v>921</v>
      </c>
      <c r="CZ189" s="225">
        <v>396888</v>
      </c>
      <c r="DA189" s="225">
        <v>457608</v>
      </c>
      <c r="DB189" s="225">
        <v>552000</v>
      </c>
      <c r="DC189" s="225">
        <v>706560</v>
      </c>
      <c r="DD189" s="225">
        <v>787152</v>
      </c>
    </row>
    <row r="190" spans="1:108" ht="13" customHeight="1">
      <c r="C190" s="18"/>
      <c r="D190" t="s">
        <v>931</v>
      </c>
      <c r="I190" s="1326">
        <v>94925</v>
      </c>
      <c r="J190" s="1326"/>
      <c r="K190" s="1326"/>
      <c r="L190" s="1326"/>
      <c r="M190" s="1326"/>
      <c r="N190" s="1326"/>
      <c r="O190" t="s">
        <v>932</v>
      </c>
      <c r="T190" s="1500" t="s">
        <v>933</v>
      </c>
      <c r="U190" s="1500"/>
      <c r="V190" s="1500"/>
      <c r="W190" s="1500"/>
      <c r="X190" s="1500"/>
      <c r="Y190" s="1500"/>
      <c r="Z190" s="1500"/>
      <c r="AA190" s="1500"/>
      <c r="AB190" s="1500"/>
      <c r="AC190" s="1500"/>
      <c r="AD190" s="1500"/>
      <c r="AE190" s="1500"/>
      <c r="BC190" t="s">
        <v>934</v>
      </c>
      <c r="BH190" t="s">
        <v>934</v>
      </c>
      <c r="BN190" s="133" t="s">
        <v>935</v>
      </c>
      <c r="BS190">
        <v>6</v>
      </c>
      <c r="BT190" t="s">
        <v>936</v>
      </c>
      <c r="CB190" s="252" t="s">
        <v>924</v>
      </c>
      <c r="CC190" s="364">
        <v>2252</v>
      </c>
      <c r="CD190" s="365">
        <v>2412</v>
      </c>
      <c r="CE190" s="364">
        <v>2894</v>
      </c>
      <c r="CF190" s="365">
        <v>3342</v>
      </c>
      <c r="CG190" s="365">
        <v>3730</v>
      </c>
      <c r="CH190" s="366">
        <v>4116</v>
      </c>
      <c r="CI190" s="3"/>
      <c r="CJ190" s="759">
        <v>1679</v>
      </c>
      <c r="CK190" s="759">
        <v>1777</v>
      </c>
      <c r="CL190" s="759">
        <v>2206</v>
      </c>
      <c r="CM190" s="759">
        <v>2992</v>
      </c>
      <c r="CN190" s="759">
        <v>3455</v>
      </c>
      <c r="CR190" s="133" t="s">
        <v>923</v>
      </c>
      <c r="CS190" s="227">
        <v>331890</v>
      </c>
      <c r="CT190" s="227">
        <v>382666</v>
      </c>
      <c r="CU190" s="227">
        <v>461600</v>
      </c>
      <c r="CV190" s="227">
        <v>590848</v>
      </c>
      <c r="CW190" s="227">
        <v>658242</v>
      </c>
      <c r="CX190" s="13"/>
      <c r="CY190" s="133" t="s">
        <v>923</v>
      </c>
      <c r="CZ190" s="227">
        <v>331890</v>
      </c>
      <c r="DA190" s="227">
        <v>382666</v>
      </c>
      <c r="DB190" s="227">
        <v>461600</v>
      </c>
      <c r="DC190" s="227">
        <v>590848</v>
      </c>
      <c r="DD190" s="227">
        <v>658242</v>
      </c>
    </row>
    <row r="191" spans="1:108" ht="13" customHeight="1">
      <c r="C191" s="18"/>
      <c r="D191" t="s">
        <v>937</v>
      </c>
      <c r="N191" s="1477" t="s">
        <v>938</v>
      </c>
      <c r="O191" s="1477"/>
      <c r="P191" s="1477"/>
      <c r="Q191" s="1477"/>
      <c r="R191" s="1477"/>
      <c r="S191" s="1477"/>
      <c r="T191" s="1477"/>
      <c r="U191" s="1477"/>
      <c r="V191" s="1477"/>
      <c r="W191" s="1477"/>
      <c r="X191" s="1477"/>
      <c r="Y191" s="1477"/>
      <c r="Z191" s="1477"/>
      <c r="AA191" s="1477"/>
      <c r="AB191" s="1477"/>
      <c r="AC191" s="1477"/>
      <c r="AD191" s="1477"/>
      <c r="AE191" s="1477"/>
      <c r="BC191" t="s">
        <v>939</v>
      </c>
      <c r="BH191" t="s">
        <v>939</v>
      </c>
      <c r="BN191" s="133" t="s">
        <v>940</v>
      </c>
      <c r="BS191">
        <v>4</v>
      </c>
      <c r="BT191" t="s">
        <v>941</v>
      </c>
      <c r="CB191" s="252" t="s">
        <v>926</v>
      </c>
      <c r="CC191" s="364">
        <v>1670</v>
      </c>
      <c r="CD191" s="365">
        <v>1788</v>
      </c>
      <c r="CE191" s="364">
        <v>2144</v>
      </c>
      <c r="CF191" s="365">
        <v>2478</v>
      </c>
      <c r="CG191" s="365">
        <v>2764</v>
      </c>
      <c r="CH191" s="366">
        <v>3050</v>
      </c>
      <c r="CI191" s="3"/>
      <c r="CJ191" s="759">
        <v>904</v>
      </c>
      <c r="CK191" s="759">
        <v>1005</v>
      </c>
      <c r="CL191" s="759">
        <v>1318</v>
      </c>
      <c r="CM191" s="759">
        <v>1847</v>
      </c>
      <c r="CN191" s="759">
        <v>1883</v>
      </c>
      <c r="CR191" s="133" t="s">
        <v>925</v>
      </c>
      <c r="CS191" s="225">
        <v>352022</v>
      </c>
      <c r="CT191" s="225">
        <v>405878</v>
      </c>
      <c r="CU191" s="225">
        <v>489600</v>
      </c>
      <c r="CV191" s="225">
        <v>626688</v>
      </c>
      <c r="CW191" s="225">
        <v>698170</v>
      </c>
      <c r="CX191" s="13"/>
      <c r="CY191" s="133" t="s">
        <v>925</v>
      </c>
      <c r="CZ191" s="225">
        <v>352022</v>
      </c>
      <c r="DA191" s="225">
        <v>405878</v>
      </c>
      <c r="DB191" s="225">
        <v>489600</v>
      </c>
      <c r="DC191" s="225">
        <v>626688</v>
      </c>
      <c r="DD191" s="225">
        <v>698170</v>
      </c>
    </row>
    <row r="192" spans="1:108" ht="13" customHeight="1">
      <c r="C192" s="18"/>
      <c r="M192" s="32"/>
      <c r="N192" s="1478"/>
      <c r="O192" s="1478"/>
      <c r="P192" s="1478"/>
      <c r="Q192" s="1478"/>
      <c r="R192" s="1478"/>
      <c r="S192" s="1478"/>
      <c r="T192" s="1478"/>
      <c r="U192" s="1478"/>
      <c r="V192" s="1478"/>
      <c r="W192" s="1478"/>
      <c r="X192" s="1478"/>
      <c r="Y192" s="1478"/>
      <c r="Z192" s="1478"/>
      <c r="AA192" s="1478"/>
      <c r="AB192" s="1478"/>
      <c r="AC192" s="1478"/>
      <c r="AD192" s="1478"/>
      <c r="AE192" s="1478"/>
      <c r="BC192" t="s">
        <v>942</v>
      </c>
      <c r="BH192" s="3" t="s">
        <v>943</v>
      </c>
      <c r="BN192" s="133" t="s">
        <v>944</v>
      </c>
      <c r="BS192">
        <v>5</v>
      </c>
      <c r="BT192" t="s">
        <v>945</v>
      </c>
      <c r="CB192" s="252" t="s">
        <v>930</v>
      </c>
      <c r="CC192" s="364">
        <v>1960</v>
      </c>
      <c r="CD192" s="365">
        <v>2098</v>
      </c>
      <c r="CE192" s="364">
        <v>2516</v>
      </c>
      <c r="CF192" s="365">
        <v>2910</v>
      </c>
      <c r="CG192" s="365">
        <v>3244</v>
      </c>
      <c r="CH192" s="366">
        <v>3580</v>
      </c>
      <c r="CI192" s="3"/>
      <c r="CJ192" s="759">
        <v>1776</v>
      </c>
      <c r="CK192" s="759">
        <v>1852</v>
      </c>
      <c r="CL192" s="759">
        <v>2306</v>
      </c>
      <c r="CM192" s="759">
        <v>3079</v>
      </c>
      <c r="CN192" s="759">
        <v>3745</v>
      </c>
      <c r="CR192" s="133" t="s">
        <v>929</v>
      </c>
      <c r="CS192" s="227">
        <v>324988</v>
      </c>
      <c r="CT192" s="227">
        <v>374708</v>
      </c>
      <c r="CU192" s="227">
        <v>452000</v>
      </c>
      <c r="CV192" s="227">
        <v>578560</v>
      </c>
      <c r="CW192" s="227">
        <v>644552</v>
      </c>
      <c r="CX192" s="13"/>
      <c r="CY192" s="133" t="s">
        <v>929</v>
      </c>
      <c r="CZ192" s="227">
        <v>324988</v>
      </c>
      <c r="DA192" s="227">
        <v>374708</v>
      </c>
      <c r="DB192" s="227">
        <v>452000</v>
      </c>
      <c r="DC192" s="227">
        <v>578560</v>
      </c>
      <c r="DD192" s="227">
        <v>644552</v>
      </c>
    </row>
    <row r="193" spans="1:108" ht="13" customHeight="1">
      <c r="C193" s="18"/>
      <c r="D193" t="s">
        <v>946</v>
      </c>
      <c r="M193" s="32"/>
      <c r="N193" s="789"/>
      <c r="O193" s="789"/>
      <c r="P193" s="789"/>
      <c r="Q193" s="789"/>
      <c r="R193" s="789"/>
      <c r="S193" s="789"/>
      <c r="T193" s="1504" t="s">
        <v>876</v>
      </c>
      <c r="U193" s="1504"/>
      <c r="V193" s="1504"/>
      <c r="W193" s="1504"/>
      <c r="X193" s="1504"/>
      <c r="Y193" s="1504"/>
      <c r="Z193" s="1504"/>
      <c r="AA193" s="1504"/>
      <c r="AB193" s="1504"/>
      <c r="AC193" s="1504"/>
      <c r="AD193" s="1504"/>
      <c r="AE193" s="1504"/>
      <c r="AF193" s="1504"/>
      <c r="AG193" s="1504"/>
      <c r="AH193" s="1504"/>
      <c r="AI193" s="1504"/>
      <c r="BC193" t="s">
        <v>947</v>
      </c>
      <c r="BH193" s="3" t="s">
        <v>948</v>
      </c>
      <c r="BN193" s="133" t="s">
        <v>949</v>
      </c>
      <c r="BS193">
        <v>4</v>
      </c>
      <c r="BT193" t="s">
        <v>950</v>
      </c>
      <c r="CB193" s="252" t="s">
        <v>936</v>
      </c>
      <c r="CC193" s="364">
        <v>2252</v>
      </c>
      <c r="CD193" s="365">
        <v>2412</v>
      </c>
      <c r="CE193" s="364">
        <v>2894</v>
      </c>
      <c r="CF193" s="365">
        <v>3342</v>
      </c>
      <c r="CG193" s="365">
        <v>3730</v>
      </c>
      <c r="CH193" s="366">
        <v>4116</v>
      </c>
      <c r="CI193" s="3"/>
      <c r="CJ193" s="759">
        <v>1679</v>
      </c>
      <c r="CK193" s="759">
        <v>1777</v>
      </c>
      <c r="CL193" s="759">
        <v>2206</v>
      </c>
      <c r="CM193" s="759">
        <v>2992</v>
      </c>
      <c r="CN193" s="759">
        <v>3455</v>
      </c>
      <c r="CR193" s="133" t="s">
        <v>935</v>
      </c>
      <c r="CS193" s="225">
        <v>331890</v>
      </c>
      <c r="CT193" s="225">
        <v>382666</v>
      </c>
      <c r="CU193" s="225">
        <v>461600</v>
      </c>
      <c r="CV193" s="225">
        <v>590848</v>
      </c>
      <c r="CW193" s="225">
        <v>658242</v>
      </c>
      <c r="CX193" s="13"/>
      <c r="CY193" s="133" t="s">
        <v>935</v>
      </c>
      <c r="CZ193" s="225">
        <v>331890</v>
      </c>
      <c r="DA193" s="225">
        <v>382666</v>
      </c>
      <c r="DB193" s="225">
        <v>461600</v>
      </c>
      <c r="DC193" s="225">
        <v>590848</v>
      </c>
      <c r="DD193" s="225">
        <v>658242</v>
      </c>
    </row>
    <row r="194" spans="1:108" ht="13" customHeight="1">
      <c r="C194" s="18"/>
      <c r="D194" s="3" t="s">
        <v>951</v>
      </c>
      <c r="M194" s="32"/>
      <c r="N194" s="789"/>
      <c r="O194" s="789"/>
      <c r="P194" s="789"/>
      <c r="Q194" s="789"/>
      <c r="R194" s="789"/>
      <c r="S194" s="789"/>
      <c r="AH194" s="1367" t="s">
        <v>692</v>
      </c>
      <c r="AI194" s="1367"/>
      <c r="BC194" t="s">
        <v>943</v>
      </c>
      <c r="BN194" s="133" t="s">
        <v>952</v>
      </c>
      <c r="BS194">
        <v>2</v>
      </c>
      <c r="BT194" t="s">
        <v>953</v>
      </c>
      <c r="CB194" s="252" t="s">
        <v>941</v>
      </c>
      <c r="CC194" s="364">
        <v>2340</v>
      </c>
      <c r="CD194" s="365">
        <v>2506</v>
      </c>
      <c r="CE194" s="364">
        <v>3006</v>
      </c>
      <c r="CF194" s="365">
        <v>3472</v>
      </c>
      <c r="CG194" s="365">
        <v>3874</v>
      </c>
      <c r="CH194" s="366">
        <v>4276</v>
      </c>
      <c r="CI194" s="3"/>
      <c r="CJ194" s="759">
        <v>1799</v>
      </c>
      <c r="CK194" s="759">
        <v>1999</v>
      </c>
      <c r="CL194" s="759">
        <v>2623</v>
      </c>
      <c r="CM194" s="759">
        <v>3655</v>
      </c>
      <c r="CN194" s="759">
        <v>4046</v>
      </c>
      <c r="CR194" s="133" t="s">
        <v>940</v>
      </c>
      <c r="CS194" s="227">
        <v>352022</v>
      </c>
      <c r="CT194" s="227">
        <v>405878</v>
      </c>
      <c r="CU194" s="227">
        <v>489600</v>
      </c>
      <c r="CV194" s="227">
        <v>626688</v>
      </c>
      <c r="CW194" s="227">
        <v>698170</v>
      </c>
      <c r="CX194" s="13"/>
      <c r="CY194" s="133" t="s">
        <v>940</v>
      </c>
      <c r="CZ194" s="227">
        <v>352022</v>
      </c>
      <c r="DA194" s="227">
        <v>405878</v>
      </c>
      <c r="DB194" s="227">
        <v>489600</v>
      </c>
      <c r="DC194" s="227">
        <v>626688</v>
      </c>
      <c r="DD194" s="227">
        <v>698170</v>
      </c>
    </row>
    <row r="195" spans="1:108" ht="13" customHeight="1">
      <c r="C195" s="18"/>
      <c r="D195" t="s">
        <v>954</v>
      </c>
      <c r="T195" s="1367" t="s">
        <v>842</v>
      </c>
      <c r="U195" s="1367"/>
      <c r="W195" t="s">
        <v>955</v>
      </c>
      <c r="AH195" s="1367">
        <v>2</v>
      </c>
      <c r="AI195" s="1367"/>
      <c r="BC195" t="s">
        <v>956</v>
      </c>
      <c r="BN195" s="133" t="s">
        <v>957</v>
      </c>
      <c r="BS195">
        <v>6</v>
      </c>
      <c r="BT195" t="s">
        <v>958</v>
      </c>
      <c r="CB195" s="252" t="s">
        <v>945</v>
      </c>
      <c r="CC195" s="364">
        <v>1960</v>
      </c>
      <c r="CD195" s="365">
        <v>2098</v>
      </c>
      <c r="CE195" s="364">
        <v>2516</v>
      </c>
      <c r="CF195" s="365">
        <v>2910</v>
      </c>
      <c r="CG195" s="365">
        <v>3244</v>
      </c>
      <c r="CH195" s="366">
        <v>3580</v>
      </c>
      <c r="CI195" s="3"/>
      <c r="CJ195" s="759">
        <v>1776</v>
      </c>
      <c r="CK195" s="759">
        <v>1852</v>
      </c>
      <c r="CL195" s="759">
        <v>2306</v>
      </c>
      <c r="CM195" s="759">
        <v>3079</v>
      </c>
      <c r="CN195" s="759">
        <v>3745</v>
      </c>
      <c r="CR195" s="133" t="s">
        <v>944</v>
      </c>
      <c r="CS195" s="225">
        <v>324988</v>
      </c>
      <c r="CT195" s="225">
        <v>374708</v>
      </c>
      <c r="CU195" s="225">
        <v>452000</v>
      </c>
      <c r="CV195" s="225">
        <v>578560</v>
      </c>
      <c r="CW195" s="225">
        <v>644552</v>
      </c>
      <c r="CX195" s="13"/>
      <c r="CY195" s="133" t="s">
        <v>944</v>
      </c>
      <c r="CZ195" s="225">
        <v>324988</v>
      </c>
      <c r="DA195" s="225">
        <v>374708</v>
      </c>
      <c r="DB195" s="225">
        <v>452000</v>
      </c>
      <c r="DC195" s="225">
        <v>578560</v>
      </c>
      <c r="DD195" s="225">
        <v>644552</v>
      </c>
    </row>
    <row r="196" spans="1:108" ht="13" customHeight="1">
      <c r="C196" s="18"/>
      <c r="D196" t="s">
        <v>959</v>
      </c>
      <c r="T196" s="1379" t="s">
        <v>692</v>
      </c>
      <c r="U196" s="1379"/>
      <c r="W196" t="s">
        <v>960</v>
      </c>
      <c r="AH196" s="1367">
        <v>12</v>
      </c>
      <c r="AI196" s="1367"/>
      <c r="BN196" s="133" t="s">
        <v>961</v>
      </c>
      <c r="BS196">
        <v>4</v>
      </c>
      <c r="BT196" t="s">
        <v>962</v>
      </c>
      <c r="CB196" s="252" t="s">
        <v>950</v>
      </c>
      <c r="CC196" s="364">
        <v>2894</v>
      </c>
      <c r="CD196" s="365">
        <v>3100</v>
      </c>
      <c r="CE196" s="364">
        <v>3722</v>
      </c>
      <c r="CF196" s="365">
        <v>4300</v>
      </c>
      <c r="CG196" s="365">
        <v>4796</v>
      </c>
      <c r="CH196" s="366">
        <v>5292</v>
      </c>
      <c r="CI196" s="3"/>
      <c r="CJ196" s="759">
        <v>2145</v>
      </c>
      <c r="CK196" s="759">
        <v>2328</v>
      </c>
      <c r="CL196" s="759">
        <v>2881</v>
      </c>
      <c r="CM196" s="759">
        <v>3852</v>
      </c>
      <c r="CN196" s="759">
        <v>4690</v>
      </c>
      <c r="CR196" s="133" t="s">
        <v>949</v>
      </c>
      <c r="CS196" s="227">
        <v>353173</v>
      </c>
      <c r="CT196" s="227">
        <v>407205</v>
      </c>
      <c r="CU196" s="227">
        <v>491200</v>
      </c>
      <c r="CV196" s="227">
        <v>628736</v>
      </c>
      <c r="CW196" s="227">
        <v>700451</v>
      </c>
      <c r="CX196" s="13"/>
      <c r="CY196" s="133" t="s">
        <v>949</v>
      </c>
      <c r="CZ196" s="227">
        <v>353173</v>
      </c>
      <c r="DA196" s="227">
        <v>407205</v>
      </c>
      <c r="DB196" s="227">
        <v>491200</v>
      </c>
      <c r="DC196" s="227">
        <v>628736</v>
      </c>
      <c r="DD196" s="227">
        <v>700451</v>
      </c>
    </row>
    <row r="197" spans="1:108" ht="13" customHeight="1">
      <c r="C197" s="18"/>
      <c r="D197" s="3" t="s">
        <v>963</v>
      </c>
      <c r="T197" s="1379" t="s">
        <v>692</v>
      </c>
      <c r="U197" s="1379"/>
      <c r="W197" t="s">
        <v>964</v>
      </c>
      <c r="AH197" s="1367">
        <v>2</v>
      </c>
      <c r="AI197" s="1367"/>
      <c r="BC197" t="s">
        <v>309</v>
      </c>
      <c r="BN197" s="133" t="s">
        <v>965</v>
      </c>
      <c r="BS197">
        <v>2</v>
      </c>
      <c r="BT197" t="s">
        <v>966</v>
      </c>
      <c r="CB197" s="252" t="s">
        <v>953</v>
      </c>
      <c r="CC197" s="364">
        <v>3384</v>
      </c>
      <c r="CD197" s="365">
        <v>3626</v>
      </c>
      <c r="CE197" s="364">
        <v>4352</v>
      </c>
      <c r="CF197" s="365">
        <v>5028</v>
      </c>
      <c r="CG197" s="365">
        <v>5610</v>
      </c>
      <c r="CH197" s="366">
        <v>6190</v>
      </c>
      <c r="CI197" s="3"/>
      <c r="CJ197" s="759">
        <v>2275</v>
      </c>
      <c r="CK197" s="759">
        <v>2780</v>
      </c>
      <c r="CL197" s="759">
        <v>3318</v>
      </c>
      <c r="CM197" s="759">
        <v>4138</v>
      </c>
      <c r="CN197" s="759">
        <v>4399</v>
      </c>
      <c r="CR197" s="133" t="s">
        <v>952</v>
      </c>
      <c r="CS197" s="225">
        <v>689665</v>
      </c>
      <c r="CT197" s="225">
        <v>795177</v>
      </c>
      <c r="CU197" s="225">
        <v>959200</v>
      </c>
      <c r="CV197" s="225">
        <v>1227776</v>
      </c>
      <c r="CW197" s="225">
        <v>1367819</v>
      </c>
      <c r="CX197" s="13"/>
      <c r="CY197" s="133" t="s">
        <v>952</v>
      </c>
      <c r="CZ197" s="225">
        <v>689665</v>
      </c>
      <c r="DA197" s="225">
        <v>795177</v>
      </c>
      <c r="DB197" s="225">
        <v>959200</v>
      </c>
      <c r="DC197" s="225">
        <v>1227776</v>
      </c>
      <c r="DD197" s="225">
        <v>1367819</v>
      </c>
    </row>
    <row r="198" spans="1:108" s="13" customFormat="1" ht="13" customHeight="1">
      <c r="A198"/>
      <c r="B198"/>
      <c r="C198" s="18"/>
      <c r="D198" s="3" t="s">
        <v>967</v>
      </c>
      <c r="E198"/>
      <c r="F198"/>
      <c r="G198"/>
      <c r="H198"/>
      <c r="I198"/>
      <c r="J198"/>
      <c r="K198"/>
      <c r="L198"/>
      <c r="M198"/>
      <c r="N198"/>
      <c r="O198"/>
      <c r="P198"/>
      <c r="Q198"/>
      <c r="R198"/>
      <c r="S198"/>
      <c r="T198" s="1379"/>
      <c r="U198" s="1379"/>
      <c r="V198"/>
      <c r="X198" s="1483" t="s">
        <v>968</v>
      </c>
      <c r="Y198" s="1483"/>
      <c r="Z198" s="1483"/>
      <c r="AA198" s="1483"/>
      <c r="AB198" s="1483"/>
      <c r="AC198" s="1483"/>
      <c r="AD198" s="1483"/>
      <c r="AE198" s="1483"/>
      <c r="AF198" s="1483"/>
      <c r="AG198" s="1483"/>
      <c r="AH198" s="1483"/>
      <c r="AI198" s="1483"/>
      <c r="AJ198" s="1483"/>
      <c r="AK198" s="1483"/>
      <c r="AL198" s="1483"/>
      <c r="AM198" s="1483"/>
      <c r="AN198" s="1483"/>
      <c r="AO198" s="1483"/>
      <c r="AP198" s="1483"/>
      <c r="AQ198" s="1483"/>
      <c r="AR198" s="1483"/>
      <c r="AS198" s="1483"/>
      <c r="AT198" s="1483"/>
      <c r="AU198"/>
      <c r="AV198"/>
      <c r="AW198"/>
      <c r="AX198"/>
      <c r="AY198"/>
      <c r="AZ198" s="25"/>
      <c r="BA198" s="25"/>
      <c r="BC198" s="13" t="s">
        <v>807</v>
      </c>
      <c r="BD198"/>
      <c r="BN198" s="133" t="s">
        <v>969</v>
      </c>
      <c r="BO198"/>
      <c r="BP198"/>
      <c r="BQ198"/>
      <c r="BR198"/>
      <c r="BS198">
        <v>4</v>
      </c>
      <c r="BT198" t="s">
        <v>970</v>
      </c>
      <c r="BU198"/>
      <c r="BV198" s="26"/>
      <c r="CB198" s="252" t="s">
        <v>958</v>
      </c>
      <c r="CC198" s="364">
        <v>1832</v>
      </c>
      <c r="CD198" s="365">
        <v>1962</v>
      </c>
      <c r="CE198" s="364">
        <v>2354</v>
      </c>
      <c r="CF198" s="365">
        <v>2720</v>
      </c>
      <c r="CG198" s="365">
        <v>3034</v>
      </c>
      <c r="CH198" s="366">
        <v>3348</v>
      </c>
      <c r="CI198" s="3"/>
      <c r="CJ198" s="759">
        <v>1248</v>
      </c>
      <c r="CK198" s="759">
        <v>1363</v>
      </c>
      <c r="CL198" s="759">
        <v>1736</v>
      </c>
      <c r="CM198" s="759">
        <v>2433</v>
      </c>
      <c r="CN198" s="759">
        <v>2915</v>
      </c>
      <c r="CR198" s="133" t="s">
        <v>957</v>
      </c>
      <c r="CS198" s="227">
        <v>307732</v>
      </c>
      <c r="CT198" s="227">
        <v>354812</v>
      </c>
      <c r="CU198" s="227">
        <v>428000</v>
      </c>
      <c r="CV198" s="227">
        <v>547840</v>
      </c>
      <c r="CW198" s="227">
        <v>610328</v>
      </c>
      <c r="CY198" s="133" t="s">
        <v>957</v>
      </c>
      <c r="CZ198" s="227">
        <v>307732</v>
      </c>
      <c r="DA198" s="227">
        <v>354812</v>
      </c>
      <c r="DB198" s="227">
        <v>428000</v>
      </c>
      <c r="DC198" s="227">
        <v>547840</v>
      </c>
      <c r="DD198" s="227">
        <v>610328</v>
      </c>
    </row>
    <row r="199" spans="1:108" s="13" customFormat="1" ht="13" customHeight="1">
      <c r="A199"/>
      <c r="B199"/>
      <c r="C199" s="18"/>
      <c r="D199" s="84" t="s">
        <v>971</v>
      </c>
      <c r="E199"/>
      <c r="F199"/>
      <c r="G199"/>
      <c r="H199"/>
      <c r="I199"/>
      <c r="J199"/>
      <c r="K199"/>
      <c r="L199"/>
      <c r="M199"/>
      <c r="N199"/>
      <c r="O199"/>
      <c r="P199"/>
      <c r="Q199"/>
      <c r="R199"/>
      <c r="S199"/>
      <c r="T199" s="1367" t="s">
        <v>692</v>
      </c>
      <c r="U199" s="1367"/>
      <c r="V199"/>
      <c r="W199"/>
      <c r="X199" s="1483"/>
      <c r="Y199" s="1483"/>
      <c r="Z199" s="1483"/>
      <c r="AA199" s="1483"/>
      <c r="AB199" s="1483"/>
      <c r="AC199" s="1483"/>
      <c r="AD199" s="1483"/>
      <c r="AE199" s="1483"/>
      <c r="AF199" s="1483"/>
      <c r="AG199" s="1483"/>
      <c r="AH199" s="1483"/>
      <c r="AI199" s="1483"/>
      <c r="AJ199" s="1483"/>
      <c r="AK199" s="1483"/>
      <c r="AL199" s="1483"/>
      <c r="AM199" s="1483"/>
      <c r="AN199" s="1483"/>
      <c r="AO199" s="1483"/>
      <c r="AP199" s="1483"/>
      <c r="AQ199" s="1483"/>
      <c r="AR199" s="1483"/>
      <c r="AS199" s="1483"/>
      <c r="AT199" s="1483"/>
      <c r="AU199"/>
      <c r="AV199"/>
      <c r="AW199"/>
      <c r="AX199"/>
      <c r="AY199"/>
      <c r="AZ199" s="25"/>
      <c r="BA199" s="25"/>
      <c r="BC199" t="s">
        <v>794</v>
      </c>
      <c r="BD199"/>
      <c r="BN199" s="133" t="s">
        <v>972</v>
      </c>
      <c r="BO199"/>
      <c r="BP199"/>
      <c r="BQ199"/>
      <c r="BR199"/>
      <c r="BS199">
        <v>2</v>
      </c>
      <c r="BT199" s="27" t="s">
        <v>973</v>
      </c>
      <c r="BU199"/>
      <c r="BV199" s="26"/>
      <c r="CB199" s="252" t="s">
        <v>962</v>
      </c>
      <c r="CC199" s="364">
        <v>2432</v>
      </c>
      <c r="CD199" s="365">
        <v>2606</v>
      </c>
      <c r="CE199" s="364">
        <v>3126</v>
      </c>
      <c r="CF199" s="365">
        <v>3612</v>
      </c>
      <c r="CG199" s="365">
        <v>4032</v>
      </c>
      <c r="CH199" s="366">
        <v>4448</v>
      </c>
      <c r="CI199" s="3"/>
      <c r="CJ199" s="759">
        <v>1669</v>
      </c>
      <c r="CK199" s="759">
        <v>1855</v>
      </c>
      <c r="CL199" s="759">
        <v>2434</v>
      </c>
      <c r="CM199" s="759">
        <v>3250</v>
      </c>
      <c r="CN199" s="759">
        <v>3683</v>
      </c>
      <c r="CR199" s="133" t="s">
        <v>961</v>
      </c>
      <c r="CS199" s="225">
        <v>404366</v>
      </c>
      <c r="CT199" s="225">
        <v>466230</v>
      </c>
      <c r="CU199" s="225">
        <v>562400</v>
      </c>
      <c r="CV199" s="225">
        <v>719872</v>
      </c>
      <c r="CW199" s="225">
        <v>801982</v>
      </c>
      <c r="CY199" s="133" t="s">
        <v>961</v>
      </c>
      <c r="CZ199" s="225">
        <v>404366</v>
      </c>
      <c r="DA199" s="225">
        <v>466230</v>
      </c>
      <c r="DB199" s="225">
        <v>562400</v>
      </c>
      <c r="DC199" s="225">
        <v>719872</v>
      </c>
      <c r="DD199" s="225">
        <v>801982</v>
      </c>
    </row>
    <row r="200" spans="1:108" s="13" customFormat="1" ht="13" customHeight="1">
      <c r="A200"/>
      <c r="B200"/>
      <c r="C200" s="18"/>
      <c r="D200" s="13" t="s">
        <v>974</v>
      </c>
      <c r="T200" s="1367" t="s">
        <v>692</v>
      </c>
      <c r="U200" s="1367"/>
      <c r="V200"/>
      <c r="W200"/>
      <c r="X200"/>
      <c r="Y200"/>
      <c r="AA200"/>
      <c r="AB200" s="1138" t="s">
        <v>975</v>
      </c>
      <c r="AC200"/>
      <c r="AF200"/>
      <c r="AG200"/>
      <c r="AH200" s="1"/>
      <c r="AJ200"/>
      <c r="AK200"/>
      <c r="AL200"/>
      <c r="AM200"/>
      <c r="AN200"/>
      <c r="AO200"/>
      <c r="AP200"/>
      <c r="AQ200"/>
      <c r="AR200"/>
      <c r="AS200"/>
      <c r="AU200"/>
      <c r="AV200"/>
      <c r="AW200"/>
      <c r="AX200"/>
      <c r="AY200"/>
      <c r="AZ200" s="25"/>
      <c r="BA200" s="25"/>
      <c r="BC200" s="3" t="s">
        <v>976</v>
      </c>
      <c r="BD200" s="338"/>
      <c r="BN200" s="133" t="s">
        <v>977</v>
      </c>
      <c r="BO200"/>
      <c r="BP200"/>
      <c r="BQ200"/>
      <c r="BR200"/>
      <c r="BS200">
        <v>2</v>
      </c>
      <c r="BT200" s="27" t="s">
        <v>978</v>
      </c>
      <c r="BU200"/>
      <c r="CB200" s="252" t="s">
        <v>966</v>
      </c>
      <c r="CC200" s="364">
        <v>3384</v>
      </c>
      <c r="CD200" s="365">
        <v>3626</v>
      </c>
      <c r="CE200" s="364">
        <v>4352</v>
      </c>
      <c r="CF200" s="365">
        <v>5028</v>
      </c>
      <c r="CG200" s="365">
        <v>5610</v>
      </c>
      <c r="CH200" s="366">
        <v>6190</v>
      </c>
      <c r="CI200" s="3"/>
      <c r="CJ200" s="759">
        <v>2275</v>
      </c>
      <c r="CK200" s="759">
        <v>2780</v>
      </c>
      <c r="CL200" s="759">
        <v>3318</v>
      </c>
      <c r="CM200" s="759">
        <v>4138</v>
      </c>
      <c r="CN200" s="759">
        <v>4399</v>
      </c>
      <c r="CR200" s="133" t="s">
        <v>965</v>
      </c>
      <c r="CS200" s="226">
        <v>532060</v>
      </c>
      <c r="CT200" s="226">
        <v>613460</v>
      </c>
      <c r="CU200" s="227">
        <v>740000</v>
      </c>
      <c r="CV200" s="226">
        <v>947200</v>
      </c>
      <c r="CW200" s="226">
        <v>1055240</v>
      </c>
      <c r="CY200" s="133" t="s">
        <v>965</v>
      </c>
      <c r="CZ200" s="226">
        <v>532060</v>
      </c>
      <c r="DA200" s="226">
        <v>613460</v>
      </c>
      <c r="DB200" s="226">
        <v>740000</v>
      </c>
      <c r="DC200" s="226">
        <v>947200</v>
      </c>
      <c r="DD200" s="226">
        <v>1055240</v>
      </c>
    </row>
    <row r="201" spans="1:108" s="13" customFormat="1" ht="13" customHeight="1">
      <c r="A201"/>
      <c r="B201"/>
      <c r="C201" s="18"/>
      <c r="E201" s="3" t="s">
        <v>979</v>
      </c>
      <c r="V201"/>
      <c r="X201"/>
      <c r="Y201"/>
      <c r="Z201"/>
      <c r="AB201" s="1138" t="s">
        <v>980</v>
      </c>
      <c r="AC201"/>
      <c r="AH201" s="1"/>
      <c r="AJ201"/>
      <c r="AK201"/>
      <c r="AL201"/>
      <c r="AM201"/>
      <c r="AN201"/>
      <c r="AO201"/>
      <c r="AP201"/>
      <c r="AQ201"/>
      <c r="AR201"/>
      <c r="AS201"/>
      <c r="AU201"/>
      <c r="AV201"/>
      <c r="AW201"/>
      <c r="AX201"/>
      <c r="AY201"/>
      <c r="AZ201" s="25"/>
      <c r="BA201" s="25"/>
      <c r="BC201" s="3" t="s">
        <v>981</v>
      </c>
      <c r="BD201" s="338"/>
      <c r="BN201" s="133" t="s">
        <v>982</v>
      </c>
      <c r="BO201" s="26"/>
      <c r="BP201" s="27"/>
      <c r="BQ201" s="27"/>
      <c r="BR201" s="27"/>
      <c r="BS201">
        <v>6</v>
      </c>
      <c r="BT201" s="27" t="s">
        <v>983</v>
      </c>
      <c r="BU201"/>
      <c r="CB201" s="252" t="s">
        <v>970</v>
      </c>
      <c r="CC201" s="364">
        <v>3090</v>
      </c>
      <c r="CD201" s="365">
        <v>3310</v>
      </c>
      <c r="CE201" s="364">
        <v>3972</v>
      </c>
      <c r="CF201" s="365">
        <v>4590</v>
      </c>
      <c r="CG201" s="365">
        <v>5120</v>
      </c>
      <c r="CH201" s="366">
        <v>5648</v>
      </c>
      <c r="CI201" s="3"/>
      <c r="CJ201" s="759">
        <v>2381</v>
      </c>
      <c r="CK201" s="759">
        <v>2688</v>
      </c>
      <c r="CL201" s="759">
        <v>3028</v>
      </c>
      <c r="CM201" s="759">
        <v>4011</v>
      </c>
      <c r="CN201" s="759">
        <v>4468</v>
      </c>
      <c r="CR201" s="133" t="s">
        <v>969</v>
      </c>
      <c r="CS201" s="225">
        <v>404366</v>
      </c>
      <c r="CT201" s="225">
        <v>466230</v>
      </c>
      <c r="CU201" s="225">
        <v>562400</v>
      </c>
      <c r="CV201" s="225">
        <v>719872</v>
      </c>
      <c r="CW201" s="225">
        <v>801982</v>
      </c>
      <c r="CY201" s="133" t="s">
        <v>969</v>
      </c>
      <c r="CZ201" s="225">
        <v>404366</v>
      </c>
      <c r="DA201" s="225">
        <v>466230</v>
      </c>
      <c r="DB201" s="225">
        <v>562400</v>
      </c>
      <c r="DC201" s="225">
        <v>719872</v>
      </c>
      <c r="DD201" s="225">
        <v>801982</v>
      </c>
    </row>
    <row r="202" spans="1:108" ht="13" customHeight="1">
      <c r="C202" s="18"/>
      <c r="AE202" s="7"/>
      <c r="BC202" t="s">
        <v>984</v>
      </c>
      <c r="BD202" s="338"/>
      <c r="BN202" s="133" t="s">
        <v>985</v>
      </c>
      <c r="BO202" s="13"/>
      <c r="BP202" s="27"/>
      <c r="BQ202" s="27"/>
      <c r="BR202" s="27"/>
      <c r="BS202">
        <v>7</v>
      </c>
      <c r="BT202" s="27" t="s">
        <v>986</v>
      </c>
      <c r="CB202" s="252" t="s">
        <v>973</v>
      </c>
      <c r="CC202" s="364">
        <v>3516</v>
      </c>
      <c r="CD202" s="365">
        <v>3768</v>
      </c>
      <c r="CE202" s="364">
        <v>4522</v>
      </c>
      <c r="CF202" s="365">
        <v>5222</v>
      </c>
      <c r="CG202" s="365">
        <v>5826</v>
      </c>
      <c r="CH202" s="366">
        <v>6430</v>
      </c>
      <c r="CI202" s="3"/>
      <c r="CJ202" s="759">
        <v>2608</v>
      </c>
      <c r="CK202" s="759">
        <v>2975</v>
      </c>
      <c r="CL202" s="759">
        <v>3446</v>
      </c>
      <c r="CM202" s="759">
        <v>4477</v>
      </c>
      <c r="CN202" s="759">
        <v>4878</v>
      </c>
      <c r="CR202" s="133" t="s">
        <v>972</v>
      </c>
      <c r="CS202" s="226">
        <v>532060</v>
      </c>
      <c r="CT202" s="226">
        <v>613460</v>
      </c>
      <c r="CU202" s="226">
        <v>740000</v>
      </c>
      <c r="CV202" s="226">
        <v>947200</v>
      </c>
      <c r="CW202" s="226">
        <v>1055240</v>
      </c>
      <c r="CX202" s="13"/>
      <c r="CY202" s="133" t="s">
        <v>972</v>
      </c>
      <c r="CZ202" s="226">
        <v>532060</v>
      </c>
      <c r="DA202" s="226">
        <v>613460</v>
      </c>
      <c r="DB202" s="226">
        <v>740000</v>
      </c>
      <c r="DC202" s="226">
        <v>947200</v>
      </c>
      <c r="DD202" s="226">
        <v>1055240</v>
      </c>
    </row>
    <row r="203" spans="1:108" ht="13" customHeight="1">
      <c r="A203" s="2" t="s">
        <v>987</v>
      </c>
      <c r="C203" s="2" t="s">
        <v>988</v>
      </c>
      <c r="BC203" t="s">
        <v>989</v>
      </c>
      <c r="BN203" s="133" t="s">
        <v>990</v>
      </c>
      <c r="BO203" s="13"/>
      <c r="BP203" s="27"/>
      <c r="BQ203" s="27"/>
      <c r="BR203" s="27"/>
      <c r="BS203">
        <v>7</v>
      </c>
      <c r="BT203" s="27" t="s">
        <v>991</v>
      </c>
      <c r="CB203" s="252" t="s">
        <v>978</v>
      </c>
      <c r="CC203" s="364">
        <v>3462</v>
      </c>
      <c r="CD203" s="365">
        <v>3708</v>
      </c>
      <c r="CE203" s="364">
        <v>4450</v>
      </c>
      <c r="CF203" s="365">
        <v>5142</v>
      </c>
      <c r="CG203" s="365">
        <v>5734</v>
      </c>
      <c r="CH203" s="366">
        <v>6330</v>
      </c>
      <c r="CI203" s="3"/>
      <c r="CJ203" s="759">
        <v>3056</v>
      </c>
      <c r="CK203" s="759">
        <v>3221</v>
      </c>
      <c r="CL203" s="759">
        <v>4223</v>
      </c>
      <c r="CM203" s="759">
        <v>5256</v>
      </c>
      <c r="CN203" s="759">
        <v>5605</v>
      </c>
      <c r="CR203" s="133" t="s">
        <v>977</v>
      </c>
      <c r="CS203" s="225">
        <v>404366</v>
      </c>
      <c r="CT203" s="225">
        <v>466230</v>
      </c>
      <c r="CU203" s="225">
        <v>562400</v>
      </c>
      <c r="CV203" s="225">
        <v>719872</v>
      </c>
      <c r="CW203" s="225">
        <v>801982</v>
      </c>
      <c r="CX203" s="13"/>
      <c r="CY203" s="133" t="s">
        <v>977</v>
      </c>
      <c r="CZ203" s="225">
        <v>404366</v>
      </c>
      <c r="DA203" s="225">
        <v>466230</v>
      </c>
      <c r="DB203" s="225">
        <v>562400</v>
      </c>
      <c r="DC203" s="225">
        <v>719872</v>
      </c>
      <c r="DD203" s="225">
        <v>801982</v>
      </c>
    </row>
    <row r="204" spans="1:108" ht="13" customHeight="1">
      <c r="D204" s="1435" t="s">
        <v>992</v>
      </c>
      <c r="E204" s="1435"/>
      <c r="F204" s="1435"/>
      <c r="G204" s="1435"/>
      <c r="H204" s="1435"/>
      <c r="I204" s="1435"/>
      <c r="J204" s="1435"/>
      <c r="K204" s="1435"/>
      <c r="L204" s="1435"/>
      <c r="M204" s="1435"/>
      <c r="P204" s="1495">
        <f>M26</f>
        <v>2475704</v>
      </c>
      <c r="Q204" s="1496"/>
      <c r="R204" s="1496"/>
      <c r="S204" s="1496"/>
      <c r="T204" s="1496"/>
      <c r="U204" s="1496"/>
      <c r="BC204" t="s">
        <v>993</v>
      </c>
      <c r="BN204" s="133" t="s">
        <v>994</v>
      </c>
      <c r="BS204">
        <v>6</v>
      </c>
      <c r="BT204" s="27" t="s">
        <v>995</v>
      </c>
      <c r="BU204" s="13"/>
      <c r="CB204" s="252" t="s">
        <v>983</v>
      </c>
      <c r="CC204" s="364">
        <v>1702</v>
      </c>
      <c r="CD204" s="365">
        <v>1822</v>
      </c>
      <c r="CE204" s="364">
        <v>2190</v>
      </c>
      <c r="CF204" s="365">
        <v>2530</v>
      </c>
      <c r="CG204" s="365">
        <v>2822</v>
      </c>
      <c r="CH204" s="366">
        <v>3114</v>
      </c>
      <c r="CI204" s="3"/>
      <c r="CJ204" s="759">
        <v>1151</v>
      </c>
      <c r="CK204" s="759">
        <v>1229</v>
      </c>
      <c r="CL204" s="759">
        <v>1613</v>
      </c>
      <c r="CM204" s="759">
        <v>2260</v>
      </c>
      <c r="CN204" s="759">
        <v>2709</v>
      </c>
      <c r="CR204" s="133" t="s">
        <v>982</v>
      </c>
      <c r="CS204" s="227">
        <v>319236</v>
      </c>
      <c r="CT204" s="227">
        <v>368076</v>
      </c>
      <c r="CU204" s="227">
        <v>444000</v>
      </c>
      <c r="CV204" s="227">
        <v>568320</v>
      </c>
      <c r="CW204" s="227">
        <v>633144</v>
      </c>
      <c r="CX204" s="13"/>
      <c r="CY204" s="133" t="s">
        <v>982</v>
      </c>
      <c r="CZ204" s="227">
        <v>319236</v>
      </c>
      <c r="DA204" s="227">
        <v>368076</v>
      </c>
      <c r="DB204" s="227">
        <v>444000</v>
      </c>
      <c r="DC204" s="227">
        <v>568320</v>
      </c>
      <c r="DD204" s="227">
        <v>633144</v>
      </c>
    </row>
    <row r="205" spans="1:108" ht="13" customHeight="1">
      <c r="C205" s="18"/>
      <c r="D205" s="1484" t="s">
        <v>996</v>
      </c>
      <c r="E205" s="1435"/>
      <c r="F205" s="1435"/>
      <c r="G205" s="1435"/>
      <c r="H205" s="1435"/>
      <c r="I205" s="1435"/>
      <c r="J205" s="1435"/>
      <c r="K205" s="1435"/>
      <c r="L205" s="1435"/>
      <c r="M205" s="1435"/>
      <c r="P205" s="1496">
        <f>M27</f>
        <v>0</v>
      </c>
      <c r="Q205" s="1496"/>
      <c r="R205" s="1496"/>
      <c r="S205" s="1496"/>
      <c r="T205" s="1496"/>
      <c r="U205" s="1496"/>
      <c r="V205" s="19"/>
      <c r="W205" s="3" t="s">
        <v>997</v>
      </c>
      <c r="Z205" s="1481" t="s">
        <v>998</v>
      </c>
      <c r="AA205" s="1481"/>
      <c r="AB205" s="1481"/>
      <c r="AC205" s="1481"/>
      <c r="AD205" s="1481"/>
      <c r="AE205" s="1481"/>
      <c r="AF205" s="1481"/>
      <c r="AG205" s="1481"/>
      <c r="AH205" s="1481"/>
      <c r="AI205" s="1481"/>
      <c r="AJ205" s="1481"/>
      <c r="AK205" s="1481"/>
      <c r="AL205" s="1481"/>
      <c r="AM205" s="1481"/>
      <c r="AN205" s="1481"/>
      <c r="AP205" s="1357"/>
      <c r="AQ205" s="1357"/>
      <c r="BC205" t="s">
        <v>999</v>
      </c>
      <c r="BN205" s="133" t="s">
        <v>1000</v>
      </c>
      <c r="BS205">
        <v>4</v>
      </c>
      <c r="BT205" s="27" t="s">
        <v>1001</v>
      </c>
      <c r="BU205" s="13"/>
      <c r="CB205" s="252" t="s">
        <v>986</v>
      </c>
      <c r="CC205" s="364">
        <v>1644</v>
      </c>
      <c r="CD205" s="365">
        <v>1762</v>
      </c>
      <c r="CE205" s="364">
        <v>2114</v>
      </c>
      <c r="CF205" s="365">
        <v>2442</v>
      </c>
      <c r="CG205" s="365">
        <v>2724</v>
      </c>
      <c r="CH205" s="366">
        <v>3006</v>
      </c>
      <c r="CI205" s="3"/>
      <c r="CJ205" s="759">
        <v>1003</v>
      </c>
      <c r="CK205" s="759">
        <v>1101</v>
      </c>
      <c r="CL205" s="759">
        <v>1445</v>
      </c>
      <c r="CM205" s="759">
        <v>2025</v>
      </c>
      <c r="CN205" s="759">
        <v>2396</v>
      </c>
      <c r="CR205" s="133" t="s">
        <v>985</v>
      </c>
      <c r="CS205" s="225">
        <v>352022</v>
      </c>
      <c r="CT205" s="225">
        <v>405878</v>
      </c>
      <c r="CU205" s="225">
        <v>489600</v>
      </c>
      <c r="CV205" s="225">
        <v>626688</v>
      </c>
      <c r="CW205" s="225">
        <v>698170</v>
      </c>
      <c r="CX205" s="13"/>
      <c r="CY205" s="133" t="s">
        <v>985</v>
      </c>
      <c r="CZ205" s="225">
        <v>352022</v>
      </c>
      <c r="DA205" s="225">
        <v>405878</v>
      </c>
      <c r="DB205" s="225">
        <v>489600</v>
      </c>
      <c r="DC205" s="225">
        <v>626688</v>
      </c>
      <c r="DD205" s="225">
        <v>698170</v>
      </c>
    </row>
    <row r="206" spans="1:108" ht="13" customHeight="1">
      <c r="D206" s="24"/>
      <c r="E206" s="24"/>
      <c r="F206" s="24"/>
      <c r="G206" s="24"/>
      <c r="H206" s="24"/>
      <c r="I206" s="24"/>
      <c r="J206" s="24"/>
      <c r="K206" s="24"/>
      <c r="L206" s="24"/>
      <c r="M206" s="24"/>
      <c r="N206" s="24"/>
      <c r="O206" s="24"/>
      <c r="P206" s="24"/>
      <c r="BC206" t="s">
        <v>1002</v>
      </c>
      <c r="BN206" s="133" t="s">
        <v>1003</v>
      </c>
      <c r="BS206">
        <v>5</v>
      </c>
      <c r="BT206" s="27" t="s">
        <v>1004</v>
      </c>
      <c r="BU206" s="13"/>
      <c r="CB206" s="252" t="s">
        <v>991</v>
      </c>
      <c r="CC206" s="364">
        <v>1644</v>
      </c>
      <c r="CD206" s="365">
        <v>1762</v>
      </c>
      <c r="CE206" s="364">
        <v>2114</v>
      </c>
      <c r="CF206" s="365">
        <v>2442</v>
      </c>
      <c r="CG206" s="365">
        <v>2724</v>
      </c>
      <c r="CH206" s="366">
        <v>3006</v>
      </c>
      <c r="CI206" s="3"/>
      <c r="CJ206" s="759">
        <v>924</v>
      </c>
      <c r="CK206" s="759">
        <v>930</v>
      </c>
      <c r="CL206" s="759">
        <v>1201</v>
      </c>
      <c r="CM206" s="759">
        <v>1683</v>
      </c>
      <c r="CN206" s="759">
        <v>1834</v>
      </c>
      <c r="CR206" s="133" t="s">
        <v>990</v>
      </c>
      <c r="CS206" s="227">
        <v>352022</v>
      </c>
      <c r="CT206" s="227">
        <v>405878</v>
      </c>
      <c r="CU206" s="227">
        <v>489600</v>
      </c>
      <c r="CV206" s="227">
        <v>626688</v>
      </c>
      <c r="CW206" s="227">
        <v>698170</v>
      </c>
      <c r="CX206" s="13"/>
      <c r="CY206" s="133" t="s">
        <v>990</v>
      </c>
      <c r="CZ206" s="227">
        <v>352022</v>
      </c>
      <c r="DA206" s="227">
        <v>405878</v>
      </c>
      <c r="DB206" s="227">
        <v>489600</v>
      </c>
      <c r="DC206" s="227">
        <v>626688</v>
      </c>
      <c r="DD206" s="227">
        <v>698170</v>
      </c>
    </row>
    <row r="207" spans="1:108" ht="13" customHeight="1">
      <c r="A207" s="2" t="s">
        <v>1005</v>
      </c>
      <c r="C207" s="2" t="s">
        <v>1006</v>
      </c>
      <c r="BC207" s="339" t="s">
        <v>1007</v>
      </c>
      <c r="BN207" s="133" t="s">
        <v>1008</v>
      </c>
      <c r="BS207">
        <v>6</v>
      </c>
      <c r="BT207" s="27" t="s">
        <v>1009</v>
      </c>
      <c r="CB207" s="252" t="s">
        <v>995</v>
      </c>
      <c r="CC207" s="364">
        <v>2404</v>
      </c>
      <c r="CD207" s="365">
        <v>2576</v>
      </c>
      <c r="CE207" s="364">
        <v>3092</v>
      </c>
      <c r="CF207" s="365">
        <v>3572</v>
      </c>
      <c r="CG207" s="365">
        <v>3984</v>
      </c>
      <c r="CH207" s="366">
        <v>4396</v>
      </c>
      <c r="CI207" s="3"/>
      <c r="CJ207" s="759">
        <v>1724</v>
      </c>
      <c r="CK207" s="759">
        <v>1894</v>
      </c>
      <c r="CL207" s="759">
        <v>2420</v>
      </c>
      <c r="CM207" s="759">
        <v>3234</v>
      </c>
      <c r="CN207" s="759">
        <v>3663</v>
      </c>
      <c r="CR207" s="133" t="s">
        <v>994</v>
      </c>
      <c r="CS207" s="225">
        <v>384234</v>
      </c>
      <c r="CT207" s="225">
        <v>443018</v>
      </c>
      <c r="CU207" s="225">
        <v>534400</v>
      </c>
      <c r="CV207" s="225">
        <v>684032</v>
      </c>
      <c r="CW207" s="225">
        <v>762054</v>
      </c>
      <c r="CX207" s="13"/>
      <c r="CY207" s="133" t="s">
        <v>994</v>
      </c>
      <c r="CZ207" s="225">
        <v>384234</v>
      </c>
      <c r="DA207" s="225">
        <v>443018</v>
      </c>
      <c r="DB207" s="225">
        <v>534400</v>
      </c>
      <c r="DC207" s="225">
        <v>684032</v>
      </c>
      <c r="DD207" s="225">
        <v>762054</v>
      </c>
    </row>
    <row r="208" spans="1:108" ht="13" customHeight="1">
      <c r="C208" s="18"/>
      <c r="D208" s="1472" t="s">
        <v>1010</v>
      </c>
      <c r="E208" s="1472"/>
      <c r="F208" s="1472"/>
      <c r="G208" s="1472"/>
      <c r="H208" s="1472"/>
      <c r="I208" s="1472"/>
      <c r="J208" s="1472"/>
      <c r="K208" s="1472"/>
      <c r="L208" s="1472"/>
      <c r="M208" s="1472"/>
      <c r="BC208" s="3" t="s">
        <v>1011</v>
      </c>
      <c r="BN208" s="133" t="s">
        <v>1012</v>
      </c>
      <c r="BS208">
        <v>7</v>
      </c>
      <c r="BT208" s="27" t="s">
        <v>1013</v>
      </c>
      <c r="CB208" s="252" t="s">
        <v>1001</v>
      </c>
      <c r="CC208" s="364">
        <v>2642</v>
      </c>
      <c r="CD208" s="365">
        <v>2830</v>
      </c>
      <c r="CE208" s="364">
        <v>3396</v>
      </c>
      <c r="CF208" s="365">
        <v>3926</v>
      </c>
      <c r="CG208" s="365">
        <v>4380</v>
      </c>
      <c r="CH208" s="366">
        <v>4832</v>
      </c>
      <c r="CI208" s="3"/>
      <c r="CJ208" s="759">
        <v>1879</v>
      </c>
      <c r="CK208" s="759">
        <v>2089</v>
      </c>
      <c r="CL208" s="759">
        <v>2740</v>
      </c>
      <c r="CM208" s="759">
        <v>3743</v>
      </c>
      <c r="CN208" s="759">
        <v>3960</v>
      </c>
      <c r="CR208" s="133" t="s">
        <v>1000</v>
      </c>
      <c r="CS208" s="227">
        <v>384234</v>
      </c>
      <c r="CT208" s="227">
        <v>443018</v>
      </c>
      <c r="CU208" s="227">
        <v>534400</v>
      </c>
      <c r="CV208" s="227">
        <v>684032</v>
      </c>
      <c r="CW208" s="227">
        <v>762054</v>
      </c>
      <c r="CX208" s="13"/>
      <c r="CY208" s="133" t="s">
        <v>1000</v>
      </c>
      <c r="CZ208" s="227">
        <v>384234</v>
      </c>
      <c r="DA208" s="227">
        <v>443018</v>
      </c>
      <c r="DB208" s="227">
        <v>534400</v>
      </c>
      <c r="DC208" s="227">
        <v>684032</v>
      </c>
      <c r="DD208" s="227">
        <v>762054</v>
      </c>
    </row>
    <row r="209" spans="1:108" ht="13" customHeight="1">
      <c r="BC209" t="s">
        <v>1014</v>
      </c>
      <c r="BN209" s="133" t="s">
        <v>1015</v>
      </c>
      <c r="BS209">
        <v>7</v>
      </c>
      <c r="BT209" s="27" t="s">
        <v>1016</v>
      </c>
      <c r="CB209" s="252" t="s">
        <v>1004</v>
      </c>
      <c r="CC209" s="364">
        <v>1724</v>
      </c>
      <c r="CD209" s="365">
        <v>1846</v>
      </c>
      <c r="CE209" s="364">
        <v>2216</v>
      </c>
      <c r="CF209" s="365">
        <v>2560</v>
      </c>
      <c r="CG209" s="365">
        <v>2856</v>
      </c>
      <c r="CH209" s="366">
        <v>3152</v>
      </c>
      <c r="CI209" s="3"/>
      <c r="CJ209" s="759">
        <v>1130</v>
      </c>
      <c r="CK209" s="759">
        <v>1209</v>
      </c>
      <c r="CL209" s="759">
        <v>1566</v>
      </c>
      <c r="CM209" s="759">
        <v>2194</v>
      </c>
      <c r="CN209" s="759">
        <v>2549</v>
      </c>
      <c r="CR209" s="133" t="s">
        <v>1003</v>
      </c>
      <c r="CS209" s="225">
        <v>307732</v>
      </c>
      <c r="CT209" s="225">
        <v>354812</v>
      </c>
      <c r="CU209" s="225">
        <v>428000</v>
      </c>
      <c r="CV209" s="225">
        <v>547840</v>
      </c>
      <c r="CW209" s="225">
        <v>610328</v>
      </c>
      <c r="CX209" s="13"/>
      <c r="CY209" s="133" t="s">
        <v>1003</v>
      </c>
      <c r="CZ209" s="225">
        <v>307732</v>
      </c>
      <c r="DA209" s="225">
        <v>354812</v>
      </c>
      <c r="DB209" s="225">
        <v>428000</v>
      </c>
      <c r="DC209" s="225">
        <v>547840</v>
      </c>
      <c r="DD209" s="225">
        <v>610328</v>
      </c>
    </row>
    <row r="210" spans="1:108" ht="13" customHeight="1">
      <c r="A210" s="2" t="s">
        <v>1017</v>
      </c>
      <c r="C210" s="2" t="s">
        <v>1018</v>
      </c>
      <c r="BC210" t="s">
        <v>1019</v>
      </c>
      <c r="BN210" s="133" t="s">
        <v>1020</v>
      </c>
      <c r="BS210">
        <v>5</v>
      </c>
      <c r="BT210" s="27" t="s">
        <v>1021</v>
      </c>
      <c r="CB210" s="252" t="s">
        <v>1009</v>
      </c>
      <c r="CC210" s="364">
        <v>1680</v>
      </c>
      <c r="CD210" s="365">
        <v>1800</v>
      </c>
      <c r="CE210" s="364">
        <v>2160</v>
      </c>
      <c r="CF210" s="365">
        <v>2496</v>
      </c>
      <c r="CG210" s="365">
        <v>2784</v>
      </c>
      <c r="CH210" s="366">
        <v>3072</v>
      </c>
      <c r="CI210" s="3"/>
      <c r="CJ210" s="759">
        <v>1195</v>
      </c>
      <c r="CK210" s="759">
        <v>1197</v>
      </c>
      <c r="CL210" s="759">
        <v>1522</v>
      </c>
      <c r="CM210" s="759">
        <v>2133</v>
      </c>
      <c r="CN210" s="759">
        <v>2556</v>
      </c>
      <c r="CR210" s="133" t="s">
        <v>1008</v>
      </c>
      <c r="CS210" s="227">
        <v>331890</v>
      </c>
      <c r="CT210" s="227">
        <v>382666</v>
      </c>
      <c r="CU210" s="227">
        <v>461600</v>
      </c>
      <c r="CV210" s="227">
        <v>590848</v>
      </c>
      <c r="CW210" s="227">
        <v>658242</v>
      </c>
      <c r="CX210" s="13"/>
      <c r="CY210" s="133" t="s">
        <v>1008</v>
      </c>
      <c r="CZ210" s="227">
        <v>331890</v>
      </c>
      <c r="DA210" s="227">
        <v>382666</v>
      </c>
      <c r="DB210" s="227">
        <v>461600</v>
      </c>
      <c r="DC210" s="227">
        <v>590848</v>
      </c>
      <c r="DD210" s="227">
        <v>658242</v>
      </c>
    </row>
    <row r="211" spans="1:108" ht="13" customHeight="1">
      <c r="C211" s="18"/>
      <c r="D211" s="1472" t="s">
        <v>956</v>
      </c>
      <c r="E211" s="1472"/>
      <c r="F211" s="1472"/>
      <c r="G211" s="1472"/>
      <c r="H211" s="1472"/>
      <c r="I211" s="1472"/>
      <c r="J211" s="1472"/>
      <c r="K211" s="1472"/>
      <c r="L211" s="1472"/>
      <c r="M211" s="1472"/>
      <c r="BN211" s="133" t="s">
        <v>1022</v>
      </c>
      <c r="BS211">
        <v>7</v>
      </c>
      <c r="BT211" s="27" t="s">
        <v>1023</v>
      </c>
      <c r="CB211" s="252" t="s">
        <v>1013</v>
      </c>
      <c r="CC211" s="364">
        <v>1644</v>
      </c>
      <c r="CD211" s="365">
        <v>1762</v>
      </c>
      <c r="CE211" s="364">
        <v>2114</v>
      </c>
      <c r="CF211" s="365">
        <v>2442</v>
      </c>
      <c r="CG211" s="365">
        <v>2724</v>
      </c>
      <c r="CH211" s="366">
        <v>3006</v>
      </c>
      <c r="CI211" s="3"/>
      <c r="CJ211" s="759">
        <v>926</v>
      </c>
      <c r="CK211" s="759">
        <v>1030</v>
      </c>
      <c r="CL211" s="759">
        <v>1351</v>
      </c>
      <c r="CM211" s="759">
        <v>1778</v>
      </c>
      <c r="CN211" s="759">
        <v>2229</v>
      </c>
      <c r="CR211" s="133" t="s">
        <v>1012</v>
      </c>
      <c r="CS211" s="225">
        <v>352022</v>
      </c>
      <c r="CT211" s="225">
        <v>405878</v>
      </c>
      <c r="CU211" s="225">
        <v>489600</v>
      </c>
      <c r="CV211" s="225">
        <v>626688</v>
      </c>
      <c r="CW211" s="225">
        <v>698170</v>
      </c>
      <c r="CX211" s="13"/>
      <c r="CY211" s="133" t="s">
        <v>1012</v>
      </c>
      <c r="CZ211" s="225">
        <v>352022</v>
      </c>
      <c r="DA211" s="225">
        <v>405878</v>
      </c>
      <c r="DB211" s="225">
        <v>489600</v>
      </c>
      <c r="DC211" s="225">
        <v>626688</v>
      </c>
      <c r="DD211" s="225">
        <v>698170</v>
      </c>
    </row>
    <row r="212" spans="1:108" ht="13" customHeight="1">
      <c r="C212" s="18"/>
      <c r="D212" s="3" t="s">
        <v>1024</v>
      </c>
      <c r="Q212" s="1367"/>
      <c r="R212" s="1367"/>
      <c r="T212" s="1508">
        <f>IFERROR(Q212/AG440,0)</f>
        <v>0</v>
      </c>
      <c r="U212" s="1509"/>
      <c r="BC212" t="s">
        <v>309</v>
      </c>
      <c r="BI212" t="s">
        <v>998</v>
      </c>
      <c r="BN212" s="133" t="s">
        <v>1025</v>
      </c>
      <c r="BS212">
        <v>4</v>
      </c>
      <c r="BT212" s="27" t="s">
        <v>1026</v>
      </c>
      <c r="CB212" s="252" t="s">
        <v>1016</v>
      </c>
      <c r="CC212" s="364">
        <v>1644</v>
      </c>
      <c r="CD212" s="365">
        <v>1762</v>
      </c>
      <c r="CE212" s="364">
        <v>2114</v>
      </c>
      <c r="CF212" s="365">
        <v>2442</v>
      </c>
      <c r="CG212" s="365">
        <v>2724</v>
      </c>
      <c r="CH212" s="366">
        <v>3006</v>
      </c>
      <c r="CI212" s="3"/>
      <c r="CJ212" s="759">
        <v>777</v>
      </c>
      <c r="CK212" s="759">
        <v>854</v>
      </c>
      <c r="CL212" s="759">
        <v>1120</v>
      </c>
      <c r="CM212" s="759">
        <v>1569</v>
      </c>
      <c r="CN212" s="759">
        <v>1708</v>
      </c>
      <c r="CR212" s="133" t="s">
        <v>1015</v>
      </c>
      <c r="CS212" s="227">
        <v>352022</v>
      </c>
      <c r="CT212" s="227">
        <v>405878</v>
      </c>
      <c r="CU212" s="227">
        <v>489600</v>
      </c>
      <c r="CV212" s="227">
        <v>626688</v>
      </c>
      <c r="CW212" s="227">
        <v>698170</v>
      </c>
      <c r="CX212" s="13"/>
      <c r="CY212" s="133" t="s">
        <v>1015</v>
      </c>
      <c r="CZ212" s="227">
        <v>352022</v>
      </c>
      <c r="DA212" s="227">
        <v>405878</v>
      </c>
      <c r="DB212" s="227">
        <v>489600</v>
      </c>
      <c r="DC212" s="227">
        <v>626688</v>
      </c>
      <c r="DD212" s="227">
        <v>698170</v>
      </c>
    </row>
    <row r="213" spans="1:108" ht="13" customHeight="1">
      <c r="D213" s="1033" t="s">
        <v>1027</v>
      </c>
      <c r="BC213" t="s">
        <v>1028</v>
      </c>
      <c r="BI213" s="3" t="s">
        <v>1029</v>
      </c>
      <c r="BN213" s="133" t="s">
        <v>1030</v>
      </c>
      <c r="BS213">
        <v>6</v>
      </c>
      <c r="BT213" s="27" t="s">
        <v>1031</v>
      </c>
      <c r="CB213" s="252" t="s">
        <v>1021</v>
      </c>
      <c r="CC213" s="364">
        <v>1644</v>
      </c>
      <c r="CD213" s="365">
        <v>1762</v>
      </c>
      <c r="CE213" s="364">
        <v>2114</v>
      </c>
      <c r="CF213" s="365">
        <v>2442</v>
      </c>
      <c r="CG213" s="365">
        <v>2724</v>
      </c>
      <c r="CH213" s="366">
        <v>3006</v>
      </c>
      <c r="CI213" s="3"/>
      <c r="CJ213" s="759">
        <v>1082</v>
      </c>
      <c r="CK213" s="759">
        <v>1089</v>
      </c>
      <c r="CL213" s="759">
        <v>1429</v>
      </c>
      <c r="CM213" s="759">
        <v>1967</v>
      </c>
      <c r="CN213" s="759">
        <v>2272</v>
      </c>
      <c r="CR213" s="133" t="s">
        <v>1020</v>
      </c>
      <c r="CS213" s="225">
        <v>307732</v>
      </c>
      <c r="CT213" s="225">
        <v>354812</v>
      </c>
      <c r="CU213" s="225">
        <v>428000</v>
      </c>
      <c r="CV213" s="225">
        <v>547840</v>
      </c>
      <c r="CW213" s="225">
        <v>610328</v>
      </c>
      <c r="CX213" s="13"/>
      <c r="CY213" s="133" t="s">
        <v>1020</v>
      </c>
      <c r="CZ213" s="225">
        <v>307732</v>
      </c>
      <c r="DA213" s="225">
        <v>354812</v>
      </c>
      <c r="DB213" s="225">
        <v>428000</v>
      </c>
      <c r="DC213" s="225">
        <v>547840</v>
      </c>
      <c r="DD213" s="225">
        <v>610328</v>
      </c>
    </row>
    <row r="214" spans="1:108" ht="13" customHeight="1">
      <c r="D214" s="1491" t="s">
        <v>807</v>
      </c>
      <c r="E214" s="1491"/>
      <c r="F214" s="1491"/>
      <c r="G214" s="1491"/>
      <c r="H214" s="1491"/>
      <c r="I214" s="1491"/>
      <c r="J214" s="1491"/>
      <c r="K214" s="1491"/>
      <c r="L214" s="1491"/>
      <c r="M214" s="1491"/>
      <c r="N214" s="1491"/>
      <c r="O214" s="1491"/>
      <c r="P214" s="1491"/>
      <c r="Q214" s="1491"/>
      <c r="R214" s="1491"/>
      <c r="S214" s="1491"/>
      <c r="T214" s="1491"/>
      <c r="U214" s="1491"/>
      <c r="V214" s="1491"/>
      <c r="W214" s="1491"/>
      <c r="X214" s="1491"/>
      <c r="Y214" s="1491"/>
      <c r="Z214" s="1491"/>
      <c r="AU214" s="18"/>
      <c r="AV214" s="18"/>
      <c r="AW214" s="18"/>
      <c r="AX214" s="18"/>
      <c r="AY214" s="18"/>
      <c r="BC214" t="s">
        <v>1032</v>
      </c>
      <c r="BI214" s="3" t="s">
        <v>1033</v>
      </c>
      <c r="BN214" s="133" t="s">
        <v>1034</v>
      </c>
      <c r="BS214">
        <v>6</v>
      </c>
      <c r="BT214" s="27" t="s">
        <v>1035</v>
      </c>
      <c r="CB214" s="252" t="s">
        <v>1023</v>
      </c>
      <c r="CC214" s="364">
        <v>1780</v>
      </c>
      <c r="CD214" s="365">
        <v>1906</v>
      </c>
      <c r="CE214" s="364">
        <v>2286</v>
      </c>
      <c r="CF214" s="365">
        <v>2642</v>
      </c>
      <c r="CG214" s="365">
        <v>2946</v>
      </c>
      <c r="CH214" s="366">
        <v>3252</v>
      </c>
      <c r="CI214" s="3"/>
      <c r="CJ214" s="759">
        <v>987</v>
      </c>
      <c r="CK214" s="759">
        <v>1123</v>
      </c>
      <c r="CL214" s="759">
        <v>1439</v>
      </c>
      <c r="CM214" s="759">
        <v>1891</v>
      </c>
      <c r="CN214" s="759">
        <v>2416</v>
      </c>
      <c r="CR214" s="133" t="s">
        <v>1022</v>
      </c>
      <c r="CS214" s="227">
        <v>352022</v>
      </c>
      <c r="CT214" s="227">
        <v>405878</v>
      </c>
      <c r="CU214" s="227">
        <v>489600</v>
      </c>
      <c r="CV214" s="227">
        <v>626688</v>
      </c>
      <c r="CW214" s="227">
        <v>698170</v>
      </c>
      <c r="CX214" s="13"/>
      <c r="CY214" s="133" t="s">
        <v>1022</v>
      </c>
      <c r="CZ214" s="227">
        <v>352022</v>
      </c>
      <c r="DA214" s="227">
        <v>405878</v>
      </c>
      <c r="DB214" s="227">
        <v>489600</v>
      </c>
      <c r="DC214" s="227">
        <v>626688</v>
      </c>
      <c r="DD214" s="227">
        <v>698170</v>
      </c>
    </row>
    <row r="215" spans="1:108" ht="13" customHeight="1">
      <c r="D215" s="3" t="s">
        <v>1036</v>
      </c>
      <c r="Z215" s="32"/>
      <c r="AB215" s="1469"/>
      <c r="AC215" s="1469"/>
      <c r="AD215" s="1469"/>
      <c r="AE215" s="1469"/>
      <c r="AF215" s="1469"/>
      <c r="AG215" s="1469"/>
      <c r="AH215" s="1469"/>
      <c r="AI215" s="1469"/>
      <c r="AJ215" s="1469"/>
      <c r="AK215" s="1469"/>
      <c r="AL215" s="1469"/>
      <c r="AM215" s="18"/>
      <c r="AN215" s="18"/>
      <c r="AO215" s="18"/>
      <c r="AP215" s="18"/>
      <c r="AQ215" s="18"/>
      <c r="AR215" s="18"/>
      <c r="AS215" s="18"/>
      <c r="AT215" s="18"/>
      <c r="AU215" s="18"/>
      <c r="AV215" s="18"/>
      <c r="AW215" s="18"/>
      <c r="AX215" s="18"/>
      <c r="AY215" s="18"/>
      <c r="BC215" t="s">
        <v>1037</v>
      </c>
      <c r="BI215" s="3" t="s">
        <v>1038</v>
      </c>
      <c r="CB215" s="252" t="s">
        <v>1026</v>
      </c>
      <c r="CC215" s="367">
        <v>2620</v>
      </c>
      <c r="CD215" s="368">
        <v>2806</v>
      </c>
      <c r="CE215" s="367">
        <v>3370</v>
      </c>
      <c r="CF215" s="368">
        <v>3892</v>
      </c>
      <c r="CG215" s="368">
        <v>4342</v>
      </c>
      <c r="CH215" s="369">
        <v>4792</v>
      </c>
      <c r="CI215" s="3"/>
      <c r="CJ215" s="759">
        <v>1871</v>
      </c>
      <c r="CK215" s="759">
        <v>2147</v>
      </c>
      <c r="CL215" s="759">
        <v>2569</v>
      </c>
      <c r="CM215" s="759">
        <v>3505</v>
      </c>
      <c r="CN215" s="759">
        <v>4080</v>
      </c>
      <c r="CR215" s="133" t="s">
        <v>1025</v>
      </c>
      <c r="CS215" s="225">
        <v>404366</v>
      </c>
      <c r="CT215" s="225">
        <v>466230</v>
      </c>
      <c r="CU215" s="225">
        <v>562400</v>
      </c>
      <c r="CV215" s="225">
        <v>719872</v>
      </c>
      <c r="CW215" s="225">
        <v>801982</v>
      </c>
      <c r="CX215" s="13"/>
      <c r="CY215" s="133" t="s">
        <v>1025</v>
      </c>
      <c r="CZ215" s="225">
        <v>404366</v>
      </c>
      <c r="DA215" s="225">
        <v>466230</v>
      </c>
      <c r="DB215" s="225">
        <v>562400</v>
      </c>
      <c r="DC215" s="225">
        <v>719872</v>
      </c>
      <c r="DD215" s="225">
        <v>801982</v>
      </c>
    </row>
    <row r="216" spans="1:108" ht="13" customHeight="1">
      <c r="D216" s="3" t="s">
        <v>1039</v>
      </c>
      <c r="Z216" s="32"/>
      <c r="AB216" s="1469"/>
      <c r="AC216" s="1469"/>
      <c r="AD216" s="1469"/>
      <c r="AE216" s="1469"/>
      <c r="AF216" s="1469"/>
      <c r="AG216" s="1469"/>
      <c r="AH216" s="1469"/>
      <c r="AI216" s="1469"/>
      <c r="AJ216" s="1469"/>
      <c r="AK216" s="1469"/>
      <c r="AL216" s="1469"/>
      <c r="AM216" s="18"/>
      <c r="AN216" s="18"/>
      <c r="AO216" s="18"/>
      <c r="AP216" s="18"/>
      <c r="AQ216" s="18"/>
      <c r="AR216" s="18"/>
      <c r="AS216" s="18"/>
      <c r="AT216" s="18"/>
      <c r="AU216" s="18"/>
      <c r="AV216" s="18"/>
      <c r="AW216" s="18"/>
      <c r="AX216" s="18"/>
      <c r="AY216" s="18"/>
      <c r="BC216" t="s">
        <v>1040</v>
      </c>
      <c r="BI216" t="s">
        <v>1041</v>
      </c>
      <c r="CB216" s="252" t="s">
        <v>1031</v>
      </c>
      <c r="CC216" s="370">
        <v>2204</v>
      </c>
      <c r="CD216" s="371">
        <v>2362</v>
      </c>
      <c r="CE216" s="370">
        <v>2832</v>
      </c>
      <c r="CF216" s="371">
        <v>3272</v>
      </c>
      <c r="CG216" s="371">
        <v>3652</v>
      </c>
      <c r="CH216" s="372">
        <v>4030</v>
      </c>
      <c r="CI216" s="3"/>
      <c r="CJ216" s="759">
        <v>1602</v>
      </c>
      <c r="CK216" s="759">
        <v>1613</v>
      </c>
      <c r="CL216" s="759">
        <v>2116</v>
      </c>
      <c r="CM216" s="759">
        <v>2944</v>
      </c>
      <c r="CN216" s="759">
        <v>3299</v>
      </c>
      <c r="CR216" s="133" t="s">
        <v>1030</v>
      </c>
      <c r="CS216" s="227">
        <v>331890</v>
      </c>
      <c r="CT216" s="227">
        <v>382666</v>
      </c>
      <c r="CU216" s="227">
        <v>461600</v>
      </c>
      <c r="CV216" s="227">
        <v>590848</v>
      </c>
      <c r="CW216" s="227">
        <v>658242</v>
      </c>
      <c r="CX216" s="13"/>
      <c r="CY216" s="133" t="s">
        <v>1030</v>
      </c>
      <c r="CZ216" s="227">
        <v>331890</v>
      </c>
      <c r="DA216" s="227">
        <v>382666</v>
      </c>
      <c r="DB216" s="227">
        <v>461600</v>
      </c>
      <c r="DC216" s="227">
        <v>590848</v>
      </c>
      <c r="DD216" s="227">
        <v>658242</v>
      </c>
    </row>
    <row r="217" spans="1:108" ht="13"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1042</v>
      </c>
      <c r="BI217" t="s">
        <v>1043</v>
      </c>
      <c r="CB217" s="252" t="s">
        <v>1035</v>
      </c>
      <c r="CC217" s="373">
        <v>1680</v>
      </c>
      <c r="CD217" s="374">
        <v>1800</v>
      </c>
      <c r="CE217" s="373">
        <v>2160</v>
      </c>
      <c r="CF217" s="374">
        <v>2496</v>
      </c>
      <c r="CG217" s="374">
        <v>2784</v>
      </c>
      <c r="CH217" s="375">
        <v>3072</v>
      </c>
      <c r="CI217" s="3"/>
      <c r="CJ217" s="759">
        <v>1195</v>
      </c>
      <c r="CK217" s="759">
        <v>1197</v>
      </c>
      <c r="CL217" s="759">
        <v>1522</v>
      </c>
      <c r="CM217" s="759">
        <v>2133</v>
      </c>
      <c r="CN217" s="759">
        <v>2556</v>
      </c>
      <c r="CR217" s="133" t="s">
        <v>1034</v>
      </c>
      <c r="CS217" s="225">
        <v>331890</v>
      </c>
      <c r="CT217" s="225">
        <v>382666</v>
      </c>
      <c r="CU217" s="225">
        <v>461600</v>
      </c>
      <c r="CV217" s="225">
        <v>590848</v>
      </c>
      <c r="CW217" s="225">
        <v>658242</v>
      </c>
      <c r="CX217" s="13"/>
      <c r="CY217" s="133" t="s">
        <v>1034</v>
      </c>
      <c r="CZ217" s="225">
        <v>331890</v>
      </c>
      <c r="DA217" s="225">
        <v>382666</v>
      </c>
      <c r="DB217" s="225">
        <v>461600</v>
      </c>
      <c r="DC217" s="225">
        <v>590848</v>
      </c>
      <c r="DD217" s="225">
        <v>658242</v>
      </c>
    </row>
    <row r="218" spans="1:108" ht="13" customHeight="1">
      <c r="A218" s="2" t="s">
        <v>1044</v>
      </c>
      <c r="C218" s="2" t="s">
        <v>1045</v>
      </c>
      <c r="D218" s="19"/>
      <c r="AC218" s="2" t="s">
        <v>1046</v>
      </c>
      <c r="BC218" t="s">
        <v>1047</v>
      </c>
    </row>
    <row r="219" spans="1:108" ht="13" customHeight="1">
      <c r="A219" s="2"/>
      <c r="C219" s="2"/>
      <c r="D219" s="3" t="s">
        <v>1048</v>
      </c>
      <c r="AZ219" s="3"/>
      <c r="BA219" s="3"/>
      <c r="BC219" t="s">
        <v>1049</v>
      </c>
    </row>
    <row r="220" spans="1:108" ht="13" customHeight="1">
      <c r="A220" s="2"/>
      <c r="C220" s="2"/>
      <c r="D220" s="1472" t="s">
        <v>1014</v>
      </c>
      <c r="E220" s="1472"/>
      <c r="F220" s="1472"/>
      <c r="G220" s="1472"/>
      <c r="H220" s="1472"/>
      <c r="I220" s="1472"/>
      <c r="J220" s="1472"/>
      <c r="K220" s="1472"/>
      <c r="L220" s="1472"/>
      <c r="M220" s="1472"/>
      <c r="N220" s="1472"/>
      <c r="O220" s="1472"/>
      <c r="P220" s="1472"/>
      <c r="Q220" s="1472"/>
      <c r="R220" s="1472"/>
      <c r="S220" s="1472"/>
      <c r="T220" s="1472"/>
      <c r="U220" s="1472"/>
      <c r="V220" s="1472"/>
      <c r="W220" s="1472"/>
      <c r="X220" s="1472"/>
      <c r="Y220" s="1472"/>
      <c r="Z220" s="1472"/>
      <c r="AC220" s="1385" t="s">
        <v>795</v>
      </c>
      <c r="AD220" s="1385"/>
      <c r="AE220" s="1385"/>
      <c r="AF220" s="1385"/>
      <c r="AG220" s="1385"/>
      <c r="AH220" s="1385"/>
      <c r="AI220" s="1385"/>
      <c r="AJ220" s="1385"/>
      <c r="AK220" s="1385"/>
      <c r="AL220" s="1385"/>
      <c r="AM220" s="1385"/>
      <c r="AN220" s="1385"/>
      <c r="AO220" s="1385"/>
      <c r="AP220" s="1385"/>
      <c r="AQ220" s="1385"/>
      <c r="BA220" s="3"/>
      <c r="BC220" t="s">
        <v>1050</v>
      </c>
    </row>
    <row r="221" spans="1:108" ht="13" customHeight="1">
      <c r="A221" s="2"/>
      <c r="B221" s="13"/>
      <c r="C221" s="2"/>
      <c r="BA221" s="3"/>
    </row>
    <row r="222" spans="1:108" ht="13" customHeight="1">
      <c r="A222" s="1482" t="s">
        <v>1051</v>
      </c>
      <c r="B222" s="1482"/>
      <c r="C222" s="1482"/>
      <c r="D222" s="1482"/>
      <c r="E222" s="1482"/>
      <c r="F222" s="1482"/>
      <c r="G222" s="1482"/>
      <c r="H222" s="1482"/>
      <c r="I222" s="1482"/>
      <c r="J222" s="1482"/>
      <c r="K222" s="1482"/>
      <c r="L222" s="1482"/>
      <c r="M222" s="1482"/>
      <c r="N222" s="1482"/>
      <c r="O222" s="1482"/>
      <c r="P222" s="1482"/>
      <c r="Q222" s="1482"/>
      <c r="R222" s="1482"/>
      <c r="S222" s="1482"/>
      <c r="T222" s="1482"/>
      <c r="U222" s="1482"/>
      <c r="V222" s="1482"/>
      <c r="W222" s="1482"/>
      <c r="X222" s="1482"/>
      <c r="Y222" s="1482"/>
      <c r="Z222" s="1482"/>
      <c r="AA222" s="1482"/>
      <c r="AB222" s="1482"/>
      <c r="AC222" s="1482"/>
      <c r="AD222" s="1482"/>
      <c r="AE222" s="1482"/>
      <c r="AF222" s="1482"/>
      <c r="AG222" s="1482"/>
      <c r="AH222" s="1482"/>
      <c r="AI222" s="1482"/>
      <c r="AJ222" s="1482"/>
      <c r="AK222" s="1482"/>
      <c r="AL222" s="1482"/>
      <c r="AM222" s="1482"/>
      <c r="AN222" s="1482"/>
      <c r="AO222" s="1482"/>
      <c r="AP222" s="1482"/>
      <c r="AQ222" s="1482"/>
      <c r="AR222" s="1482"/>
      <c r="AS222" s="1482"/>
      <c r="AT222" s="1482"/>
      <c r="AU222" s="70"/>
      <c r="AV222" s="70"/>
      <c r="AW222" s="70"/>
      <c r="AX222" s="70"/>
      <c r="AY222" s="70"/>
      <c r="AZ222" s="3"/>
      <c r="BA222" s="3"/>
      <c r="BP222" s="3"/>
    </row>
    <row r="223" spans="1:108" ht="13" customHeight="1">
      <c r="A223" s="1482"/>
      <c r="B223" s="1482"/>
      <c r="C223" s="1482"/>
      <c r="D223" s="1482"/>
      <c r="E223" s="1482"/>
      <c r="F223" s="1482"/>
      <c r="G223" s="1482"/>
      <c r="H223" s="1482"/>
      <c r="I223" s="1482"/>
      <c r="J223" s="1482"/>
      <c r="K223" s="1482"/>
      <c r="L223" s="1482"/>
      <c r="M223" s="1482"/>
      <c r="N223" s="1482"/>
      <c r="O223" s="1482"/>
      <c r="P223" s="1482"/>
      <c r="Q223" s="1482"/>
      <c r="R223" s="1482"/>
      <c r="S223" s="1482"/>
      <c r="T223" s="1482"/>
      <c r="U223" s="1482"/>
      <c r="V223" s="1482"/>
      <c r="W223" s="1482"/>
      <c r="X223" s="1482"/>
      <c r="Y223" s="1482"/>
      <c r="Z223" s="1482"/>
      <c r="AA223" s="1482"/>
      <c r="AB223" s="1482"/>
      <c r="AC223" s="1482"/>
      <c r="AD223" s="1482"/>
      <c r="AE223" s="1482"/>
      <c r="AF223" s="1482"/>
      <c r="AG223" s="1482"/>
      <c r="AH223" s="1482"/>
      <c r="AI223" s="1482"/>
      <c r="AJ223" s="1482"/>
      <c r="AK223" s="1482"/>
      <c r="AL223" s="1482"/>
      <c r="AM223" s="1482"/>
      <c r="AN223" s="1482"/>
      <c r="AO223" s="1482"/>
      <c r="AP223" s="1482"/>
      <c r="AQ223" s="1482"/>
      <c r="AR223" s="1482"/>
      <c r="AS223" s="1482"/>
      <c r="AT223" s="1482"/>
      <c r="BA223" s="3"/>
      <c r="BB223" s="3"/>
      <c r="BQ223" s="3"/>
    </row>
    <row r="224" spans="1:108" ht="13" customHeight="1">
      <c r="AZ224" s="3"/>
      <c r="BA224" s="3"/>
      <c r="BB224" s="3"/>
      <c r="BQ224" s="3"/>
    </row>
    <row r="225" spans="1:59" ht="13" customHeight="1">
      <c r="A225" s="2" t="s">
        <v>867</v>
      </c>
      <c r="B225" s="2"/>
      <c r="C225" s="2" t="s">
        <v>1052</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3" customHeight="1">
      <c r="B226" s="3"/>
      <c r="D226" s="3" t="s">
        <v>1053</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67" t="s">
        <v>807</v>
      </c>
      <c r="AJ226" s="1367"/>
      <c r="AL226" s="3"/>
      <c r="AM226" s="3"/>
      <c r="AN226" s="3"/>
      <c r="AO226" s="3"/>
      <c r="AP226" s="3"/>
      <c r="AQ226" s="3"/>
      <c r="AR226" s="3"/>
      <c r="AS226" s="3"/>
      <c r="AT226" s="3"/>
      <c r="AU226" s="3"/>
      <c r="AV226" s="3"/>
      <c r="AW226" s="3"/>
      <c r="AX226" s="3"/>
      <c r="AY226" s="3"/>
      <c r="AZ226" s="3"/>
      <c r="BB226" s="135" t="s">
        <v>1054</v>
      </c>
      <c r="BG226" s="165">
        <f>IF(AND(AND($M$249="for profit",$M$257="for profit",$M$265="nonprofit")),2,0)</f>
        <v>0</v>
      </c>
    </row>
    <row r="227" spans="1:59" ht="13" customHeight="1">
      <c r="B227" s="3"/>
      <c r="D227" s="3" t="s">
        <v>1055</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67" t="s">
        <v>842</v>
      </c>
      <c r="AJ227" s="1367"/>
      <c r="AL227" s="3"/>
      <c r="AM227" s="3"/>
      <c r="AN227" s="3"/>
      <c r="AO227" s="3"/>
      <c r="AP227" s="3"/>
      <c r="AQ227" s="3"/>
      <c r="AR227" s="3"/>
      <c r="AS227" s="3"/>
      <c r="AT227" s="3"/>
      <c r="AU227" s="3"/>
      <c r="AV227" s="3"/>
      <c r="AW227" s="3"/>
      <c r="AX227" s="3"/>
      <c r="AY227" s="3"/>
      <c r="BA227" s="3"/>
      <c r="BB227" s="135" t="s">
        <v>1054</v>
      </c>
      <c r="BG227" s="165">
        <f>IF(AND(AND($M$249="for profit",$M$257="nonprofit",$M$265="for profit")),2,0)</f>
        <v>0</v>
      </c>
    </row>
    <row r="228" spans="1:59" ht="13" customHeight="1">
      <c r="B228" s="3"/>
      <c r="D228" s="3" t="s">
        <v>1056</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67" t="s">
        <v>842</v>
      </c>
      <c r="AJ228" s="1367"/>
      <c r="AL228" s="3"/>
      <c r="AM228" s="3"/>
      <c r="AN228" s="3"/>
      <c r="AO228" s="3"/>
      <c r="AP228" s="3"/>
      <c r="AQ228" s="3"/>
      <c r="AR228" s="3"/>
      <c r="AS228" s="3"/>
      <c r="AT228" s="3"/>
      <c r="AU228" s="3"/>
      <c r="AV228" s="3"/>
      <c r="AW228" s="3"/>
      <c r="AX228" s="3"/>
      <c r="AY228" s="3"/>
      <c r="AZ228" s="3"/>
      <c r="BA228" s="3"/>
      <c r="BB228" s="135" t="s">
        <v>1054</v>
      </c>
      <c r="BG228" s="165">
        <f>IF(AND(AND($M$249="nonprofit",$M$257="for profit",$M$265="for profit")),2,0)</f>
        <v>0</v>
      </c>
    </row>
    <row r="229" spans="1:59" ht="13" customHeight="1">
      <c r="B229" s="3"/>
      <c r="D229" s="3" t="s">
        <v>1057</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67" t="s">
        <v>807</v>
      </c>
      <c r="AJ229" s="1367"/>
      <c r="AL229" s="3"/>
      <c r="AM229" s="3"/>
      <c r="AN229" s="3"/>
      <c r="AO229" s="3"/>
      <c r="AP229" s="3"/>
      <c r="AQ229" s="3"/>
      <c r="AR229" s="3"/>
      <c r="AS229" s="3"/>
      <c r="AT229" s="3"/>
      <c r="AU229" s="3"/>
      <c r="AV229" s="3"/>
      <c r="AW229" s="3"/>
      <c r="AX229" s="3"/>
      <c r="AY229" s="3"/>
      <c r="BA229" s="3"/>
      <c r="BB229" s="135" t="s">
        <v>1054</v>
      </c>
      <c r="BG229" s="165">
        <f>IF(AND(AND($M$249="for profit",$M$257="nonprofit",$M$265="(select one)")),2,0)</f>
        <v>0</v>
      </c>
    </row>
    <row r="230" spans="1:59" ht="13"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5" t="s">
        <v>1054</v>
      </c>
      <c r="BG230" s="164">
        <f>IF(AND(AND($M$249="nonprofit",$M$257="for profit",$M$265="(select one)")),2,0)</f>
        <v>0</v>
      </c>
    </row>
    <row r="231" spans="1:59" ht="13" customHeight="1">
      <c r="A231" s="2" t="s">
        <v>908</v>
      </c>
      <c r="B231" s="3"/>
      <c r="C231" s="2" t="s">
        <v>1058</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5"/>
      <c r="BG231" s="135"/>
    </row>
    <row r="232" spans="1:59" ht="13" customHeight="1">
      <c r="D232" s="3" t="s">
        <v>1059</v>
      </c>
      <c r="E232" s="3"/>
      <c r="F232" s="3"/>
      <c r="G232" s="3"/>
      <c r="H232" s="3"/>
      <c r="I232" s="3"/>
      <c r="J232" s="3"/>
      <c r="K232" s="3"/>
      <c r="M232" s="1501" t="str">
        <f>H16</f>
        <v>San Clemente II Housing Partners, L.P.</v>
      </c>
      <c r="N232" s="1501"/>
      <c r="O232" s="1501"/>
      <c r="P232" s="1501"/>
      <c r="Q232" s="1501"/>
      <c r="R232" s="1501"/>
      <c r="S232" s="1501"/>
      <c r="T232" s="1501"/>
      <c r="U232" s="1501"/>
      <c r="V232" s="1501"/>
      <c r="W232" s="1501"/>
      <c r="X232" s="1501"/>
      <c r="Y232" s="1501"/>
      <c r="Z232" s="1501"/>
      <c r="AA232" s="1501"/>
      <c r="AB232" s="1501"/>
      <c r="AC232" s="1501"/>
      <c r="AD232" s="1501"/>
      <c r="AE232" s="1501"/>
      <c r="AF232" s="1501"/>
      <c r="AG232" s="1501"/>
      <c r="AH232" s="1501"/>
      <c r="AI232" s="1501"/>
      <c r="AJ232" s="1501"/>
      <c r="AK232" s="1501"/>
      <c r="AZ232" s="3"/>
      <c r="BA232" s="3"/>
      <c r="BB232" s="136" t="s">
        <v>1054</v>
      </c>
      <c r="BG232" s="165">
        <f>IF(AND(AND($M$249="nonprofit",$M$257="nonprofit",$M$265="for profit")),2,0)</f>
        <v>0</v>
      </c>
    </row>
    <row r="233" spans="1:59" ht="13" customHeight="1">
      <c r="D233" s="3" t="s">
        <v>1060</v>
      </c>
      <c r="E233" s="3"/>
      <c r="F233" s="3"/>
      <c r="G233" s="3"/>
      <c r="H233" s="3"/>
      <c r="I233" s="3"/>
      <c r="J233" s="3"/>
      <c r="K233" s="3"/>
      <c r="M233" s="1472" t="s">
        <v>1061</v>
      </c>
      <c r="N233" s="1472"/>
      <c r="O233" s="1472"/>
      <c r="P233" s="1472"/>
      <c r="Q233" s="1472"/>
      <c r="R233" s="1472"/>
      <c r="S233" s="1472"/>
      <c r="T233" s="1472"/>
      <c r="U233" s="1472"/>
      <c r="V233" s="1472"/>
      <c r="W233" s="1472"/>
      <c r="X233" s="1472"/>
      <c r="Y233" s="1472"/>
      <c r="Z233" s="1472"/>
      <c r="AA233" s="1472"/>
      <c r="AB233" s="1472"/>
      <c r="AC233" s="1472"/>
      <c r="AD233" s="1472"/>
      <c r="AE233" s="1472"/>
      <c r="BB233" s="136" t="s">
        <v>1054</v>
      </c>
      <c r="BG233" s="165">
        <f>IF(AND(AND($M$249="nonprofit",$M$257="for profit",$M$265="nonprofit")),2,0)</f>
        <v>0</v>
      </c>
    </row>
    <row r="234" spans="1:59" ht="13" customHeight="1">
      <c r="D234" s="3" t="s">
        <v>927</v>
      </c>
      <c r="E234" s="3"/>
      <c r="M234" s="1472" t="s">
        <v>1062</v>
      </c>
      <c r="N234" s="1472"/>
      <c r="O234" s="1472"/>
      <c r="P234" s="1472"/>
      <c r="Q234" s="1472"/>
      <c r="R234" s="1472"/>
      <c r="S234" s="1472"/>
      <c r="T234" s="1472"/>
      <c r="V234" s="922" t="s">
        <v>1063</v>
      </c>
      <c r="W234" s="1423" t="s">
        <v>1064</v>
      </c>
      <c r="X234" s="1423"/>
      <c r="Y234" s="3" t="s">
        <v>931</v>
      </c>
      <c r="AC234" s="1472">
        <v>94901</v>
      </c>
      <c r="AD234" s="1472"/>
      <c r="AE234" s="1472"/>
      <c r="AU234" s="3"/>
      <c r="AV234" s="3"/>
      <c r="AW234" s="3"/>
      <c r="AX234" s="3"/>
      <c r="AY234" s="3"/>
      <c r="AZ234" s="3"/>
      <c r="BB234" s="136" t="s">
        <v>1054</v>
      </c>
      <c r="BG234" s="164">
        <f>IF(AND(AND($M$249="for profit",$M$257="nonprofit",$M$265="nonprofit")),2,0)</f>
        <v>0</v>
      </c>
    </row>
    <row r="235" spans="1:59" ht="13" customHeight="1">
      <c r="D235" s="3" t="s">
        <v>1065</v>
      </c>
      <c r="E235" s="3"/>
      <c r="F235" s="3"/>
      <c r="G235" s="3"/>
      <c r="H235" s="3"/>
      <c r="I235" s="3"/>
      <c r="J235" s="3"/>
      <c r="K235" s="1159"/>
      <c r="M235" s="1472" t="s">
        <v>1066</v>
      </c>
      <c r="N235" s="1472"/>
      <c r="O235" s="1472"/>
      <c r="P235" s="1472"/>
      <c r="Q235" s="1472"/>
      <c r="R235" s="1472"/>
      <c r="S235" s="1472"/>
      <c r="T235" s="1472"/>
      <c r="U235" s="1472"/>
      <c r="V235" s="1472"/>
      <c r="W235" s="1472"/>
      <c r="X235" s="1472"/>
      <c r="Y235" s="1472"/>
      <c r="Z235" s="1472"/>
      <c r="AA235" s="1472"/>
      <c r="AB235" s="1472"/>
      <c r="AC235" s="1472"/>
      <c r="AD235" s="1472"/>
      <c r="AE235" s="1472"/>
      <c r="AI235" s="3"/>
      <c r="AJ235" s="3"/>
      <c r="AK235" s="3"/>
      <c r="AL235" s="3"/>
      <c r="AM235" s="3"/>
      <c r="AN235" s="3"/>
      <c r="AO235" s="3"/>
      <c r="AP235" s="3"/>
      <c r="AQ235" s="3"/>
      <c r="AR235" s="3"/>
      <c r="AS235" s="3"/>
      <c r="AT235" s="3"/>
      <c r="BB235" s="136"/>
      <c r="BG235" s="135"/>
    </row>
    <row r="236" spans="1:59" ht="13" customHeight="1">
      <c r="D236" s="3" t="s">
        <v>1067</v>
      </c>
      <c r="E236" s="3"/>
      <c r="F236" s="3"/>
      <c r="M236" s="1439" t="s">
        <v>1068</v>
      </c>
      <c r="N236" s="1439"/>
      <c r="O236" s="1439"/>
      <c r="P236" s="1439"/>
      <c r="Q236" s="1439"/>
      <c r="R236" s="1439"/>
      <c r="S236" s="3" t="s">
        <v>1069</v>
      </c>
      <c r="T236" s="3"/>
      <c r="U236" s="1423"/>
      <c r="V236" s="1423"/>
      <c r="W236" s="1423"/>
      <c r="X236" s="3" t="s">
        <v>1070</v>
      </c>
      <c r="Z236" s="1439" t="s">
        <v>1071</v>
      </c>
      <c r="AA236" s="1439"/>
      <c r="AB236" s="1439"/>
      <c r="AC236" s="1439"/>
      <c r="AD236" s="1439"/>
      <c r="AE236" s="1439"/>
      <c r="AU236" s="3"/>
      <c r="AV236" s="3"/>
      <c r="AW236" s="3"/>
      <c r="AX236" s="3"/>
      <c r="AY236" s="3"/>
      <c r="AZ236" s="3"/>
      <c r="BB236" s="135" t="s">
        <v>1072</v>
      </c>
      <c r="BG236" s="165">
        <f>IF(AND(AND($M$249="nonprofit",$M$257="nonprofit",$M$265="(select one)")),1,0)</f>
        <v>0</v>
      </c>
    </row>
    <row r="237" spans="1:59" ht="13" customHeight="1">
      <c r="D237" s="3" t="s">
        <v>1073</v>
      </c>
      <c r="E237" s="3"/>
      <c r="F237" s="3"/>
      <c r="M237" s="1486" t="s">
        <v>1074</v>
      </c>
      <c r="N237" s="1486"/>
      <c r="O237" s="1486"/>
      <c r="P237" s="1486"/>
      <c r="Q237" s="1486"/>
      <c r="R237" s="1486"/>
      <c r="S237" s="1486"/>
      <c r="T237" s="1486"/>
      <c r="U237" s="1486"/>
      <c r="V237" s="1486"/>
      <c r="W237" s="1486"/>
      <c r="X237" s="1486"/>
      <c r="Y237" s="1486"/>
      <c r="Z237" s="1486"/>
      <c r="AA237" s="1486"/>
      <c r="AB237" s="1486"/>
      <c r="AC237" s="1486"/>
      <c r="AD237" s="1486"/>
      <c r="AE237" s="1486"/>
      <c r="AF237" s="3"/>
      <c r="AG237" s="3"/>
      <c r="AH237" s="3"/>
      <c r="AI237" s="3"/>
      <c r="AJ237" s="3"/>
      <c r="AK237" s="3"/>
      <c r="AL237" s="3"/>
      <c r="AM237" s="3"/>
      <c r="AN237" s="3"/>
      <c r="AO237" s="3"/>
      <c r="AP237" s="3"/>
      <c r="AQ237" s="3"/>
      <c r="AR237" s="3"/>
      <c r="AS237" s="3"/>
      <c r="AT237" s="3"/>
      <c r="AU237" s="3"/>
      <c r="AV237" s="3"/>
      <c r="AW237" s="3"/>
      <c r="AX237" s="3"/>
      <c r="AY237" s="3"/>
      <c r="BB237" s="135" t="s">
        <v>1072</v>
      </c>
      <c r="BG237" s="165">
        <f>IF(AND(AND($M$249="nonprofit",$M$257="nonprofit",$M$265="nonprofit")),1,0)</f>
        <v>0</v>
      </c>
    </row>
    <row r="238" spans="1:59" ht="13" customHeight="1">
      <c r="A238" s="2" t="s">
        <v>987</v>
      </c>
      <c r="C238" s="2" t="s">
        <v>1075</v>
      </c>
      <c r="M238" s="1326" t="s">
        <v>1042</v>
      </c>
      <c r="N238" s="1326"/>
      <c r="O238" s="1326"/>
      <c r="P238" s="1326"/>
      <c r="Q238" s="1326"/>
      <c r="R238" s="1326"/>
      <c r="S238" s="1326"/>
      <c r="T238" s="1326"/>
      <c r="U238" s="135" t="s">
        <v>1076</v>
      </c>
      <c r="V238" s="135"/>
      <c r="W238" s="135"/>
      <c r="X238" s="135"/>
      <c r="Y238" s="135"/>
      <c r="Z238" s="135"/>
      <c r="AA238" s="1506" t="s">
        <v>1077</v>
      </c>
      <c r="AB238" s="1506"/>
      <c r="AC238" s="1506"/>
      <c r="AD238" s="1506"/>
      <c r="AE238" s="1506"/>
      <c r="AF238" s="1506"/>
      <c r="AG238" s="1506"/>
      <c r="AH238" s="1506"/>
      <c r="AI238" s="1506"/>
      <c r="AJ238" s="1506"/>
      <c r="AK238" s="1506"/>
      <c r="AL238" s="3"/>
      <c r="AM238" s="3"/>
      <c r="AN238" s="3"/>
      <c r="AO238" s="3"/>
      <c r="AP238" s="3"/>
      <c r="AQ238" s="3"/>
      <c r="AR238" s="3"/>
      <c r="AS238" s="3"/>
      <c r="AT238" s="3"/>
      <c r="AU238" s="3"/>
      <c r="AV238" s="3"/>
      <c r="AW238" s="3"/>
      <c r="AX238" s="3"/>
      <c r="AY238" s="3"/>
      <c r="BB238" s="135" t="s">
        <v>1072</v>
      </c>
      <c r="BG238" s="165">
        <f>IF(AND(AND($M$249="nonprofit",$M$257="(select one)",$M$265="(select one)")),1,0)</f>
        <v>1</v>
      </c>
    </row>
    <row r="239" spans="1:59" ht="13" customHeight="1">
      <c r="D239" t="s">
        <v>1078</v>
      </c>
      <c r="M239" s="1359"/>
      <c r="N239" s="1359"/>
      <c r="O239" s="1359"/>
      <c r="P239" s="1359"/>
      <c r="Q239" s="1359"/>
      <c r="R239" s="1359"/>
      <c r="S239" s="1359"/>
      <c r="T239" s="1359"/>
      <c r="U239" s="1359"/>
      <c r="V239" s="1359"/>
      <c r="W239" s="1359"/>
      <c r="X239" s="1359"/>
      <c r="Y239" s="1359"/>
      <c r="Z239" s="1359"/>
      <c r="AA239" s="1359"/>
      <c r="AB239" s="1359"/>
      <c r="AC239" s="1359"/>
      <c r="AD239" s="1359"/>
      <c r="AE239" s="1359"/>
      <c r="AF239" s="3"/>
      <c r="AG239" s="3"/>
      <c r="AH239" s="3"/>
      <c r="AI239" s="3"/>
      <c r="AJ239" s="3"/>
      <c r="AK239" s="3"/>
      <c r="AL239" s="3"/>
      <c r="AM239" s="3"/>
      <c r="AN239" s="3"/>
      <c r="AO239" s="3"/>
      <c r="AP239" s="3"/>
      <c r="AQ239" s="3"/>
      <c r="AR239" s="3"/>
      <c r="AS239" s="3"/>
      <c r="AT239" s="3"/>
      <c r="BB239" s="135" t="s">
        <v>1079</v>
      </c>
      <c r="BG239" s="165">
        <f>IF(AND(AND($M$249="for profit",$M$257="for profit",$M$265="(select one)")),3,0)</f>
        <v>0</v>
      </c>
    </row>
    <row r="240" spans="1:59" ht="13" customHeight="1">
      <c r="D240" s="3"/>
      <c r="BB240" s="135" t="s">
        <v>1079</v>
      </c>
      <c r="BG240" s="165">
        <f>IF(AND(AND($M$249="for profit",$M$257="for profit",$M$265="for profit")),3,0)</f>
        <v>0</v>
      </c>
    </row>
    <row r="241" spans="1:67" ht="13" customHeight="1">
      <c r="A241" s="2" t="s">
        <v>1005</v>
      </c>
      <c r="C241" s="2" t="s">
        <v>1080</v>
      </c>
      <c r="D241" s="3"/>
      <c r="L241" s="7"/>
      <c r="M241" s="7"/>
      <c r="N241" s="7"/>
      <c r="AU241" s="3"/>
      <c r="AV241" s="3"/>
      <c r="AW241" s="3"/>
      <c r="AX241" s="3"/>
      <c r="AY241" s="3"/>
      <c r="BB241" s="135" t="s">
        <v>1079</v>
      </c>
      <c r="BG241" s="165">
        <f>IF(AND(AND($M$249="for profit",$M$257="(select one)",$M$265="(select one)")),3,0)</f>
        <v>0</v>
      </c>
    </row>
    <row r="242" spans="1:67" ht="13"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3" customHeight="1">
      <c r="A243" s="1159"/>
      <c r="B243" s="3"/>
      <c r="C243" s="48" t="s">
        <v>1081</v>
      </c>
      <c r="D243" s="3" t="s">
        <v>1082</v>
      </c>
      <c r="E243" s="3"/>
      <c r="F243" s="3"/>
      <c r="G243" s="3"/>
      <c r="H243" s="3"/>
      <c r="I243" s="3"/>
      <c r="J243" s="3"/>
      <c r="K243" s="3"/>
      <c r="L243" s="3"/>
      <c r="M243" s="1488" t="s">
        <v>1077</v>
      </c>
      <c r="N243" s="1488"/>
      <c r="O243" s="1488"/>
      <c r="P243" s="1488"/>
      <c r="Q243" s="1488"/>
      <c r="R243" s="1488"/>
      <c r="S243" s="1488"/>
      <c r="T243" s="1488"/>
      <c r="U243" s="1488"/>
      <c r="V243" s="1488"/>
      <c r="W243" s="1488"/>
      <c r="X243" s="1488"/>
      <c r="Y243" s="1488"/>
      <c r="Z243" s="1488"/>
      <c r="AA243" s="1488"/>
      <c r="AB243" s="1488"/>
      <c r="AC243" s="1488"/>
      <c r="AD243" s="1488"/>
      <c r="AE243" s="1488"/>
      <c r="AF243" s="1488" t="s">
        <v>1083</v>
      </c>
      <c r="AG243" s="1488"/>
      <c r="AH243" s="1488"/>
      <c r="AI243" s="1488"/>
      <c r="AJ243" s="1488"/>
      <c r="AK243" s="1488"/>
      <c r="AU243" s="3"/>
      <c r="AV243" s="3"/>
      <c r="AW243" s="3"/>
      <c r="AX243" s="3"/>
      <c r="AY243" s="3"/>
      <c r="BG243">
        <f>SUM(BG226:BG241)</f>
        <v>1</v>
      </c>
    </row>
    <row r="244" spans="1:67" ht="13" customHeight="1">
      <c r="A244" s="1159"/>
      <c r="B244" s="3"/>
      <c r="C244" s="3"/>
      <c r="D244" s="3" t="s">
        <v>1060</v>
      </c>
      <c r="E244" s="3"/>
      <c r="F244" s="3"/>
      <c r="G244" s="3"/>
      <c r="H244" s="3"/>
      <c r="I244" s="3"/>
      <c r="J244" s="3"/>
      <c r="K244" s="3"/>
      <c r="L244" s="3"/>
      <c r="M244" s="1472" t="s">
        <v>1061</v>
      </c>
      <c r="N244" s="1472"/>
      <c r="O244" s="1472"/>
      <c r="P244" s="1472"/>
      <c r="Q244" s="1472"/>
      <c r="R244" s="1472"/>
      <c r="S244" s="1472"/>
      <c r="T244" s="1472"/>
      <c r="U244" s="1472"/>
      <c r="V244" s="1472"/>
      <c r="W244" s="1472"/>
      <c r="X244" s="1472"/>
      <c r="Y244" s="1472"/>
      <c r="Z244" s="1472"/>
      <c r="AA244" s="1472"/>
      <c r="AB244" s="1472"/>
      <c r="AC244" s="1472"/>
      <c r="AD244" s="1472"/>
      <c r="AE244" s="1472"/>
      <c r="AF244" s="3" t="s">
        <v>1084</v>
      </c>
      <c r="AL244" s="3"/>
      <c r="AM244" s="3"/>
      <c r="AN244" s="3"/>
      <c r="AO244" s="3"/>
      <c r="AP244" s="3"/>
      <c r="AQ244" s="3"/>
      <c r="AR244" s="3"/>
      <c r="AS244" s="3"/>
      <c r="AT244" s="3"/>
      <c r="BB244" t="s">
        <v>309</v>
      </c>
      <c r="BG244">
        <v>1</v>
      </c>
      <c r="BH244" t="s">
        <v>1085</v>
      </c>
    </row>
    <row r="245" spans="1:67" ht="13" customHeight="1">
      <c r="A245" s="1159"/>
      <c r="B245" s="3"/>
      <c r="C245" s="3"/>
      <c r="D245" s="3" t="s">
        <v>927</v>
      </c>
      <c r="E245" s="3"/>
      <c r="M245" s="1472" t="s">
        <v>1062</v>
      </c>
      <c r="N245" s="1472"/>
      <c r="O245" s="1472"/>
      <c r="P245" s="1472"/>
      <c r="Q245" s="1472"/>
      <c r="R245" s="1472"/>
      <c r="S245" s="1472"/>
      <c r="T245" s="1472"/>
      <c r="V245" s="922" t="s">
        <v>1063</v>
      </c>
      <c r="W245" s="1423" t="s">
        <v>1064</v>
      </c>
      <c r="X245" s="1423"/>
      <c r="Y245" s="3" t="s">
        <v>931</v>
      </c>
      <c r="AC245" s="1472">
        <v>94901</v>
      </c>
      <c r="AD245" s="1472"/>
      <c r="AE245" s="1472"/>
      <c r="AF245" s="3" t="s">
        <v>1086</v>
      </c>
      <c r="AU245" s="3"/>
      <c r="AV245" s="3"/>
      <c r="AW245" s="3"/>
      <c r="AX245" s="3"/>
      <c r="AY245" s="3"/>
      <c r="BB245" s="3" t="s">
        <v>1087</v>
      </c>
      <c r="BG245">
        <v>2</v>
      </c>
      <c r="BH245" t="s">
        <v>1040</v>
      </c>
      <c r="BO245" s="1160" t="str">
        <f>VLOOKUP(BG243,BG244:BH247,2,FALSE)</f>
        <v>Nonprofit</v>
      </c>
    </row>
    <row r="246" spans="1:67" ht="13" customHeight="1">
      <c r="A246" s="1159"/>
      <c r="B246" s="3"/>
      <c r="C246" s="3"/>
      <c r="D246" s="3" t="s">
        <v>1065</v>
      </c>
      <c r="E246" s="3"/>
      <c r="F246" s="3"/>
      <c r="G246" s="3"/>
      <c r="H246" s="3"/>
      <c r="I246" s="3"/>
      <c r="J246" s="3"/>
      <c r="K246" s="3"/>
      <c r="L246" s="1159"/>
      <c r="M246" s="1472" t="s">
        <v>1066</v>
      </c>
      <c r="N246" s="1472"/>
      <c r="O246" s="1472"/>
      <c r="P246" s="1472"/>
      <c r="Q246" s="1472"/>
      <c r="R246" s="1472"/>
      <c r="S246" s="1472"/>
      <c r="T246" s="1472"/>
      <c r="U246" s="1472"/>
      <c r="V246" s="1472"/>
      <c r="W246" s="1472"/>
      <c r="X246" s="1472"/>
      <c r="Y246" s="1472"/>
      <c r="Z246" s="1472"/>
      <c r="AA246" s="1472"/>
      <c r="AB246" s="1472"/>
      <c r="AC246" s="1472"/>
      <c r="AD246" s="1472"/>
      <c r="AE246" s="1472"/>
      <c r="AH246" s="1485">
        <v>0.01</v>
      </c>
      <c r="AI246" s="1485"/>
      <c r="AJ246" s="1485"/>
      <c r="AK246" s="1485"/>
      <c r="AL246" s="3"/>
      <c r="AM246" s="3"/>
      <c r="AN246" s="3"/>
      <c r="AO246" s="3"/>
      <c r="AP246" s="3"/>
      <c r="AQ246" s="3"/>
      <c r="AR246" s="3"/>
      <c r="AS246" s="3"/>
      <c r="AT246" s="3"/>
      <c r="BB246" s="3" t="s">
        <v>1088</v>
      </c>
      <c r="BG246">
        <v>3</v>
      </c>
      <c r="BH246" t="s">
        <v>1089</v>
      </c>
      <c r="BN246" s="3"/>
    </row>
    <row r="247" spans="1:67" ht="13" customHeight="1">
      <c r="A247" s="1159"/>
      <c r="B247" s="3"/>
      <c r="C247" s="3"/>
      <c r="D247" s="3" t="s">
        <v>1067</v>
      </c>
      <c r="E247" s="3"/>
      <c r="F247" s="3"/>
      <c r="M247" s="1439" t="s">
        <v>1068</v>
      </c>
      <c r="N247" s="1439"/>
      <c r="O247" s="1439"/>
      <c r="P247" s="1439"/>
      <c r="Q247" s="1439"/>
      <c r="R247" s="1439"/>
      <c r="S247" s="3" t="s">
        <v>1069</v>
      </c>
      <c r="T247" s="3"/>
      <c r="U247" s="1423"/>
      <c r="V247" s="1423"/>
      <c r="W247" s="1423"/>
      <c r="X247" s="3" t="s">
        <v>1070</v>
      </c>
      <c r="Z247" s="1439" t="s">
        <v>1071</v>
      </c>
      <c r="AA247" s="1439"/>
      <c r="AB247" s="1439"/>
      <c r="AC247" s="1439"/>
      <c r="AD247" s="1439"/>
      <c r="AE247" s="1439"/>
      <c r="AU247" s="3"/>
      <c r="AV247" s="3"/>
      <c r="AW247" s="3"/>
      <c r="AX247" s="3"/>
      <c r="AY247" s="3"/>
      <c r="BG247">
        <v>0</v>
      </c>
      <c r="BH247" s="3" t="str">
        <f>""</f>
        <v/>
      </c>
      <c r="BN247" s="3"/>
    </row>
    <row r="248" spans="1:67" ht="13" customHeight="1">
      <c r="A248" s="1159"/>
      <c r="B248" s="3"/>
      <c r="C248" s="3"/>
      <c r="D248" s="3" t="s">
        <v>1073</v>
      </c>
      <c r="E248" s="3"/>
      <c r="F248" s="3"/>
      <c r="M248" s="1486" t="s">
        <v>1074</v>
      </c>
      <c r="N248" s="1486"/>
      <c r="O248" s="1486"/>
      <c r="P248" s="1486"/>
      <c r="Q248" s="1486"/>
      <c r="R248" s="1486"/>
      <c r="S248" s="1486"/>
      <c r="T248" s="1486"/>
      <c r="U248" s="1486"/>
      <c r="V248" s="1486"/>
      <c r="W248" s="1486"/>
      <c r="X248" s="1486"/>
      <c r="Y248" s="1486"/>
      <c r="Z248" s="1486"/>
      <c r="AA248" s="1486"/>
      <c r="AB248" s="1486"/>
      <c r="AC248" s="1486"/>
      <c r="AD248" s="1486"/>
      <c r="AE248" s="1486"/>
      <c r="AG248" s="3"/>
      <c r="AH248" s="3"/>
      <c r="AI248" s="3"/>
      <c r="AJ248" s="3"/>
      <c r="AK248" s="3"/>
      <c r="AL248" s="3"/>
      <c r="AM248" s="3"/>
      <c r="AN248" s="3"/>
      <c r="AO248" s="3"/>
      <c r="AP248" s="3"/>
      <c r="AQ248" s="3"/>
      <c r="AR248" s="3"/>
      <c r="AS248" s="3"/>
      <c r="AT248" s="3"/>
      <c r="BN248" s="3"/>
    </row>
    <row r="249" spans="1:67" ht="13" customHeight="1">
      <c r="A249" s="12"/>
      <c r="B249" s="3"/>
      <c r="C249" s="48"/>
      <c r="D249" s="3" t="s">
        <v>1090</v>
      </c>
      <c r="E249" s="3"/>
      <c r="F249" s="3"/>
      <c r="G249" s="3"/>
      <c r="H249" s="3"/>
      <c r="I249" s="3"/>
      <c r="J249" s="3"/>
      <c r="K249" s="3"/>
      <c r="L249" s="3"/>
      <c r="M249" s="1326" t="s">
        <v>1085</v>
      </c>
      <c r="N249" s="1326"/>
      <c r="O249" s="1326"/>
      <c r="P249" s="1326"/>
      <c r="Q249" s="1326"/>
      <c r="R249" s="1326"/>
      <c r="S249" s="1326"/>
      <c r="T249" s="1326"/>
      <c r="U249" s="135" t="s">
        <v>1076</v>
      </c>
      <c r="V249" s="135"/>
      <c r="W249" s="135"/>
      <c r="X249" s="135"/>
      <c r="Y249" s="135"/>
      <c r="Z249" s="135"/>
      <c r="AA249" s="1505" t="s">
        <v>1091</v>
      </c>
      <c r="AB249" s="1506"/>
      <c r="AC249" s="1506"/>
      <c r="AD249" s="1506"/>
      <c r="AE249" s="1506"/>
      <c r="AF249" s="1506"/>
      <c r="AG249" s="1506"/>
      <c r="AH249" s="1506"/>
      <c r="AI249" s="1506"/>
      <c r="AJ249" s="1506"/>
      <c r="AK249" s="1506"/>
      <c r="BN249" s="3"/>
    </row>
    <row r="250" spans="1:67" ht="13" customHeight="1">
      <c r="A250" s="1159"/>
      <c r="B250" s="3"/>
      <c r="C250" s="3"/>
      <c r="D250" s="3"/>
      <c r="E250" s="3"/>
      <c r="F250" s="3"/>
      <c r="G250" s="3"/>
      <c r="H250" s="3"/>
      <c r="I250" s="3"/>
      <c r="J250" s="3"/>
      <c r="K250" s="3"/>
      <c r="L250" s="3"/>
      <c r="AG250" s="3"/>
      <c r="AH250" s="3"/>
      <c r="AI250" s="3"/>
      <c r="AJ250" s="3"/>
      <c r="BN250" s="3"/>
    </row>
    <row r="251" spans="1:67" ht="13" customHeight="1">
      <c r="A251" s="2"/>
      <c r="B251" s="3"/>
      <c r="C251" s="48" t="s">
        <v>1092</v>
      </c>
      <c r="D251" s="3" t="s">
        <v>1093</v>
      </c>
      <c r="E251" s="3"/>
      <c r="F251" s="3"/>
      <c r="G251" s="3"/>
      <c r="H251" s="3"/>
      <c r="I251" s="3"/>
      <c r="J251" s="3"/>
      <c r="K251" s="3"/>
      <c r="L251" s="3"/>
      <c r="M251" s="1488"/>
      <c r="N251" s="1488"/>
      <c r="O251" s="1488"/>
      <c r="P251" s="1488"/>
      <c r="Q251" s="1488"/>
      <c r="R251" s="1488"/>
      <c r="S251" s="1488"/>
      <c r="T251" s="1488"/>
      <c r="U251" s="1488"/>
      <c r="V251" s="1488"/>
      <c r="W251" s="1488"/>
      <c r="X251" s="1488"/>
      <c r="Y251" s="1488"/>
      <c r="Z251" s="1488"/>
      <c r="AA251" s="1488"/>
      <c r="AB251" s="1488"/>
      <c r="AC251" s="1488"/>
      <c r="AD251" s="1488"/>
      <c r="AE251" s="1488"/>
      <c r="AF251" s="1488" t="s">
        <v>309</v>
      </c>
      <c r="AG251" s="1488"/>
      <c r="AH251" s="1488"/>
      <c r="AI251" s="1488"/>
      <c r="AJ251" s="1488"/>
      <c r="AK251" s="1488"/>
      <c r="AU251" s="3"/>
      <c r="AV251" s="3"/>
      <c r="AW251" s="3"/>
      <c r="AX251" s="3"/>
      <c r="AY251" s="3"/>
      <c r="BN251" s="3"/>
    </row>
    <row r="252" spans="1:67" ht="13" customHeight="1">
      <c r="A252" s="1159"/>
      <c r="B252" s="3"/>
      <c r="C252" s="3"/>
      <c r="D252" s="3" t="s">
        <v>1060</v>
      </c>
      <c r="E252" s="3"/>
      <c r="F252" s="3"/>
      <c r="G252" s="3"/>
      <c r="H252" s="3"/>
      <c r="I252" s="3"/>
      <c r="J252" s="3"/>
      <c r="K252" s="3"/>
      <c r="L252" s="3"/>
      <c r="M252" s="1472"/>
      <c r="N252" s="1472"/>
      <c r="O252" s="1472"/>
      <c r="P252" s="1472"/>
      <c r="Q252" s="1472"/>
      <c r="R252" s="1472"/>
      <c r="S252" s="1472"/>
      <c r="T252" s="1472"/>
      <c r="U252" s="1472"/>
      <c r="V252" s="1472"/>
      <c r="W252" s="1472"/>
      <c r="X252" s="1472"/>
      <c r="Y252" s="1472"/>
      <c r="Z252" s="1472"/>
      <c r="AA252" s="1472"/>
      <c r="AB252" s="1472"/>
      <c r="AC252" s="1472"/>
      <c r="AD252" s="1472"/>
      <c r="AE252" s="1472"/>
      <c r="AF252" s="3" t="s">
        <v>1084</v>
      </c>
      <c r="AL252" s="3"/>
      <c r="AM252" s="3"/>
      <c r="AN252" s="3"/>
      <c r="AO252" s="3"/>
      <c r="AP252" s="3"/>
      <c r="AQ252" s="3"/>
      <c r="AR252" s="3"/>
      <c r="AS252" s="3"/>
      <c r="AT252" s="3"/>
      <c r="BN252" s="3"/>
    </row>
    <row r="253" spans="1:67" ht="13" customHeight="1">
      <c r="A253" s="1159"/>
      <c r="B253" s="3"/>
      <c r="C253" s="3"/>
      <c r="D253" s="3" t="s">
        <v>927</v>
      </c>
      <c r="E253" s="3"/>
      <c r="M253" s="1472"/>
      <c r="N253" s="1472"/>
      <c r="O253" s="1472"/>
      <c r="P253" s="1472"/>
      <c r="Q253" s="1472"/>
      <c r="R253" s="1472"/>
      <c r="S253" s="1472"/>
      <c r="T253" s="1472"/>
      <c r="V253" s="922" t="s">
        <v>1063</v>
      </c>
      <c r="W253" s="1423"/>
      <c r="X253" s="1423"/>
      <c r="Y253" s="3" t="s">
        <v>931</v>
      </c>
      <c r="AC253" s="1472"/>
      <c r="AD253" s="1472"/>
      <c r="AE253" s="1472"/>
      <c r="AF253" s="3" t="s">
        <v>1086</v>
      </c>
      <c r="AU253" s="3"/>
      <c r="AV253" s="3"/>
      <c r="AW253" s="3"/>
      <c r="AX253" s="3"/>
      <c r="AY253" s="3"/>
      <c r="BN253" s="3"/>
    </row>
    <row r="254" spans="1:67" ht="13" customHeight="1">
      <c r="A254" s="1159"/>
      <c r="B254" s="3"/>
      <c r="C254" s="3"/>
      <c r="D254" s="3" t="s">
        <v>1065</v>
      </c>
      <c r="E254" s="3"/>
      <c r="F254" s="3"/>
      <c r="G254" s="3"/>
      <c r="H254" s="3"/>
      <c r="I254" s="3"/>
      <c r="J254" s="3"/>
      <c r="K254" s="3"/>
      <c r="L254" s="1159"/>
      <c r="M254" s="1472"/>
      <c r="N254" s="1472"/>
      <c r="O254" s="1472"/>
      <c r="P254" s="1472"/>
      <c r="Q254" s="1472"/>
      <c r="R254" s="1472"/>
      <c r="S254" s="1472"/>
      <c r="T254" s="1472"/>
      <c r="U254" s="1472"/>
      <c r="V254" s="1472"/>
      <c r="W254" s="1472"/>
      <c r="X254" s="1472"/>
      <c r="Y254" s="1472"/>
      <c r="Z254" s="1472"/>
      <c r="AA254" s="1472"/>
      <c r="AB254" s="1472"/>
      <c r="AC254" s="1472"/>
      <c r="AD254" s="1472"/>
      <c r="AE254" s="1472"/>
      <c r="AH254" s="1485"/>
      <c r="AI254" s="1485"/>
      <c r="AJ254" s="1485"/>
      <c r="AK254" s="1485"/>
      <c r="AL254" s="3"/>
      <c r="AM254" s="3"/>
      <c r="AN254" s="3"/>
      <c r="AO254" s="3"/>
      <c r="AP254" s="3"/>
      <c r="AQ254" s="3"/>
      <c r="AR254" s="3"/>
      <c r="AS254" s="3"/>
      <c r="AT254" s="3"/>
    </row>
    <row r="255" spans="1:67" ht="13" customHeight="1">
      <c r="A255" s="1159"/>
      <c r="B255" s="3"/>
      <c r="C255" s="3"/>
      <c r="D255" s="3" t="s">
        <v>1067</v>
      </c>
      <c r="E255" s="3"/>
      <c r="F255" s="3"/>
      <c r="M255" s="1439"/>
      <c r="N255" s="1439"/>
      <c r="O255" s="1439"/>
      <c r="P255" s="1439"/>
      <c r="Q255" s="1439"/>
      <c r="R255" s="1439"/>
      <c r="S255" s="3" t="s">
        <v>1069</v>
      </c>
      <c r="T255" s="3"/>
      <c r="U255" s="1423"/>
      <c r="V255" s="1423"/>
      <c r="W255" s="1423"/>
      <c r="X255" s="3" t="s">
        <v>1070</v>
      </c>
      <c r="Z255" s="1439"/>
      <c r="AA255" s="1439"/>
      <c r="AB255" s="1439"/>
      <c r="AC255" s="1439"/>
      <c r="AD255" s="1439"/>
      <c r="AE255" s="1439"/>
      <c r="AU255" s="3"/>
      <c r="AV255" s="3"/>
      <c r="AW255" s="3"/>
      <c r="AX255" s="3"/>
      <c r="AY255" s="3"/>
      <c r="BN255" s="3"/>
    </row>
    <row r="256" spans="1:67" ht="13" customHeight="1">
      <c r="A256" s="1159"/>
      <c r="B256" s="3"/>
      <c r="C256" s="3"/>
      <c r="D256" s="3" t="s">
        <v>1073</v>
      </c>
      <c r="E256" s="3"/>
      <c r="F256" s="3"/>
      <c r="M256" s="1486"/>
      <c r="N256" s="1486"/>
      <c r="O256" s="1486"/>
      <c r="P256" s="1486"/>
      <c r="Q256" s="1486"/>
      <c r="R256" s="1486"/>
      <c r="S256" s="1486"/>
      <c r="T256" s="1486"/>
      <c r="U256" s="1486"/>
      <c r="V256" s="1486"/>
      <c r="W256" s="1486"/>
      <c r="X256" s="1486"/>
      <c r="Y256" s="1486"/>
      <c r="Z256" s="1486"/>
      <c r="AA256" s="1486"/>
      <c r="AB256" s="1486"/>
      <c r="AC256" s="1486"/>
      <c r="AD256" s="1486"/>
      <c r="AE256" s="1486"/>
      <c r="AG256" s="3"/>
      <c r="AH256" s="3"/>
      <c r="AI256" s="3"/>
      <c r="AJ256" s="3"/>
      <c r="AK256" s="3"/>
      <c r="AL256" s="3"/>
      <c r="AM256" s="3"/>
      <c r="AN256" s="3"/>
      <c r="AO256" s="3"/>
      <c r="AP256" s="3"/>
      <c r="AQ256" s="3"/>
      <c r="AR256" s="3"/>
      <c r="AS256" s="3"/>
      <c r="AT256" s="3"/>
      <c r="AU256" s="3"/>
      <c r="AV256" s="3"/>
      <c r="AW256" s="3"/>
      <c r="AX256" s="3"/>
      <c r="AY256" s="3"/>
      <c r="BN256" s="3"/>
    </row>
    <row r="257" spans="1:51" ht="13" customHeight="1">
      <c r="A257" s="12"/>
      <c r="B257" s="3"/>
      <c r="C257" s="48"/>
      <c r="D257" s="3" t="s">
        <v>1090</v>
      </c>
      <c r="E257" s="3"/>
      <c r="F257" s="3"/>
      <c r="G257" s="3"/>
      <c r="H257" s="3"/>
      <c r="I257" s="3"/>
      <c r="J257" s="3"/>
      <c r="K257" s="3"/>
      <c r="L257" s="3"/>
      <c r="M257" s="1326" t="s">
        <v>309</v>
      </c>
      <c r="N257" s="1326"/>
      <c r="O257" s="1326"/>
      <c r="P257" s="1326"/>
      <c r="Q257" s="1326"/>
      <c r="R257" s="1326"/>
      <c r="S257" s="1326"/>
      <c r="T257" s="1326"/>
      <c r="U257" s="135" t="s">
        <v>1076</v>
      </c>
      <c r="V257" s="135"/>
      <c r="W257" s="135"/>
      <c r="X257" s="135"/>
      <c r="Y257" s="135"/>
      <c r="Z257" s="135"/>
      <c r="AA257" s="1506"/>
      <c r="AB257" s="1506"/>
      <c r="AC257" s="1506"/>
      <c r="AD257" s="1506"/>
      <c r="AE257" s="1506"/>
      <c r="AF257" s="1506"/>
      <c r="AG257" s="1506"/>
      <c r="AH257" s="1506"/>
      <c r="AI257" s="1506"/>
      <c r="AJ257" s="1506"/>
      <c r="AK257" s="1506"/>
      <c r="AL257" s="3"/>
      <c r="AM257" s="3"/>
      <c r="AN257" s="3"/>
      <c r="AO257" s="3"/>
      <c r="AP257" s="3"/>
      <c r="AQ257" s="3"/>
      <c r="AR257" s="3"/>
      <c r="AS257" s="3"/>
      <c r="AT257" s="3"/>
      <c r="AU257" s="3"/>
      <c r="AV257" s="3"/>
      <c r="AW257" s="3"/>
      <c r="AX257" s="3"/>
      <c r="AY257" s="3"/>
    </row>
    <row r="258" spans="1:51" ht="13"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3" customHeight="1">
      <c r="A259" s="12"/>
      <c r="B259" s="3"/>
      <c r="C259" s="48" t="s">
        <v>1094</v>
      </c>
      <c r="D259" s="3" t="s">
        <v>1082</v>
      </c>
      <c r="E259" s="3"/>
      <c r="F259" s="3"/>
      <c r="G259" s="3"/>
      <c r="H259" s="3"/>
      <c r="I259" s="3"/>
      <c r="J259" s="3"/>
      <c r="K259" s="3"/>
      <c r="L259" s="3"/>
      <c r="M259" s="1488"/>
      <c r="N259" s="1488"/>
      <c r="O259" s="1488"/>
      <c r="P259" s="1488"/>
      <c r="Q259" s="1488"/>
      <c r="R259" s="1488"/>
      <c r="S259" s="1488"/>
      <c r="T259" s="1488"/>
      <c r="U259" s="1488"/>
      <c r="V259" s="1488"/>
      <c r="W259" s="1488"/>
      <c r="X259" s="1488"/>
      <c r="Y259" s="1488"/>
      <c r="Z259" s="1488"/>
      <c r="AA259" s="1488"/>
      <c r="AB259" s="1488"/>
      <c r="AC259" s="1488"/>
      <c r="AD259" s="1488"/>
      <c r="AE259" s="1488"/>
      <c r="AF259" s="1488" t="s">
        <v>309</v>
      </c>
      <c r="AG259" s="1488"/>
      <c r="AH259" s="1488"/>
      <c r="AI259" s="1488"/>
      <c r="AJ259" s="1488"/>
      <c r="AK259" s="1488"/>
      <c r="AL259" s="3"/>
      <c r="AM259" s="3"/>
      <c r="AN259" s="3"/>
      <c r="AO259" s="3"/>
      <c r="AP259" s="3"/>
      <c r="AQ259" s="3"/>
      <c r="AR259" s="3"/>
      <c r="AS259" s="3"/>
      <c r="AT259" s="3"/>
      <c r="AU259" s="3"/>
      <c r="AV259" s="3"/>
      <c r="AW259" s="3"/>
      <c r="AX259" s="3"/>
      <c r="AY259" s="3"/>
    </row>
    <row r="260" spans="1:51" ht="13" customHeight="1">
      <c r="A260" s="12"/>
      <c r="B260" s="3"/>
      <c r="C260" s="3"/>
      <c r="D260" s="3" t="s">
        <v>1060</v>
      </c>
      <c r="E260" s="3"/>
      <c r="F260" s="3"/>
      <c r="G260" s="3"/>
      <c r="H260" s="3"/>
      <c r="I260" s="3"/>
      <c r="J260" s="3"/>
      <c r="K260" s="3"/>
      <c r="L260" s="3"/>
      <c r="M260" s="1472"/>
      <c r="N260" s="1472"/>
      <c r="O260" s="1472"/>
      <c r="P260" s="1472"/>
      <c r="Q260" s="1472"/>
      <c r="R260" s="1472"/>
      <c r="S260" s="1472"/>
      <c r="T260" s="1472"/>
      <c r="U260" s="1472"/>
      <c r="V260" s="1472"/>
      <c r="W260" s="1472"/>
      <c r="X260" s="1472"/>
      <c r="Y260" s="1472"/>
      <c r="Z260" s="1472"/>
      <c r="AA260" s="1472"/>
      <c r="AB260" s="1472"/>
      <c r="AC260" s="1472"/>
      <c r="AD260" s="1472"/>
      <c r="AE260" s="1472"/>
      <c r="AF260" s="3" t="s">
        <v>1084</v>
      </c>
      <c r="AL260" s="3"/>
      <c r="AM260" s="3"/>
      <c r="AN260" s="3"/>
      <c r="AO260" s="3"/>
      <c r="AP260" s="3"/>
      <c r="AQ260" s="3"/>
      <c r="AR260" s="3"/>
      <c r="AS260" s="3"/>
      <c r="AT260" s="3"/>
      <c r="AU260" s="3"/>
      <c r="AV260" s="3"/>
      <c r="AW260" s="3"/>
      <c r="AX260" s="3"/>
      <c r="AY260" s="3"/>
    </row>
    <row r="261" spans="1:51" ht="13" customHeight="1">
      <c r="A261" s="12"/>
      <c r="B261" s="3"/>
      <c r="C261" s="3"/>
      <c r="D261" s="3" t="s">
        <v>927</v>
      </c>
      <c r="E261" s="3"/>
      <c r="M261" s="1472"/>
      <c r="N261" s="1472"/>
      <c r="O261" s="1472"/>
      <c r="P261" s="1472"/>
      <c r="Q261" s="1472"/>
      <c r="R261" s="1472"/>
      <c r="S261" s="1472"/>
      <c r="T261" s="1472"/>
      <c r="V261" s="922" t="s">
        <v>1063</v>
      </c>
      <c r="W261" s="1423"/>
      <c r="X261" s="1423"/>
      <c r="Y261" s="3" t="s">
        <v>931</v>
      </c>
      <c r="AC261" s="1472"/>
      <c r="AD261" s="1472"/>
      <c r="AE261" s="1472"/>
      <c r="AF261" s="3" t="s">
        <v>1086</v>
      </c>
      <c r="AL261" s="3"/>
      <c r="AM261" s="3"/>
      <c r="AN261" s="3"/>
      <c r="AO261" s="3"/>
      <c r="AP261" s="3"/>
      <c r="AQ261" s="3"/>
      <c r="AR261" s="3"/>
      <c r="AS261" s="3"/>
      <c r="AT261" s="3"/>
      <c r="AU261" s="3"/>
      <c r="AV261" s="3"/>
      <c r="AW261" s="3"/>
      <c r="AX261" s="3"/>
      <c r="AY261" s="3"/>
    </row>
    <row r="262" spans="1:51" ht="13" customHeight="1">
      <c r="A262" s="12"/>
      <c r="B262" s="3"/>
      <c r="C262" s="3"/>
      <c r="D262" s="3" t="s">
        <v>1065</v>
      </c>
      <c r="E262" s="3"/>
      <c r="F262" s="3"/>
      <c r="G262" s="3"/>
      <c r="H262" s="3"/>
      <c r="I262" s="3"/>
      <c r="J262" s="3"/>
      <c r="K262" s="3"/>
      <c r="L262" s="1159"/>
      <c r="M262" s="1472"/>
      <c r="N262" s="1472"/>
      <c r="O262" s="1472"/>
      <c r="P262" s="1472"/>
      <c r="Q262" s="1472"/>
      <c r="R262" s="1472"/>
      <c r="S262" s="1472"/>
      <c r="T262" s="1472"/>
      <c r="U262" s="1472"/>
      <c r="V262" s="1472"/>
      <c r="W262" s="1472"/>
      <c r="X262" s="1472"/>
      <c r="Y262" s="1472"/>
      <c r="Z262" s="1472"/>
      <c r="AA262" s="1472"/>
      <c r="AB262" s="1472"/>
      <c r="AC262" s="1472"/>
      <c r="AD262" s="1472"/>
      <c r="AE262" s="1472"/>
      <c r="AH262" s="1485"/>
      <c r="AI262" s="1485"/>
      <c r="AJ262" s="1485"/>
      <c r="AK262" s="1485"/>
      <c r="AL262" s="3"/>
      <c r="AM262" s="3"/>
      <c r="AN262" s="3"/>
      <c r="AO262" s="3"/>
      <c r="AP262" s="3"/>
      <c r="AQ262" s="3"/>
      <c r="AR262" s="3"/>
      <c r="AS262" s="3"/>
      <c r="AT262" s="3"/>
      <c r="AU262" s="3"/>
      <c r="AV262" s="3"/>
      <c r="AW262" s="3"/>
      <c r="AX262" s="3"/>
      <c r="AY262" s="3"/>
    </row>
    <row r="263" spans="1:51" ht="13" customHeight="1">
      <c r="A263" s="12"/>
      <c r="B263" s="3"/>
      <c r="C263" s="3"/>
      <c r="D263" s="3" t="s">
        <v>1067</v>
      </c>
      <c r="E263" s="3"/>
      <c r="F263" s="3"/>
      <c r="M263" s="1439"/>
      <c r="N263" s="1439"/>
      <c r="O263" s="1439"/>
      <c r="P263" s="1439"/>
      <c r="Q263" s="1439"/>
      <c r="R263" s="1439"/>
      <c r="S263" s="3" t="s">
        <v>1069</v>
      </c>
      <c r="T263" s="3"/>
      <c r="U263" s="1423"/>
      <c r="V263" s="1423"/>
      <c r="W263" s="1423"/>
      <c r="X263" s="3" t="s">
        <v>1070</v>
      </c>
      <c r="Z263" s="1439"/>
      <c r="AA263" s="1439"/>
      <c r="AB263" s="1439"/>
      <c r="AC263" s="1439"/>
      <c r="AD263" s="1439"/>
      <c r="AE263" s="1439"/>
      <c r="AL263" s="3"/>
      <c r="AM263" s="3"/>
      <c r="AN263" s="3"/>
      <c r="AO263" s="3"/>
      <c r="AP263" s="3"/>
      <c r="AQ263" s="3"/>
      <c r="AR263" s="3"/>
      <c r="AS263" s="3"/>
      <c r="AT263" s="3"/>
      <c r="AU263" s="3"/>
      <c r="AV263" s="3"/>
      <c r="AW263" s="3"/>
      <c r="AX263" s="3"/>
      <c r="AY263" s="3"/>
    </row>
    <row r="264" spans="1:51" ht="13" customHeight="1">
      <c r="A264" s="12"/>
      <c r="B264" s="3"/>
      <c r="C264" s="3"/>
      <c r="D264" s="3" t="s">
        <v>1073</v>
      </c>
      <c r="E264" s="3"/>
      <c r="F264" s="3"/>
      <c r="M264" s="1486"/>
      <c r="N264" s="1486"/>
      <c r="O264" s="1486"/>
      <c r="P264" s="1486"/>
      <c r="Q264" s="1486"/>
      <c r="R264" s="1486"/>
      <c r="S264" s="1486"/>
      <c r="T264" s="1486"/>
      <c r="U264" s="1486"/>
      <c r="V264" s="1486"/>
      <c r="W264" s="1486"/>
      <c r="X264" s="1486"/>
      <c r="Y264" s="1486"/>
      <c r="Z264" s="1486"/>
      <c r="AA264" s="1487"/>
      <c r="AB264" s="1487"/>
      <c r="AC264" s="1487"/>
      <c r="AD264" s="1487"/>
      <c r="AE264" s="1487"/>
      <c r="AG264" s="3"/>
      <c r="AH264" s="3"/>
      <c r="AI264" s="3"/>
      <c r="AJ264" s="3"/>
      <c r="AK264" s="3"/>
      <c r="AL264" s="3"/>
      <c r="AM264" s="3"/>
      <c r="AN264" s="3"/>
      <c r="AO264" s="3"/>
      <c r="AP264" s="3"/>
      <c r="AQ264" s="3"/>
      <c r="AR264" s="3"/>
      <c r="AS264" s="3"/>
      <c r="AT264" s="3"/>
      <c r="AU264" s="3"/>
      <c r="AV264" s="3"/>
      <c r="AW264" s="3"/>
      <c r="AX264" s="3"/>
      <c r="AY264" s="3"/>
    </row>
    <row r="265" spans="1:51" ht="13" customHeight="1">
      <c r="A265" s="12"/>
      <c r="B265" s="3"/>
      <c r="C265" s="48"/>
      <c r="D265" s="3" t="s">
        <v>1090</v>
      </c>
      <c r="E265" s="3"/>
      <c r="F265" s="3"/>
      <c r="G265" s="3"/>
      <c r="H265" s="3"/>
      <c r="I265" s="3"/>
      <c r="J265" s="3"/>
      <c r="K265" s="3"/>
      <c r="L265" s="3"/>
      <c r="M265" s="1326" t="s">
        <v>309</v>
      </c>
      <c r="N265" s="1326"/>
      <c r="O265" s="1326"/>
      <c r="P265" s="1326"/>
      <c r="Q265" s="1326"/>
      <c r="R265" s="1326"/>
      <c r="S265" s="1326"/>
      <c r="T265" s="1326"/>
      <c r="U265" s="135" t="s">
        <v>1076</v>
      </c>
      <c r="V265" s="135"/>
      <c r="W265" s="135"/>
      <c r="X265" s="135"/>
      <c r="Y265" s="135"/>
      <c r="Z265" s="135"/>
      <c r="AA265" s="1517"/>
      <c r="AB265" s="1517"/>
      <c r="AC265" s="1517"/>
      <c r="AD265" s="1517"/>
      <c r="AE265" s="1517"/>
      <c r="AF265" s="1517"/>
      <c r="AG265" s="1517"/>
      <c r="AH265" s="1517"/>
      <c r="AI265" s="1517"/>
      <c r="AJ265" s="1517"/>
      <c r="AK265" s="1517"/>
      <c r="AL265" s="3"/>
      <c r="AM265" s="3"/>
      <c r="AN265" s="3"/>
      <c r="AO265" s="3"/>
      <c r="AP265" s="3"/>
      <c r="AQ265" s="3"/>
      <c r="AR265" s="3"/>
      <c r="AS265" s="3"/>
      <c r="AT265" s="3"/>
    </row>
    <row r="266" spans="1:51" ht="13" customHeight="1">
      <c r="A266" s="1159"/>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3" customHeight="1">
      <c r="A267" s="49" t="s">
        <v>1017</v>
      </c>
      <c r="B267" s="3"/>
      <c r="C267" s="2" t="s">
        <v>1095</v>
      </c>
      <c r="D267" s="3"/>
      <c r="E267" s="3"/>
      <c r="F267" s="3"/>
      <c r="G267" s="3"/>
      <c r="H267" s="3"/>
      <c r="I267" s="3"/>
      <c r="J267" s="3"/>
      <c r="K267" s="3"/>
      <c r="L267" s="3"/>
      <c r="M267" s="84"/>
      <c r="N267" s="84"/>
      <c r="O267" s="84"/>
      <c r="P267" s="84"/>
      <c r="Q267" s="84"/>
      <c r="T267" s="1484" t="str">
        <f>IFERROR(BO245,"")</f>
        <v>Nonprofit</v>
      </c>
      <c r="U267" s="1484"/>
      <c r="V267" s="1484"/>
      <c r="W267" s="1484"/>
      <c r="X267" s="1484"/>
      <c r="Z267" s="213" t="s">
        <v>1096</v>
      </c>
      <c r="AA267" s="214"/>
      <c r="AB267" s="214"/>
      <c r="AC267" s="214"/>
      <c r="AD267" s="215"/>
      <c r="AE267" s="215"/>
      <c r="AF267" s="215"/>
      <c r="AG267" s="215"/>
      <c r="AH267" s="215"/>
      <c r="AI267" s="215"/>
      <c r="AJ267" s="215"/>
      <c r="AK267" s="215"/>
      <c r="AL267" s="50"/>
    </row>
    <row r="268" spans="1:51" ht="13" customHeight="1">
      <c r="A268" s="2"/>
      <c r="B268" s="3"/>
      <c r="C268" s="2"/>
      <c r="I268" s="3"/>
      <c r="J268" s="3"/>
      <c r="K268" s="3"/>
      <c r="L268" s="3"/>
      <c r="M268" s="84"/>
      <c r="N268" s="84"/>
      <c r="O268" s="84"/>
      <c r="P268" s="84"/>
      <c r="Q268" s="84"/>
      <c r="T268" s="3"/>
      <c r="U268" s="3"/>
      <c r="V268" s="3"/>
      <c r="W268" s="84"/>
      <c r="Z268" s="216" t="s">
        <v>1097</v>
      </c>
      <c r="AF268" s="3"/>
      <c r="AG268" s="3"/>
      <c r="AH268" s="3"/>
      <c r="AI268" s="3"/>
      <c r="AJ268" s="3"/>
      <c r="AL268" s="56"/>
    </row>
    <row r="269" spans="1:51" ht="13" customHeight="1">
      <c r="A269" s="2" t="s">
        <v>1044</v>
      </c>
      <c r="B269" s="3"/>
      <c r="C269" s="2" t="s">
        <v>124</v>
      </c>
      <c r="D269" s="3"/>
      <c r="E269" s="3"/>
      <c r="F269" s="3"/>
      <c r="G269" s="3"/>
      <c r="H269" s="3"/>
      <c r="I269" s="3"/>
      <c r="J269" s="3"/>
      <c r="K269" s="3"/>
      <c r="L269" s="3"/>
      <c r="M269" s="3"/>
      <c r="N269" s="3"/>
      <c r="O269" s="3"/>
      <c r="P269" s="3"/>
      <c r="Q269" s="3"/>
      <c r="R269" s="3"/>
      <c r="S269" s="3"/>
      <c r="T269" s="3"/>
      <c r="U269" s="3"/>
      <c r="V269" s="3"/>
      <c r="W269" s="3"/>
      <c r="Z269" s="217" t="s">
        <v>1098</v>
      </c>
      <c r="AA269" s="40"/>
      <c r="AB269" s="40"/>
      <c r="AC269" s="40"/>
      <c r="AD269" s="40"/>
      <c r="AE269" s="40"/>
      <c r="AF269" s="791"/>
      <c r="AG269" s="791"/>
      <c r="AH269" s="791"/>
      <c r="AI269" s="791"/>
      <c r="AJ269" s="791"/>
      <c r="AK269" s="40"/>
      <c r="AL269" s="41"/>
    </row>
    <row r="270" spans="1:51" ht="13" customHeight="1">
      <c r="A270" s="3"/>
      <c r="B270" s="28">
        <v>0</v>
      </c>
      <c r="D270" s="1472" t="s">
        <v>1087</v>
      </c>
      <c r="E270" s="1472"/>
      <c r="F270" s="1472"/>
      <c r="G270" s="1472"/>
      <c r="H270" s="1472"/>
      <c r="J270" t="s">
        <v>1099</v>
      </c>
      <c r="X270" s="1457"/>
      <c r="Y270" s="1457"/>
      <c r="Z270" s="1457"/>
      <c r="AA270" s="1457"/>
      <c r="AB270" s="1457"/>
      <c r="AC270" s="1457"/>
      <c r="AU270" s="3"/>
      <c r="AV270" s="3"/>
      <c r="AW270" s="3"/>
      <c r="AX270" s="3"/>
      <c r="AY270" s="3"/>
    </row>
    <row r="271" spans="1:51" ht="13" customHeight="1">
      <c r="A271" s="3"/>
      <c r="B271" s="1159"/>
      <c r="D271" s="29" t="s">
        <v>1100</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3"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6"/>
      <c r="AA272" s="256"/>
      <c r="AB272" s="256"/>
      <c r="AC272" s="256"/>
      <c r="AD272" s="256"/>
      <c r="AE272" s="3"/>
      <c r="AK272" s="3"/>
      <c r="AL272" s="3"/>
      <c r="AM272" s="3"/>
      <c r="AN272" s="3"/>
      <c r="AO272" s="3"/>
      <c r="AP272" s="3"/>
      <c r="AQ272" s="3"/>
      <c r="AR272" s="3"/>
      <c r="AS272" s="3"/>
      <c r="AT272" s="3"/>
    </row>
    <row r="273" spans="1:51" ht="13" customHeight="1">
      <c r="A273" s="2" t="s">
        <v>1101</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3" customHeight="1">
      <c r="D274" s="3" t="s">
        <v>1102</v>
      </c>
      <c r="E274" s="3"/>
      <c r="F274" s="3"/>
      <c r="G274" s="3"/>
      <c r="H274" s="3"/>
      <c r="I274" s="3"/>
      <c r="J274" s="3"/>
      <c r="K274" s="3"/>
      <c r="L274" s="1488" t="s">
        <v>1091</v>
      </c>
      <c r="M274" s="1488"/>
      <c r="N274" s="1488"/>
      <c r="O274" s="1488"/>
      <c r="P274" s="1488"/>
      <c r="Q274" s="1488"/>
      <c r="R274" s="1488"/>
      <c r="S274" s="1488"/>
      <c r="T274" s="1488"/>
      <c r="U274" s="1488"/>
      <c r="V274" s="1488"/>
      <c r="W274" s="1488"/>
      <c r="X274" s="1488"/>
      <c r="Y274" s="1488"/>
      <c r="Z274" s="1488"/>
      <c r="AA274" s="1488"/>
      <c r="AB274" s="1488"/>
      <c r="AC274" s="1488"/>
      <c r="AD274" s="1488"/>
      <c r="AE274" s="1488"/>
      <c r="AF274" s="1488"/>
      <c r="AG274" s="1488"/>
      <c r="AH274" s="1488"/>
      <c r="AI274" s="1488"/>
      <c r="AJ274" s="1488"/>
      <c r="AK274" s="3"/>
      <c r="AL274" s="3"/>
      <c r="AM274" s="3"/>
      <c r="AN274" s="3"/>
      <c r="AO274" s="3"/>
      <c r="AP274" s="3"/>
      <c r="AQ274" s="3"/>
      <c r="AR274" s="3"/>
      <c r="AS274" s="3"/>
      <c r="AT274" s="3"/>
      <c r="AU274" s="3"/>
      <c r="AV274" s="3"/>
      <c r="AW274" s="3"/>
      <c r="AX274" s="3"/>
      <c r="AY274" s="3"/>
    </row>
    <row r="275" spans="1:51" ht="13" customHeight="1">
      <c r="D275" s="3" t="s">
        <v>1060</v>
      </c>
      <c r="E275" s="3"/>
      <c r="F275" s="3"/>
      <c r="G275" s="3"/>
      <c r="H275" s="3"/>
      <c r="I275" s="3"/>
      <c r="J275" s="3"/>
      <c r="K275" s="3"/>
      <c r="L275" s="1472" t="s">
        <v>1061</v>
      </c>
      <c r="M275" s="1472"/>
      <c r="N275" s="1472"/>
      <c r="O275" s="1472"/>
      <c r="P275" s="1472"/>
      <c r="Q275" s="1472"/>
      <c r="R275" s="1472"/>
      <c r="S275" s="1472"/>
      <c r="T275" s="1472"/>
      <c r="U275" s="1472"/>
      <c r="V275" s="1472"/>
      <c r="W275" s="1472"/>
      <c r="X275" s="1472"/>
      <c r="Y275" s="1472"/>
      <c r="Z275" s="1472"/>
      <c r="AA275" s="1472"/>
      <c r="AB275" s="1472"/>
      <c r="AC275" s="1472"/>
      <c r="AD275" s="1472"/>
      <c r="AK275" s="3"/>
      <c r="AL275" s="3"/>
      <c r="AM275" s="3"/>
      <c r="AN275" s="3"/>
      <c r="AO275" s="3"/>
      <c r="AP275" s="3"/>
      <c r="AQ275" s="3"/>
      <c r="AR275" s="3"/>
      <c r="AS275" s="3"/>
      <c r="AT275" s="3"/>
      <c r="AU275" s="3"/>
      <c r="AV275" s="3"/>
      <c r="AW275" s="3"/>
      <c r="AX275" s="3"/>
      <c r="AY275" s="3"/>
    </row>
    <row r="276" spans="1:51" ht="13" customHeight="1">
      <c r="D276" s="3" t="s">
        <v>927</v>
      </c>
      <c r="E276" s="3"/>
      <c r="L276" s="1472" t="s">
        <v>1062</v>
      </c>
      <c r="M276" s="1472"/>
      <c r="N276" s="1472"/>
      <c r="O276" s="1472"/>
      <c r="P276" s="1472"/>
      <c r="Q276" s="1472"/>
      <c r="R276" s="1472"/>
      <c r="S276" s="1472"/>
      <c r="U276" s="922" t="s">
        <v>1063</v>
      </c>
      <c r="V276" s="1423" t="s">
        <v>1064</v>
      </c>
      <c r="W276" s="1423"/>
      <c r="X276" s="3" t="s">
        <v>931</v>
      </c>
      <c r="AB276" s="1472">
        <v>94901</v>
      </c>
      <c r="AC276" s="1472"/>
      <c r="AD276" s="1472"/>
      <c r="AK276" s="3"/>
      <c r="AL276" s="3"/>
      <c r="AM276" s="3"/>
      <c r="AN276" s="3"/>
      <c r="AO276" s="3"/>
      <c r="AP276" s="3"/>
      <c r="AQ276" s="3"/>
      <c r="AR276" s="3"/>
      <c r="AS276" s="3"/>
      <c r="AT276" s="3"/>
      <c r="AU276" s="3"/>
      <c r="AV276" s="3"/>
      <c r="AW276" s="3"/>
      <c r="AX276" s="3"/>
      <c r="AY276" s="3"/>
    </row>
    <row r="277" spans="1:51" ht="13" customHeight="1">
      <c r="D277" s="3" t="s">
        <v>1065</v>
      </c>
      <c r="E277" s="3"/>
      <c r="F277" s="3"/>
      <c r="G277" s="3"/>
      <c r="H277" s="3"/>
      <c r="I277" s="3"/>
      <c r="J277" s="3"/>
      <c r="K277" s="1159"/>
      <c r="L277" s="1472" t="s">
        <v>1103</v>
      </c>
      <c r="M277" s="1472"/>
      <c r="N277" s="1472"/>
      <c r="O277" s="1472"/>
      <c r="P277" s="1472"/>
      <c r="Q277" s="1472"/>
      <c r="R277" s="1472"/>
      <c r="S277" s="1472"/>
      <c r="T277" s="1472"/>
      <c r="U277" s="1472"/>
      <c r="V277" s="1472"/>
      <c r="W277" s="1472"/>
      <c r="X277" s="1472"/>
      <c r="Y277" s="1472"/>
      <c r="Z277" s="1472"/>
      <c r="AA277" s="1472"/>
      <c r="AB277" s="1472"/>
      <c r="AC277" s="1472"/>
      <c r="AD277" s="1472"/>
      <c r="AI277" s="3"/>
      <c r="AJ277" s="3"/>
      <c r="AK277" s="3"/>
      <c r="AL277" s="3"/>
      <c r="AM277" s="3"/>
      <c r="AN277" s="3"/>
      <c r="AO277" s="3"/>
      <c r="AP277" s="3"/>
      <c r="AQ277" s="3"/>
      <c r="AR277" s="3"/>
      <c r="AS277" s="3"/>
      <c r="AT277" s="3"/>
    </row>
    <row r="278" spans="1:51" ht="13" customHeight="1">
      <c r="D278" s="3" t="s">
        <v>1067</v>
      </c>
      <c r="E278" s="3"/>
      <c r="F278" s="3"/>
      <c r="L278" s="1439" t="s">
        <v>1104</v>
      </c>
      <c r="M278" s="1439"/>
      <c r="N278" s="1439"/>
      <c r="O278" s="1439"/>
      <c r="P278" s="1439"/>
      <c r="Q278" s="1439"/>
      <c r="R278" s="3" t="s">
        <v>1069</v>
      </c>
      <c r="S278" s="3"/>
      <c r="T278" s="1423"/>
      <c r="U278" s="1423"/>
      <c r="V278" s="1423"/>
      <c r="W278" s="3" t="s">
        <v>1070</v>
      </c>
      <c r="Y278" s="1439" t="s">
        <v>1071</v>
      </c>
      <c r="Z278" s="1439"/>
      <c r="AA278" s="1439"/>
      <c r="AB278" s="1439"/>
      <c r="AC278" s="1439"/>
      <c r="AD278" s="1439"/>
    </row>
    <row r="279" spans="1:51" ht="13" customHeight="1">
      <c r="D279" s="3" t="s">
        <v>1073</v>
      </c>
      <c r="E279" s="3"/>
      <c r="F279" s="3"/>
      <c r="L279" s="1486" t="s">
        <v>1105</v>
      </c>
      <c r="M279" s="1486"/>
      <c r="N279" s="1486"/>
      <c r="O279" s="1486"/>
      <c r="P279" s="1486"/>
      <c r="Q279" s="1486"/>
      <c r="R279" s="1486"/>
      <c r="S279" s="1486"/>
      <c r="T279" s="1486"/>
      <c r="U279" s="1486"/>
      <c r="V279" s="1486"/>
      <c r="W279" s="1486"/>
      <c r="X279" s="1486"/>
      <c r="Y279" s="1486"/>
      <c r="Z279" s="1486"/>
      <c r="AA279" s="1486"/>
      <c r="AB279" s="1486"/>
      <c r="AC279" s="1486"/>
      <c r="AD279" s="1486"/>
      <c r="AF279" s="3"/>
      <c r="AG279" s="3"/>
      <c r="AH279" s="3"/>
      <c r="AI279" s="3"/>
      <c r="AJ279" s="3"/>
      <c r="AU279" s="3"/>
      <c r="AV279" s="3"/>
      <c r="AW279" s="3"/>
      <c r="AX279" s="3"/>
      <c r="AY279" s="3"/>
    </row>
    <row r="280" spans="1:51" ht="13" customHeight="1">
      <c r="D280" s="3" t="s">
        <v>1106</v>
      </c>
      <c r="E280" s="3"/>
      <c r="F280" s="3"/>
      <c r="G280" s="3"/>
      <c r="H280" s="3"/>
      <c r="I280" s="3"/>
      <c r="L280" s="1423" t="s">
        <v>2766</v>
      </c>
      <c r="M280" s="1423"/>
      <c r="N280" s="1423"/>
      <c r="O280" s="1423"/>
      <c r="P280" s="1423"/>
      <c r="Q280" s="1423"/>
      <c r="R280" s="1423"/>
      <c r="S280" s="1423"/>
      <c r="T280" s="1423"/>
      <c r="U280" s="1423"/>
      <c r="V280" s="1423"/>
      <c r="W280" s="1423"/>
      <c r="X280" s="1423"/>
      <c r="Y280" s="1423"/>
      <c r="Z280" s="1423"/>
      <c r="AA280" s="1423"/>
      <c r="AB280" s="1423"/>
      <c r="AC280" s="1423"/>
      <c r="AD280" s="1423"/>
      <c r="AK280" s="3"/>
      <c r="AL280" s="3"/>
      <c r="AM280" s="3"/>
      <c r="AN280" s="3"/>
      <c r="AO280" s="3"/>
      <c r="AP280" s="3"/>
      <c r="AQ280" s="3"/>
      <c r="AR280" s="3"/>
      <c r="AS280" s="3"/>
      <c r="AT280" s="3"/>
    </row>
    <row r="281" spans="1:51" ht="13" customHeight="1">
      <c r="L281" s="19" t="s">
        <v>1107</v>
      </c>
      <c r="AU281" s="70"/>
      <c r="AV281" s="70"/>
      <c r="AW281" s="70"/>
      <c r="AX281" s="70"/>
      <c r="AY281" s="70"/>
    </row>
    <row r="282" spans="1:51" ht="13" customHeight="1">
      <c r="A282" s="1482" t="s">
        <v>1108</v>
      </c>
      <c r="B282" s="1482"/>
      <c r="C282" s="1482"/>
      <c r="D282" s="1482"/>
      <c r="E282" s="1482"/>
      <c r="F282" s="1482"/>
      <c r="G282" s="1482"/>
      <c r="H282" s="1482"/>
      <c r="I282" s="1482"/>
      <c r="J282" s="1482"/>
      <c r="K282" s="1482"/>
      <c r="L282" s="1482"/>
      <c r="M282" s="1482"/>
      <c r="N282" s="1482"/>
      <c r="O282" s="1482"/>
      <c r="P282" s="1482"/>
      <c r="Q282" s="1482"/>
      <c r="R282" s="1482"/>
      <c r="S282" s="1482"/>
      <c r="T282" s="1482"/>
      <c r="U282" s="1482"/>
      <c r="V282" s="1482"/>
      <c r="W282" s="1482"/>
      <c r="X282" s="1482"/>
      <c r="Y282" s="1482"/>
      <c r="Z282" s="1482"/>
      <c r="AA282" s="1482"/>
      <c r="AB282" s="1482"/>
      <c r="AC282" s="1482"/>
      <c r="AD282" s="1482"/>
      <c r="AE282" s="1482"/>
      <c r="AF282" s="1482"/>
      <c r="AG282" s="1482"/>
      <c r="AH282" s="1482"/>
      <c r="AI282" s="1482"/>
      <c r="AJ282" s="1482"/>
      <c r="AK282" s="1482"/>
      <c r="AL282" s="1482"/>
      <c r="AM282" s="1482"/>
      <c r="AN282" s="1482"/>
      <c r="AO282" s="1482"/>
      <c r="AP282" s="1482"/>
      <c r="AQ282" s="1482"/>
      <c r="AR282" s="1482"/>
      <c r="AS282" s="1482"/>
      <c r="AT282" s="1482"/>
      <c r="AU282" s="70"/>
      <c r="AV282" s="70"/>
      <c r="AW282" s="70"/>
      <c r="AX282" s="70"/>
      <c r="AY282" s="70"/>
    </row>
    <row r="283" spans="1:51" ht="13" customHeight="1">
      <c r="A283" s="1482"/>
      <c r="B283" s="1482"/>
      <c r="C283" s="1482"/>
      <c r="D283" s="1482"/>
      <c r="E283" s="1482"/>
      <c r="F283" s="1482"/>
      <c r="G283" s="1482"/>
      <c r="H283" s="1482"/>
      <c r="I283" s="1482"/>
      <c r="J283" s="1482"/>
      <c r="K283" s="1482"/>
      <c r="L283" s="1482"/>
      <c r="M283" s="1482"/>
      <c r="N283" s="1482"/>
      <c r="O283" s="1482"/>
      <c r="P283" s="1482"/>
      <c r="Q283" s="1482"/>
      <c r="R283" s="1482"/>
      <c r="S283" s="1482"/>
      <c r="T283" s="1482"/>
      <c r="U283" s="1482"/>
      <c r="V283" s="1482"/>
      <c r="W283" s="1482"/>
      <c r="X283" s="1482"/>
      <c r="Y283" s="1482"/>
      <c r="Z283" s="1482"/>
      <c r="AA283" s="1482"/>
      <c r="AB283" s="1482"/>
      <c r="AC283" s="1482"/>
      <c r="AD283" s="1482"/>
      <c r="AE283" s="1482"/>
      <c r="AF283" s="1482"/>
      <c r="AG283" s="1482"/>
      <c r="AH283" s="1482"/>
      <c r="AI283" s="1482"/>
      <c r="AJ283" s="1482"/>
      <c r="AK283" s="1482"/>
      <c r="AL283" s="1482"/>
      <c r="AM283" s="1482"/>
      <c r="AN283" s="1482"/>
      <c r="AO283" s="1482"/>
      <c r="AP283" s="1482"/>
      <c r="AQ283" s="1482"/>
      <c r="AR283" s="1482"/>
      <c r="AS283" s="1482"/>
      <c r="AT283" s="1482"/>
      <c r="AU283" s="21"/>
      <c r="AV283" s="21"/>
      <c r="AW283" s="21"/>
      <c r="AX283" s="21"/>
      <c r="AY283" s="21"/>
    </row>
    <row r="284" spans="1:51" ht="13"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3" customHeight="1">
      <c r="A285" s="2" t="s">
        <v>867</v>
      </c>
      <c r="C285" s="2" t="s">
        <v>1109</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1110</v>
      </c>
      <c r="C287" s="3"/>
      <c r="D287" s="3"/>
      <c r="E287" s="3"/>
      <c r="F287" s="3"/>
      <c r="H287" s="1359" t="s">
        <v>1091</v>
      </c>
      <c r="I287" s="1359"/>
      <c r="J287" s="1359"/>
      <c r="K287" s="1359"/>
      <c r="L287" s="1359"/>
      <c r="M287" s="1359"/>
      <c r="N287" s="1359"/>
      <c r="O287" s="1359"/>
      <c r="P287" s="1359"/>
      <c r="Q287" s="1359"/>
      <c r="R287" s="1359"/>
      <c r="T287" s="3" t="s">
        <v>1111</v>
      </c>
      <c r="V287" s="3"/>
      <c r="W287" s="3"/>
      <c r="X287" s="3"/>
      <c r="Y287" s="3"/>
      <c r="AA287" s="1359" t="s">
        <v>1112</v>
      </c>
      <c r="AB287" s="1359"/>
      <c r="AC287" s="1359"/>
      <c r="AD287" s="1359"/>
      <c r="AE287" s="1359"/>
      <c r="AF287" s="1359"/>
      <c r="AG287" s="1359"/>
      <c r="AH287" s="1359"/>
      <c r="AI287" s="1359"/>
      <c r="AJ287" s="1359"/>
      <c r="AK287" s="1359"/>
    </row>
    <row r="288" spans="1:51" ht="13" customHeight="1">
      <c r="B288" s="3" t="s">
        <v>1113</v>
      </c>
      <c r="C288" s="3"/>
      <c r="D288" s="3"/>
      <c r="E288" s="3"/>
      <c r="F288" s="3"/>
      <c r="H288" s="1326" t="s">
        <v>1061</v>
      </c>
      <c r="I288" s="1326"/>
      <c r="J288" s="1326"/>
      <c r="K288" s="1326"/>
      <c r="L288" s="1326"/>
      <c r="M288" s="1326"/>
      <c r="N288" s="1326"/>
      <c r="O288" s="1326"/>
      <c r="P288" s="1326"/>
      <c r="Q288" s="1326"/>
      <c r="R288" s="1326"/>
      <c r="T288" s="3" t="s">
        <v>1113</v>
      </c>
      <c r="V288" s="3"/>
      <c r="W288" s="3"/>
      <c r="X288" s="3"/>
      <c r="Y288" s="3"/>
      <c r="AA288" s="1326" t="s">
        <v>1114</v>
      </c>
      <c r="AB288" s="1326"/>
      <c r="AC288" s="1326"/>
      <c r="AD288" s="1326"/>
      <c r="AE288" s="1326"/>
      <c r="AF288" s="1326"/>
      <c r="AG288" s="1326"/>
      <c r="AH288" s="1326"/>
      <c r="AI288" s="1326"/>
      <c r="AJ288" s="1326"/>
      <c r="AK288" s="1326"/>
    </row>
    <row r="289" spans="2:37" ht="13" customHeight="1">
      <c r="B289" s="3" t="s">
        <v>1115</v>
      </c>
      <c r="C289" s="3"/>
      <c r="D289" s="3"/>
      <c r="E289" s="3"/>
      <c r="F289" s="3"/>
      <c r="H289" s="1326" t="s">
        <v>1116</v>
      </c>
      <c r="I289" s="1326"/>
      <c r="J289" s="1326"/>
      <c r="K289" s="1326"/>
      <c r="L289" s="1326"/>
      <c r="M289" s="1326"/>
      <c r="N289" s="1326"/>
      <c r="O289" s="1326"/>
      <c r="P289" s="1326"/>
      <c r="Q289" s="1326"/>
      <c r="R289" s="1326"/>
      <c r="T289" s="3" t="s">
        <v>1117</v>
      </c>
      <c r="V289" s="3"/>
      <c r="W289" s="3"/>
      <c r="X289" s="3"/>
      <c r="Y289" s="3"/>
      <c r="AA289" s="1326" t="s">
        <v>1118</v>
      </c>
      <c r="AB289" s="1326"/>
      <c r="AC289" s="1326"/>
      <c r="AD289" s="1326"/>
      <c r="AE289" s="1326"/>
      <c r="AF289" s="1326"/>
      <c r="AG289" s="1326"/>
      <c r="AH289" s="1326"/>
      <c r="AI289" s="1326"/>
      <c r="AJ289" s="1326"/>
      <c r="AK289" s="1326"/>
    </row>
    <row r="290" spans="2:37" ht="13" customHeight="1">
      <c r="B290" s="3" t="s">
        <v>1065</v>
      </c>
      <c r="C290" s="3"/>
      <c r="D290" s="3"/>
      <c r="E290" s="3"/>
      <c r="F290" s="3"/>
      <c r="H290" s="1326" t="s">
        <v>1066</v>
      </c>
      <c r="I290" s="1326"/>
      <c r="J290" s="1326"/>
      <c r="K290" s="1326"/>
      <c r="L290" s="1326"/>
      <c r="M290" s="1326"/>
      <c r="N290" s="1326"/>
      <c r="O290" s="1326"/>
      <c r="P290" s="1326"/>
      <c r="Q290" s="1326"/>
      <c r="R290" s="1326"/>
      <c r="T290" s="3" t="s">
        <v>1065</v>
      </c>
      <c r="V290" s="3"/>
      <c r="W290" s="3"/>
      <c r="X290" s="3"/>
      <c r="Y290" s="3"/>
      <c r="AA290" s="1326" t="s">
        <v>1119</v>
      </c>
      <c r="AB290" s="1326"/>
      <c r="AC290" s="1326"/>
      <c r="AD290" s="1326"/>
      <c r="AE290" s="1326"/>
      <c r="AF290" s="1326"/>
      <c r="AG290" s="1326"/>
      <c r="AH290" s="1326"/>
      <c r="AI290" s="1326"/>
      <c r="AJ290" s="1326"/>
      <c r="AK290" s="1326"/>
    </row>
    <row r="291" spans="2:37" ht="13" customHeight="1">
      <c r="B291" s="3" t="s">
        <v>1067</v>
      </c>
      <c r="C291" s="3"/>
      <c r="D291" s="3"/>
      <c r="E291" s="3"/>
      <c r="F291" s="3"/>
      <c r="G291" s="3"/>
      <c r="H291" s="1489" t="s">
        <v>1068</v>
      </c>
      <c r="I291" s="1489"/>
      <c r="J291" s="1489"/>
      <c r="K291" s="1489"/>
      <c r="L291" s="1489"/>
      <c r="M291" s="1489"/>
      <c r="N291" s="3" t="s">
        <v>1069</v>
      </c>
      <c r="O291" s="3"/>
      <c r="P291" s="1472"/>
      <c r="Q291" s="1472"/>
      <c r="R291" s="1472"/>
      <c r="S291" s="3"/>
      <c r="T291" s="3" t="s">
        <v>1067</v>
      </c>
      <c r="V291" s="3"/>
      <c r="W291" s="3"/>
      <c r="X291" s="3"/>
      <c r="Y291" s="3"/>
      <c r="AA291" s="1489" t="s">
        <v>1120</v>
      </c>
      <c r="AB291" s="1489"/>
      <c r="AC291" s="1489"/>
      <c r="AD291" s="1489"/>
      <c r="AE291" s="1489"/>
      <c r="AF291" s="1489"/>
      <c r="AG291" s="3" t="s">
        <v>1069</v>
      </c>
      <c r="AH291" s="3"/>
      <c r="AI291" s="1472"/>
      <c r="AJ291" s="1472"/>
      <c r="AK291" s="1472"/>
    </row>
    <row r="292" spans="2:37" ht="13" customHeight="1">
      <c r="B292" s="3" t="s">
        <v>1070</v>
      </c>
      <c r="C292" s="3"/>
      <c r="D292" s="3"/>
      <c r="E292" s="3"/>
      <c r="F292" s="3"/>
      <c r="G292" s="3"/>
      <c r="H292" s="1439" t="s">
        <v>1071</v>
      </c>
      <c r="I292" s="1439"/>
      <c r="J292" s="1439"/>
      <c r="K292" s="1439"/>
      <c r="L292" s="1439"/>
      <c r="M292" s="1439"/>
      <c r="N292" s="3"/>
      <c r="O292" s="3"/>
      <c r="P292" s="84"/>
      <c r="Q292" s="84"/>
      <c r="R292" s="84"/>
      <c r="S292" s="3"/>
      <c r="T292" s="3" t="s">
        <v>1070</v>
      </c>
      <c r="V292" s="3"/>
      <c r="W292" s="3"/>
      <c r="X292" s="3"/>
      <c r="Y292" s="3"/>
      <c r="AA292" s="1439" t="s">
        <v>1121</v>
      </c>
      <c r="AB292" s="1439"/>
      <c r="AC292" s="1439"/>
      <c r="AD292" s="1439"/>
      <c r="AE292" s="1439"/>
      <c r="AF292" s="1439"/>
      <c r="AG292" s="3"/>
      <c r="AH292" s="3"/>
      <c r="AI292" s="84"/>
      <c r="AJ292" s="84"/>
      <c r="AK292" s="84"/>
    </row>
    <row r="293" spans="2:37" ht="13" customHeight="1">
      <c r="B293" s="3" t="s">
        <v>1122</v>
      </c>
      <c r="C293" s="3"/>
      <c r="D293" s="3"/>
      <c r="E293" s="3"/>
      <c r="F293" s="3"/>
      <c r="G293" s="3"/>
      <c r="H293" s="1326" t="s">
        <v>1074</v>
      </c>
      <c r="I293" s="1326"/>
      <c r="J293" s="1326"/>
      <c r="K293" s="1326"/>
      <c r="L293" s="1326"/>
      <c r="M293" s="1326"/>
      <c r="N293" s="1359"/>
      <c r="O293" s="1359"/>
      <c r="P293" s="1359"/>
      <c r="Q293" s="1359"/>
      <c r="R293" s="1359"/>
      <c r="S293" s="3"/>
      <c r="T293" s="3" t="s">
        <v>1122</v>
      </c>
      <c r="V293" s="3"/>
      <c r="W293" s="3"/>
      <c r="X293" s="3"/>
      <c r="Y293" s="3"/>
      <c r="AA293" s="1326" t="s">
        <v>1123</v>
      </c>
      <c r="AB293" s="1326"/>
      <c r="AC293" s="1326"/>
      <c r="AD293" s="1326"/>
      <c r="AE293" s="1326"/>
      <c r="AF293" s="1326"/>
      <c r="AG293" s="1359"/>
      <c r="AH293" s="1359"/>
      <c r="AI293" s="1359"/>
      <c r="AJ293" s="1359"/>
      <c r="AK293" s="1359"/>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1124</v>
      </c>
      <c r="C295" s="3"/>
      <c r="D295" s="3"/>
      <c r="E295" s="3"/>
      <c r="F295" s="3"/>
      <c r="H295" s="1359" t="s">
        <v>1125</v>
      </c>
      <c r="I295" s="1359"/>
      <c r="J295" s="1359"/>
      <c r="K295" s="1359"/>
      <c r="L295" s="1359"/>
      <c r="M295" s="1359"/>
      <c r="N295" s="1359"/>
      <c r="O295" s="1359"/>
      <c r="P295" s="1359"/>
      <c r="Q295" s="1359"/>
      <c r="R295" s="1359"/>
      <c r="T295" s="3" t="s">
        <v>1126</v>
      </c>
      <c r="V295" s="3"/>
      <c r="W295" s="3"/>
      <c r="X295" s="3"/>
      <c r="Y295" s="3"/>
      <c r="AA295" s="1359" t="s">
        <v>1127</v>
      </c>
      <c r="AB295" s="1359"/>
      <c r="AC295" s="1359"/>
      <c r="AD295" s="1359"/>
      <c r="AE295" s="1359"/>
      <c r="AF295" s="1359"/>
      <c r="AG295" s="1359"/>
      <c r="AH295" s="1359"/>
      <c r="AI295" s="1359"/>
      <c r="AJ295" s="1359"/>
      <c r="AK295" s="1359"/>
    </row>
    <row r="296" spans="2:37" ht="13" customHeight="1">
      <c r="B296" s="3" t="s">
        <v>1113</v>
      </c>
      <c r="C296" s="3"/>
      <c r="D296" s="3"/>
      <c r="E296" s="3"/>
      <c r="F296" s="3"/>
      <c r="H296" s="1326" t="s">
        <v>1128</v>
      </c>
      <c r="I296" s="1326"/>
      <c r="J296" s="1326"/>
      <c r="K296" s="1326"/>
      <c r="L296" s="1326"/>
      <c r="M296" s="1326"/>
      <c r="N296" s="1326"/>
      <c r="O296" s="1326"/>
      <c r="P296" s="1326"/>
      <c r="Q296" s="1326"/>
      <c r="R296" s="1326"/>
      <c r="T296" s="3" t="s">
        <v>1113</v>
      </c>
      <c r="V296" s="3"/>
      <c r="W296" s="3"/>
      <c r="X296" s="3"/>
      <c r="Y296" s="3"/>
      <c r="AA296" s="1326" t="s">
        <v>1129</v>
      </c>
      <c r="AB296" s="1326"/>
      <c r="AC296" s="1326"/>
      <c r="AD296" s="1326"/>
      <c r="AE296" s="1326"/>
      <c r="AF296" s="1326"/>
      <c r="AG296" s="1326"/>
      <c r="AH296" s="1326"/>
      <c r="AI296" s="1326"/>
      <c r="AJ296" s="1326"/>
      <c r="AK296" s="1326"/>
    </row>
    <row r="297" spans="2:37" ht="13" customHeight="1">
      <c r="B297" s="3" t="s">
        <v>1115</v>
      </c>
      <c r="C297" s="3"/>
      <c r="D297" s="3"/>
      <c r="E297" s="3"/>
      <c r="F297" s="3"/>
      <c r="H297" s="1326" t="s">
        <v>1130</v>
      </c>
      <c r="I297" s="1326"/>
      <c r="J297" s="1326"/>
      <c r="K297" s="1326"/>
      <c r="L297" s="1326"/>
      <c r="M297" s="1326"/>
      <c r="N297" s="1326"/>
      <c r="O297" s="1326"/>
      <c r="P297" s="1326"/>
      <c r="Q297" s="1326"/>
      <c r="R297" s="1326"/>
      <c r="T297" s="3" t="s">
        <v>1117</v>
      </c>
      <c r="V297" s="3"/>
      <c r="W297" s="3"/>
      <c r="X297" s="3"/>
      <c r="Y297" s="3"/>
      <c r="AA297" s="1326" t="s">
        <v>1131</v>
      </c>
      <c r="AB297" s="1326"/>
      <c r="AC297" s="1326"/>
      <c r="AD297" s="1326"/>
      <c r="AE297" s="1326"/>
      <c r="AF297" s="1326"/>
      <c r="AG297" s="1326"/>
      <c r="AH297" s="1326"/>
      <c r="AI297" s="1326"/>
      <c r="AJ297" s="1326"/>
      <c r="AK297" s="1326"/>
    </row>
    <row r="298" spans="2:37" ht="13" customHeight="1">
      <c r="B298" s="3" t="s">
        <v>1065</v>
      </c>
      <c r="C298" s="3"/>
      <c r="D298" s="3"/>
      <c r="E298" s="3"/>
      <c r="F298" s="3"/>
      <c r="H298" s="1326" t="s">
        <v>1132</v>
      </c>
      <c r="I298" s="1326"/>
      <c r="J298" s="1326"/>
      <c r="K298" s="1326"/>
      <c r="L298" s="1326"/>
      <c r="M298" s="1326"/>
      <c r="N298" s="1326"/>
      <c r="O298" s="1326"/>
      <c r="P298" s="1326"/>
      <c r="Q298" s="1326"/>
      <c r="R298" s="1326"/>
      <c r="T298" s="3" t="s">
        <v>1065</v>
      </c>
      <c r="V298" s="3"/>
      <c r="W298" s="3"/>
      <c r="X298" s="3"/>
      <c r="Y298" s="3"/>
      <c r="AA298" s="1326" t="s">
        <v>1133</v>
      </c>
      <c r="AB298" s="1326"/>
      <c r="AC298" s="1326"/>
      <c r="AD298" s="1326"/>
      <c r="AE298" s="1326"/>
      <c r="AF298" s="1326"/>
      <c r="AG298" s="1326"/>
      <c r="AH298" s="1326"/>
      <c r="AI298" s="1326"/>
      <c r="AJ298" s="1326"/>
      <c r="AK298" s="1326"/>
    </row>
    <row r="299" spans="2:37" ht="13" customHeight="1">
      <c r="B299" s="3" t="s">
        <v>1067</v>
      </c>
      <c r="C299" s="3"/>
      <c r="D299" s="3"/>
      <c r="E299" s="3"/>
      <c r="F299" s="3"/>
      <c r="G299" s="3"/>
      <c r="H299" s="1489" t="s">
        <v>1134</v>
      </c>
      <c r="I299" s="1489"/>
      <c r="J299" s="1489"/>
      <c r="K299" s="1489"/>
      <c r="L299" s="1489"/>
      <c r="M299" s="1489"/>
      <c r="N299" s="3" t="s">
        <v>1069</v>
      </c>
      <c r="O299" s="3"/>
      <c r="P299" s="1472"/>
      <c r="Q299" s="1472"/>
      <c r="R299" s="1472"/>
      <c r="S299" s="3"/>
      <c r="T299" s="3" t="s">
        <v>1067</v>
      </c>
      <c r="V299" s="3"/>
      <c r="W299" s="3"/>
      <c r="X299" s="3"/>
      <c r="Y299" s="3"/>
      <c r="AA299" s="1489" t="s">
        <v>1135</v>
      </c>
      <c r="AB299" s="1489"/>
      <c r="AC299" s="1489"/>
      <c r="AD299" s="1489"/>
      <c r="AE299" s="1489"/>
      <c r="AF299" s="1489"/>
      <c r="AG299" s="3" t="s">
        <v>1069</v>
      </c>
      <c r="AH299" s="3"/>
      <c r="AI299" s="1472"/>
      <c r="AJ299" s="1472"/>
      <c r="AK299" s="1472"/>
    </row>
    <row r="300" spans="2:37" ht="13" customHeight="1">
      <c r="B300" s="3" t="s">
        <v>1070</v>
      </c>
      <c r="C300" s="3"/>
      <c r="D300" s="3"/>
      <c r="E300" s="3"/>
      <c r="F300" s="3"/>
      <c r="G300" s="3"/>
      <c r="H300" s="1439"/>
      <c r="I300" s="1439"/>
      <c r="J300" s="1439"/>
      <c r="K300" s="1439"/>
      <c r="L300" s="1439"/>
      <c r="M300" s="1439"/>
      <c r="N300" s="3"/>
      <c r="O300" s="3"/>
      <c r="P300" s="84"/>
      <c r="Q300" s="84"/>
      <c r="R300" s="84"/>
      <c r="S300" s="3"/>
      <c r="T300" s="3" t="s">
        <v>1070</v>
      </c>
      <c r="V300" s="3"/>
      <c r="W300" s="3"/>
      <c r="X300" s="3"/>
      <c r="Y300" s="3"/>
      <c r="AA300" s="1439" t="s">
        <v>1136</v>
      </c>
      <c r="AB300" s="1439"/>
      <c r="AC300" s="1439"/>
      <c r="AD300" s="1439"/>
      <c r="AE300" s="1439"/>
      <c r="AF300" s="1439"/>
      <c r="AG300" s="3"/>
      <c r="AH300" s="3"/>
      <c r="AI300" s="84"/>
      <c r="AJ300" s="84"/>
      <c r="AK300" s="84"/>
    </row>
    <row r="301" spans="2:37" ht="13" customHeight="1">
      <c r="B301" s="3" t="s">
        <v>1122</v>
      </c>
      <c r="C301" s="3"/>
      <c r="D301" s="3"/>
      <c r="E301" s="3"/>
      <c r="F301" s="3"/>
      <c r="G301" s="3"/>
      <c r="H301" s="1326" t="s">
        <v>1137</v>
      </c>
      <c r="I301" s="1326"/>
      <c r="J301" s="1326"/>
      <c r="K301" s="1326"/>
      <c r="L301" s="1326"/>
      <c r="M301" s="1326"/>
      <c r="N301" s="1359"/>
      <c r="O301" s="1359"/>
      <c r="P301" s="1359"/>
      <c r="Q301" s="1359"/>
      <c r="R301" s="1359"/>
      <c r="S301" s="3"/>
      <c r="T301" s="3" t="s">
        <v>1122</v>
      </c>
      <c r="V301" s="3"/>
      <c r="W301" s="3"/>
      <c r="X301" s="3"/>
      <c r="Y301" s="3"/>
      <c r="AA301" s="1326" t="s">
        <v>1138</v>
      </c>
      <c r="AB301" s="1326"/>
      <c r="AC301" s="1326"/>
      <c r="AD301" s="1326"/>
      <c r="AE301" s="1326"/>
      <c r="AF301" s="1326"/>
      <c r="AG301" s="1359"/>
      <c r="AH301" s="1359"/>
      <c r="AI301" s="1359"/>
      <c r="AJ301" s="1359"/>
      <c r="AK301" s="1359"/>
    </row>
    <row r="302" spans="2:37" ht="13" customHeight="1"/>
    <row r="303" spans="2:37" ht="13" customHeight="1">
      <c r="B303" s="3" t="s">
        <v>1139</v>
      </c>
      <c r="C303" s="3"/>
      <c r="D303" s="3"/>
      <c r="E303" s="3"/>
      <c r="F303" s="3"/>
      <c r="H303" s="1359" t="s">
        <v>1125</v>
      </c>
      <c r="I303" s="1359"/>
      <c r="J303" s="1359"/>
      <c r="K303" s="1359"/>
      <c r="L303" s="1359"/>
      <c r="M303" s="1359"/>
      <c r="N303" s="1359"/>
      <c r="O303" s="1359"/>
      <c r="P303" s="1359"/>
      <c r="Q303" s="1359"/>
      <c r="R303" s="1359"/>
      <c r="T303" s="3" t="s">
        <v>1140</v>
      </c>
      <c r="V303" s="3"/>
      <c r="W303" s="3"/>
      <c r="X303" s="3"/>
      <c r="Y303" s="3"/>
      <c r="AA303" s="1359" t="s">
        <v>1141</v>
      </c>
      <c r="AB303" s="1359"/>
      <c r="AC303" s="1359"/>
      <c r="AD303" s="1359"/>
      <c r="AE303" s="1359"/>
      <c r="AF303" s="1359"/>
      <c r="AG303" s="1359"/>
      <c r="AH303" s="1359"/>
      <c r="AI303" s="1359"/>
      <c r="AJ303" s="1359"/>
      <c r="AK303" s="1359"/>
    </row>
    <row r="304" spans="2:37" ht="13" customHeight="1">
      <c r="B304" s="3" t="s">
        <v>1113</v>
      </c>
      <c r="C304" s="3"/>
      <c r="D304" s="3"/>
      <c r="E304" s="3"/>
      <c r="F304" s="3"/>
      <c r="H304" s="1326" t="s">
        <v>1128</v>
      </c>
      <c r="I304" s="1326"/>
      <c r="J304" s="1326"/>
      <c r="K304" s="1326"/>
      <c r="L304" s="1326"/>
      <c r="M304" s="1326"/>
      <c r="N304" s="1326"/>
      <c r="O304" s="1326"/>
      <c r="P304" s="1326"/>
      <c r="Q304" s="1326"/>
      <c r="R304" s="1326"/>
      <c r="T304" s="3" t="s">
        <v>1113</v>
      </c>
      <c r="V304" s="3"/>
      <c r="W304" s="3"/>
      <c r="X304" s="3"/>
      <c r="Y304" s="3"/>
      <c r="AA304" s="1326" t="s">
        <v>1142</v>
      </c>
      <c r="AB304" s="1326"/>
      <c r="AC304" s="1326"/>
      <c r="AD304" s="1326"/>
      <c r="AE304" s="1326"/>
      <c r="AF304" s="1326"/>
      <c r="AG304" s="1326"/>
      <c r="AH304" s="1326"/>
      <c r="AI304" s="1326"/>
      <c r="AJ304" s="1326"/>
      <c r="AK304" s="1326"/>
    </row>
    <row r="305" spans="2:37" ht="13" customHeight="1">
      <c r="B305" s="3" t="s">
        <v>1115</v>
      </c>
      <c r="C305" s="3"/>
      <c r="D305" s="3"/>
      <c r="E305" s="3"/>
      <c r="F305" s="3"/>
      <c r="H305" s="1326" t="s">
        <v>1130</v>
      </c>
      <c r="I305" s="1326"/>
      <c r="J305" s="1326"/>
      <c r="K305" s="1326"/>
      <c r="L305" s="1326"/>
      <c r="M305" s="1326"/>
      <c r="N305" s="1326"/>
      <c r="O305" s="1326"/>
      <c r="P305" s="1326"/>
      <c r="Q305" s="1326"/>
      <c r="R305" s="1326"/>
      <c r="T305" s="3" t="s">
        <v>1117</v>
      </c>
      <c r="V305" s="3"/>
      <c r="W305" s="3"/>
      <c r="X305" s="3"/>
      <c r="Y305" s="3"/>
      <c r="AA305" s="1326" t="s">
        <v>1143</v>
      </c>
      <c r="AB305" s="1326"/>
      <c r="AC305" s="1326"/>
      <c r="AD305" s="1326"/>
      <c r="AE305" s="1326"/>
      <c r="AF305" s="1326"/>
      <c r="AG305" s="1326"/>
      <c r="AH305" s="1326"/>
      <c r="AI305" s="1326"/>
      <c r="AJ305" s="1326"/>
      <c r="AK305" s="1326"/>
    </row>
    <row r="306" spans="2:37" ht="13" customHeight="1">
      <c r="B306" s="3" t="s">
        <v>1065</v>
      </c>
      <c r="C306" s="3"/>
      <c r="D306" s="3"/>
      <c r="E306" s="3"/>
      <c r="F306" s="3"/>
      <c r="H306" s="1326" t="s">
        <v>1144</v>
      </c>
      <c r="I306" s="1326"/>
      <c r="J306" s="1326"/>
      <c r="K306" s="1326"/>
      <c r="L306" s="1326"/>
      <c r="M306" s="1326"/>
      <c r="N306" s="1326"/>
      <c r="O306" s="1326"/>
      <c r="P306" s="1326"/>
      <c r="Q306" s="1326"/>
      <c r="R306" s="1326"/>
      <c r="T306" s="3" t="s">
        <v>1065</v>
      </c>
      <c r="V306" s="3"/>
      <c r="W306" s="3"/>
      <c r="X306" s="3"/>
      <c r="Y306" s="3"/>
      <c r="AA306" s="1326" t="s">
        <v>1145</v>
      </c>
      <c r="AB306" s="1326"/>
      <c r="AC306" s="1326"/>
      <c r="AD306" s="1326"/>
      <c r="AE306" s="1326"/>
      <c r="AF306" s="1326"/>
      <c r="AG306" s="1326"/>
      <c r="AH306" s="1326"/>
      <c r="AI306" s="1326"/>
      <c r="AJ306" s="1326"/>
      <c r="AK306" s="1326"/>
    </row>
    <row r="307" spans="2:37" ht="13" customHeight="1">
      <c r="B307" s="3" t="s">
        <v>1067</v>
      </c>
      <c r="C307" s="3"/>
      <c r="D307" s="3"/>
      <c r="E307" s="3"/>
      <c r="F307" s="3"/>
      <c r="G307" s="3"/>
      <c r="H307" s="1489" t="s">
        <v>1146</v>
      </c>
      <c r="I307" s="1489"/>
      <c r="J307" s="1489"/>
      <c r="K307" s="1489"/>
      <c r="L307" s="1489"/>
      <c r="M307" s="1489"/>
      <c r="N307" s="3" t="s">
        <v>1069</v>
      </c>
      <c r="O307" s="3"/>
      <c r="P307" s="1472"/>
      <c r="Q307" s="1472"/>
      <c r="R307" s="1472"/>
      <c r="S307" s="3"/>
      <c r="T307" s="3" t="s">
        <v>1067</v>
      </c>
      <c r="V307" s="3"/>
      <c r="W307" s="3"/>
      <c r="X307" s="3"/>
      <c r="Y307" s="3"/>
      <c r="AA307" s="1489" t="s">
        <v>1147</v>
      </c>
      <c r="AB307" s="1489"/>
      <c r="AC307" s="1489"/>
      <c r="AD307" s="1489"/>
      <c r="AE307" s="1489"/>
      <c r="AF307" s="1489"/>
      <c r="AG307" s="3" t="s">
        <v>1069</v>
      </c>
      <c r="AH307" s="3"/>
      <c r="AI307" s="1472"/>
      <c r="AJ307" s="1472"/>
      <c r="AK307" s="1472"/>
    </row>
    <row r="308" spans="2:37" ht="13" customHeight="1">
      <c r="B308" s="3" t="s">
        <v>1070</v>
      </c>
      <c r="C308" s="3"/>
      <c r="D308" s="3"/>
      <c r="E308" s="3"/>
      <c r="F308" s="3"/>
      <c r="G308" s="3"/>
      <c r="H308" s="1439"/>
      <c r="I308" s="1439"/>
      <c r="J308" s="1439"/>
      <c r="K308" s="1439"/>
      <c r="L308" s="1439"/>
      <c r="M308" s="1439"/>
      <c r="N308" s="3"/>
      <c r="O308" s="3"/>
      <c r="P308" s="84"/>
      <c r="Q308" s="84"/>
      <c r="R308" s="84"/>
      <c r="S308" s="3"/>
      <c r="T308" s="3" t="s">
        <v>1070</v>
      </c>
      <c r="V308" s="3"/>
      <c r="W308" s="3"/>
      <c r="X308" s="3"/>
      <c r="Y308" s="3"/>
      <c r="AA308" s="1439"/>
      <c r="AB308" s="1439"/>
      <c r="AC308" s="1439"/>
      <c r="AD308" s="1439"/>
      <c r="AE308" s="1439"/>
      <c r="AF308" s="1439"/>
      <c r="AG308" s="3"/>
      <c r="AH308" s="3"/>
      <c r="AI308" s="84"/>
      <c r="AJ308" s="84"/>
      <c r="AK308" s="84"/>
    </row>
    <row r="309" spans="2:37" ht="13" customHeight="1">
      <c r="B309" s="3" t="s">
        <v>1122</v>
      </c>
      <c r="C309" s="3"/>
      <c r="D309" s="3"/>
      <c r="E309" s="3"/>
      <c r="F309" s="3"/>
      <c r="G309" s="3"/>
      <c r="H309" s="1326" t="s">
        <v>1148</v>
      </c>
      <c r="I309" s="1326"/>
      <c r="J309" s="1326"/>
      <c r="K309" s="1326"/>
      <c r="L309" s="1326"/>
      <c r="M309" s="1326"/>
      <c r="N309" s="1359"/>
      <c r="O309" s="1359"/>
      <c r="P309" s="1359"/>
      <c r="Q309" s="1359"/>
      <c r="R309" s="1359"/>
      <c r="S309" s="3"/>
      <c r="T309" s="3" t="s">
        <v>1122</v>
      </c>
      <c r="V309" s="3"/>
      <c r="W309" s="3"/>
      <c r="X309" s="3"/>
      <c r="Y309" s="3"/>
      <c r="AA309" s="1326" t="s">
        <v>1149</v>
      </c>
      <c r="AB309" s="1326"/>
      <c r="AC309" s="1326"/>
      <c r="AD309" s="1326"/>
      <c r="AE309" s="1326"/>
      <c r="AF309" s="1326"/>
      <c r="AG309" s="1359"/>
      <c r="AH309" s="1359"/>
      <c r="AI309" s="1359"/>
      <c r="AJ309" s="1359"/>
      <c r="AK309" s="1359"/>
    </row>
    <row r="310" spans="2:37" ht="13"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3" customHeight="1">
      <c r="B311" s="3" t="s">
        <v>1150</v>
      </c>
      <c r="C311" s="3"/>
      <c r="D311" s="3"/>
      <c r="E311" s="3"/>
      <c r="F311" s="3"/>
      <c r="H311" s="1359" t="s">
        <v>2767</v>
      </c>
      <c r="I311" s="1359"/>
      <c r="J311" s="1359"/>
      <c r="K311" s="1359"/>
      <c r="L311" s="1359"/>
      <c r="M311" s="1359"/>
      <c r="N311" s="1359"/>
      <c r="O311" s="1359"/>
      <c r="P311" s="1359"/>
      <c r="Q311" s="1359"/>
      <c r="R311" s="1359"/>
      <c r="S311" s="3"/>
      <c r="T311" s="3" t="s">
        <v>1151</v>
      </c>
      <c r="V311" s="3"/>
      <c r="W311" s="3"/>
      <c r="X311" s="3"/>
      <c r="Y311" s="3"/>
      <c r="AA311" s="1359" t="s">
        <v>1152</v>
      </c>
      <c r="AB311" s="1359"/>
      <c r="AC311" s="1359"/>
      <c r="AD311" s="1359"/>
      <c r="AE311" s="1359"/>
      <c r="AF311" s="1359"/>
      <c r="AG311" s="1359"/>
      <c r="AH311" s="1359"/>
      <c r="AI311" s="1359"/>
      <c r="AJ311" s="1359"/>
      <c r="AK311" s="1359"/>
    </row>
    <row r="312" spans="2:37" ht="13" customHeight="1">
      <c r="B312" s="3" t="s">
        <v>1113</v>
      </c>
      <c r="C312" s="3"/>
      <c r="D312" s="3"/>
      <c r="E312" s="3"/>
      <c r="F312" s="3"/>
      <c r="H312" s="1326" t="s">
        <v>2768</v>
      </c>
      <c r="I312" s="1326"/>
      <c r="J312" s="1326"/>
      <c r="K312" s="1326"/>
      <c r="L312" s="1326"/>
      <c r="M312" s="1326"/>
      <c r="N312" s="1326"/>
      <c r="O312" s="1326"/>
      <c r="P312" s="1326"/>
      <c r="Q312" s="1326"/>
      <c r="R312" s="1326"/>
      <c r="S312" s="3"/>
      <c r="T312" s="3" t="s">
        <v>1113</v>
      </c>
      <c r="V312" s="3"/>
      <c r="W312" s="3"/>
      <c r="X312" s="3"/>
      <c r="Y312" s="3"/>
      <c r="AA312" s="1326"/>
      <c r="AB312" s="1326"/>
      <c r="AC312" s="1326"/>
      <c r="AD312" s="1326"/>
      <c r="AE312" s="1326"/>
      <c r="AF312" s="1326"/>
      <c r="AG312" s="1326"/>
      <c r="AH312" s="1326"/>
      <c r="AI312" s="1326"/>
      <c r="AJ312" s="1326"/>
      <c r="AK312" s="1326"/>
    </row>
    <row r="313" spans="2:37" ht="13" customHeight="1">
      <c r="B313" s="3" t="s">
        <v>1115</v>
      </c>
      <c r="C313" s="3"/>
      <c r="D313" s="3"/>
      <c r="E313" s="3"/>
      <c r="F313" s="3"/>
      <c r="H313" s="1326" t="s">
        <v>2769</v>
      </c>
      <c r="I313" s="1326"/>
      <c r="J313" s="1326"/>
      <c r="K313" s="1326"/>
      <c r="L313" s="1326"/>
      <c r="M313" s="1326"/>
      <c r="N313" s="1326"/>
      <c r="O313" s="1326"/>
      <c r="P313" s="1326"/>
      <c r="Q313" s="1326"/>
      <c r="R313" s="1326"/>
      <c r="S313" s="3"/>
      <c r="T313" s="3" t="s">
        <v>1117</v>
      </c>
      <c r="V313" s="3"/>
      <c r="W313" s="3"/>
      <c r="X313" s="3"/>
      <c r="Y313" s="3"/>
      <c r="AA313" s="1326"/>
      <c r="AB313" s="1326"/>
      <c r="AC313" s="1326"/>
      <c r="AD313" s="1326"/>
      <c r="AE313" s="1326"/>
      <c r="AF313" s="1326"/>
      <c r="AG313" s="1326"/>
      <c r="AH313" s="1326"/>
      <c r="AI313" s="1326"/>
      <c r="AJ313" s="1326"/>
      <c r="AK313" s="1326"/>
    </row>
    <row r="314" spans="2:37" ht="13" customHeight="1">
      <c r="B314" s="3" t="s">
        <v>1065</v>
      </c>
      <c r="C314" s="3"/>
      <c r="D314" s="3"/>
      <c r="E314" s="3"/>
      <c r="F314" s="3"/>
      <c r="H314" s="1326" t="s">
        <v>2770</v>
      </c>
      <c r="I314" s="1326"/>
      <c r="J314" s="1326"/>
      <c r="K314" s="1326"/>
      <c r="L314" s="1326"/>
      <c r="M314" s="1326"/>
      <c r="N314" s="1326"/>
      <c r="O314" s="1326"/>
      <c r="P314" s="1326"/>
      <c r="Q314" s="1326"/>
      <c r="R314" s="1326"/>
      <c r="S314" s="3"/>
      <c r="T314" s="3" t="s">
        <v>1065</v>
      </c>
      <c r="V314" s="3"/>
      <c r="W314" s="3"/>
      <c r="X314" s="3"/>
      <c r="Y314" s="3"/>
      <c r="AA314" s="1326"/>
      <c r="AB314" s="1326"/>
      <c r="AC314" s="1326"/>
      <c r="AD314" s="1326"/>
      <c r="AE314" s="1326"/>
      <c r="AF314" s="1326"/>
      <c r="AG314" s="1326"/>
      <c r="AH314" s="1326"/>
      <c r="AI314" s="1326"/>
      <c r="AJ314" s="1326"/>
      <c r="AK314" s="1326"/>
    </row>
    <row r="315" spans="2:37" ht="13" customHeight="1">
      <c r="B315" s="3" t="s">
        <v>1067</v>
      </c>
      <c r="C315" s="3"/>
      <c r="D315" s="3"/>
      <c r="E315" s="3"/>
      <c r="F315" s="3"/>
      <c r="G315" s="3"/>
      <c r="H315" s="1489" t="s">
        <v>2771</v>
      </c>
      <c r="I315" s="1489"/>
      <c r="J315" s="1489"/>
      <c r="K315" s="1489"/>
      <c r="L315" s="1489"/>
      <c r="M315" s="1489"/>
      <c r="N315" s="3" t="s">
        <v>1069</v>
      </c>
      <c r="O315" s="3"/>
      <c r="P315" s="1472"/>
      <c r="Q315" s="1472"/>
      <c r="R315" s="1472"/>
      <c r="S315" s="3"/>
      <c r="T315" s="3" t="s">
        <v>1067</v>
      </c>
      <c r="V315" s="3"/>
      <c r="W315" s="3"/>
      <c r="X315" s="3"/>
      <c r="Y315" s="3"/>
      <c r="AA315" s="1489"/>
      <c r="AB315" s="1489"/>
      <c r="AC315" s="1489"/>
      <c r="AD315" s="1489"/>
      <c r="AE315" s="1489"/>
      <c r="AF315" s="1489"/>
      <c r="AG315" s="3" t="s">
        <v>1069</v>
      </c>
      <c r="AH315" s="3"/>
      <c r="AI315" s="1472"/>
      <c r="AJ315" s="1472"/>
      <c r="AK315" s="1472"/>
    </row>
    <row r="316" spans="2:37" ht="13" customHeight="1">
      <c r="B316" s="3" t="s">
        <v>1070</v>
      </c>
      <c r="C316" s="3"/>
      <c r="D316" s="3"/>
      <c r="E316" s="3"/>
      <c r="F316" s="3"/>
      <c r="G316" s="3"/>
      <c r="H316" s="1439"/>
      <c r="I316" s="1439"/>
      <c r="J316" s="1439"/>
      <c r="K316" s="1439"/>
      <c r="L316" s="1439"/>
      <c r="M316" s="1439"/>
      <c r="N316" s="3"/>
      <c r="O316" s="3"/>
      <c r="P316" s="84"/>
      <c r="Q316" s="84"/>
      <c r="R316" s="84"/>
      <c r="S316" s="3"/>
      <c r="T316" s="3" t="s">
        <v>1070</v>
      </c>
      <c r="V316" s="3"/>
      <c r="W316" s="3"/>
      <c r="X316" s="3"/>
      <c r="Y316" s="3"/>
      <c r="AA316" s="1439"/>
      <c r="AB316" s="1439"/>
      <c r="AC316" s="1439"/>
      <c r="AD316" s="1439"/>
      <c r="AE316" s="1439"/>
      <c r="AF316" s="1439"/>
      <c r="AG316" s="3"/>
      <c r="AH316" s="3"/>
      <c r="AI316" s="84"/>
      <c r="AJ316" s="84"/>
      <c r="AK316" s="84"/>
    </row>
    <row r="317" spans="2:37" ht="13" customHeight="1">
      <c r="B317" s="3" t="s">
        <v>1122</v>
      </c>
      <c r="C317" s="3"/>
      <c r="D317" s="3"/>
      <c r="E317" s="3"/>
      <c r="F317" s="3"/>
      <c r="G317" s="3"/>
      <c r="H317" s="1326" t="s">
        <v>2772</v>
      </c>
      <c r="I317" s="1326"/>
      <c r="J317" s="1326"/>
      <c r="K317" s="1326"/>
      <c r="L317" s="1326"/>
      <c r="M317" s="1326"/>
      <c r="N317" s="1359"/>
      <c r="O317" s="1359"/>
      <c r="P317" s="1359"/>
      <c r="Q317" s="1359"/>
      <c r="R317" s="1359"/>
      <c r="S317" s="3"/>
      <c r="T317" s="3" t="s">
        <v>1122</v>
      </c>
      <c r="V317" s="3"/>
      <c r="W317" s="3"/>
      <c r="X317" s="3"/>
      <c r="Y317" s="3"/>
      <c r="AA317" s="1326"/>
      <c r="AB317" s="1326"/>
      <c r="AC317" s="1326"/>
      <c r="AD317" s="1326"/>
      <c r="AE317" s="1326"/>
      <c r="AF317" s="1326"/>
      <c r="AG317" s="1359"/>
      <c r="AH317" s="1359"/>
      <c r="AI317" s="1359"/>
      <c r="AJ317" s="1359"/>
      <c r="AK317" s="1359"/>
    </row>
    <row r="318" spans="2:37" ht="13" customHeight="1"/>
    <row r="319" spans="2:37" ht="13" customHeight="1">
      <c r="B319" s="3" t="s">
        <v>1153</v>
      </c>
      <c r="C319" s="3"/>
      <c r="D319" s="3"/>
      <c r="E319" s="3"/>
      <c r="F319" s="3"/>
      <c r="H319" s="1359" t="s">
        <v>1154</v>
      </c>
      <c r="I319" s="1359"/>
      <c r="J319" s="1359"/>
      <c r="K319" s="1359"/>
      <c r="L319" s="1359"/>
      <c r="M319" s="1359"/>
      <c r="N319" s="1359"/>
      <c r="O319" s="1359"/>
      <c r="P319" s="1359"/>
      <c r="Q319" s="1359"/>
      <c r="R319" s="1359"/>
      <c r="T319" s="3" t="s">
        <v>1155</v>
      </c>
      <c r="V319" s="3"/>
      <c r="W319" s="3"/>
      <c r="X319" s="3"/>
      <c r="Y319" s="3"/>
      <c r="AA319" s="1359" t="s">
        <v>1156</v>
      </c>
      <c r="AB319" s="1359"/>
      <c r="AC319" s="1359"/>
      <c r="AD319" s="1359"/>
      <c r="AE319" s="1359"/>
      <c r="AF319" s="1359"/>
      <c r="AG319" s="1359"/>
      <c r="AH319" s="1359"/>
      <c r="AI319" s="1359"/>
      <c r="AJ319" s="1359"/>
      <c r="AK319" s="1359"/>
    </row>
    <row r="320" spans="2:37" ht="13" customHeight="1">
      <c r="B320" s="3" t="s">
        <v>1113</v>
      </c>
      <c r="C320" s="3"/>
      <c r="D320" s="3"/>
      <c r="E320" s="3"/>
      <c r="F320" s="3"/>
      <c r="H320" s="1326" t="s">
        <v>1157</v>
      </c>
      <c r="I320" s="1326"/>
      <c r="J320" s="1326"/>
      <c r="K320" s="1326"/>
      <c r="L320" s="1326"/>
      <c r="M320" s="1326"/>
      <c r="N320" s="1326"/>
      <c r="O320" s="1326"/>
      <c r="P320" s="1326"/>
      <c r="Q320" s="1326"/>
      <c r="R320" s="1326"/>
      <c r="T320" s="3" t="s">
        <v>1113</v>
      </c>
      <c r="V320" s="3"/>
      <c r="W320" s="3"/>
      <c r="X320" s="3"/>
      <c r="Y320" s="3"/>
      <c r="AA320" s="1326" t="s">
        <v>1158</v>
      </c>
      <c r="AB320" s="1326"/>
      <c r="AC320" s="1326"/>
      <c r="AD320" s="1326"/>
      <c r="AE320" s="1326"/>
      <c r="AF320" s="1326"/>
      <c r="AG320" s="1326"/>
      <c r="AH320" s="1326"/>
      <c r="AI320" s="1326"/>
      <c r="AJ320" s="1326"/>
      <c r="AK320" s="1326"/>
    </row>
    <row r="321" spans="2:37" ht="13" customHeight="1">
      <c r="B321" s="3" t="s">
        <v>1115</v>
      </c>
      <c r="C321" s="3"/>
      <c r="D321" s="3"/>
      <c r="E321" s="3"/>
      <c r="F321" s="3"/>
      <c r="H321" s="1326" t="s">
        <v>1159</v>
      </c>
      <c r="I321" s="1326"/>
      <c r="J321" s="1326"/>
      <c r="K321" s="1326"/>
      <c r="L321" s="1326"/>
      <c r="M321" s="1326"/>
      <c r="N321" s="1326"/>
      <c r="O321" s="1326"/>
      <c r="P321" s="1326"/>
      <c r="Q321" s="1326"/>
      <c r="R321" s="1326"/>
      <c r="T321" s="3" t="s">
        <v>1117</v>
      </c>
      <c r="V321" s="3"/>
      <c r="W321" s="3"/>
      <c r="X321" s="3"/>
      <c r="Y321" s="3"/>
      <c r="AA321" s="1326" t="s">
        <v>1160</v>
      </c>
      <c r="AB321" s="1326"/>
      <c r="AC321" s="1326"/>
      <c r="AD321" s="1326"/>
      <c r="AE321" s="1326"/>
      <c r="AF321" s="1326"/>
      <c r="AG321" s="1326"/>
      <c r="AH321" s="1326"/>
      <c r="AI321" s="1326"/>
      <c r="AJ321" s="1326"/>
      <c r="AK321" s="1326"/>
    </row>
    <row r="322" spans="2:37" ht="13" customHeight="1">
      <c r="B322" s="3" t="s">
        <v>1065</v>
      </c>
      <c r="C322" s="3"/>
      <c r="D322" s="3"/>
      <c r="E322" s="3"/>
      <c r="F322" s="3"/>
      <c r="H322" s="1326" t="s">
        <v>1161</v>
      </c>
      <c r="I322" s="1326"/>
      <c r="J322" s="1326"/>
      <c r="K322" s="1326"/>
      <c r="L322" s="1326"/>
      <c r="M322" s="1326"/>
      <c r="N322" s="1326"/>
      <c r="O322" s="1326"/>
      <c r="P322" s="1326"/>
      <c r="Q322" s="1326"/>
      <c r="R322" s="1326"/>
      <c r="T322" s="3" t="s">
        <v>1065</v>
      </c>
      <c r="V322" s="3"/>
      <c r="W322" s="3"/>
      <c r="X322" s="3"/>
      <c r="Y322" s="3"/>
      <c r="AA322" s="1326" t="s">
        <v>1162</v>
      </c>
      <c r="AB322" s="1326"/>
      <c r="AC322" s="1326"/>
      <c r="AD322" s="1326"/>
      <c r="AE322" s="1326"/>
      <c r="AF322" s="1326"/>
      <c r="AG322" s="1326"/>
      <c r="AH322" s="1326"/>
      <c r="AI322" s="1326"/>
      <c r="AJ322" s="1326"/>
      <c r="AK322" s="1326"/>
    </row>
    <row r="323" spans="2:37" ht="13" customHeight="1">
      <c r="B323" s="3" t="s">
        <v>1067</v>
      </c>
      <c r="C323" s="3"/>
      <c r="D323" s="3"/>
      <c r="E323" s="3"/>
      <c r="F323" s="3"/>
      <c r="G323" s="3"/>
      <c r="H323" s="1489" t="s">
        <v>1163</v>
      </c>
      <c r="I323" s="1489"/>
      <c r="J323" s="1489"/>
      <c r="K323" s="1489"/>
      <c r="L323" s="1489"/>
      <c r="M323" s="1489"/>
      <c r="N323" s="3" t="s">
        <v>1069</v>
      </c>
      <c r="O323" s="3"/>
      <c r="P323" s="1472"/>
      <c r="Q323" s="1472"/>
      <c r="R323" s="1472"/>
      <c r="S323" s="3"/>
      <c r="T323" s="3" t="s">
        <v>1067</v>
      </c>
      <c r="V323" s="3"/>
      <c r="W323" s="3"/>
      <c r="X323" s="3"/>
      <c r="Y323" s="3"/>
      <c r="AA323" s="1489" t="s">
        <v>1164</v>
      </c>
      <c r="AB323" s="1489"/>
      <c r="AC323" s="1489"/>
      <c r="AD323" s="1489"/>
      <c r="AE323" s="1489"/>
      <c r="AF323" s="1489"/>
      <c r="AG323" s="3" t="s">
        <v>1069</v>
      </c>
      <c r="AH323" s="3"/>
      <c r="AI323" s="1472"/>
      <c r="AJ323" s="1472"/>
      <c r="AK323" s="1472"/>
    </row>
    <row r="324" spans="2:37" ht="13" customHeight="1">
      <c r="B324" s="3" t="s">
        <v>1070</v>
      </c>
      <c r="C324" s="3"/>
      <c r="D324" s="3"/>
      <c r="E324" s="3"/>
      <c r="F324" s="3"/>
      <c r="G324" s="3"/>
      <c r="H324" s="1439"/>
      <c r="I324" s="1439"/>
      <c r="J324" s="1439"/>
      <c r="K324" s="1439"/>
      <c r="L324" s="1439"/>
      <c r="M324" s="1439"/>
      <c r="N324" s="3"/>
      <c r="O324" s="3"/>
      <c r="P324" s="84"/>
      <c r="Q324" s="84"/>
      <c r="R324" s="84"/>
      <c r="S324" s="3"/>
      <c r="T324" s="3" t="s">
        <v>1070</v>
      </c>
      <c r="V324" s="3"/>
      <c r="W324" s="3"/>
      <c r="X324" s="3"/>
      <c r="Y324" s="3"/>
      <c r="AA324" s="1439"/>
      <c r="AB324" s="1439"/>
      <c r="AC324" s="1439"/>
      <c r="AD324" s="1439"/>
      <c r="AE324" s="1439"/>
      <c r="AF324" s="1439"/>
      <c r="AG324" s="3"/>
      <c r="AH324" s="3"/>
      <c r="AI324" s="84"/>
      <c r="AJ324" s="84"/>
      <c r="AK324" s="84"/>
    </row>
    <row r="325" spans="2:37" ht="13" customHeight="1">
      <c r="B325" s="3" t="s">
        <v>1122</v>
      </c>
      <c r="C325" s="3"/>
      <c r="D325" s="3"/>
      <c r="E325" s="3"/>
      <c r="F325" s="3"/>
      <c r="G325" s="3"/>
      <c r="H325" s="1326" t="s">
        <v>1165</v>
      </c>
      <c r="I325" s="1326"/>
      <c r="J325" s="1326"/>
      <c r="K325" s="1326"/>
      <c r="L325" s="1326"/>
      <c r="M325" s="1326"/>
      <c r="N325" s="1359"/>
      <c r="O325" s="1359"/>
      <c r="P325" s="1359"/>
      <c r="Q325" s="1359"/>
      <c r="R325" s="1359"/>
      <c r="S325" s="3"/>
      <c r="T325" s="3" t="s">
        <v>1122</v>
      </c>
      <c r="V325" s="3"/>
      <c r="W325" s="3"/>
      <c r="X325" s="3"/>
      <c r="Y325" s="3"/>
      <c r="AA325" s="1326" t="s">
        <v>1166</v>
      </c>
      <c r="AB325" s="1326"/>
      <c r="AC325" s="1326"/>
      <c r="AD325" s="1326"/>
      <c r="AE325" s="1326"/>
      <c r="AF325" s="1326"/>
      <c r="AG325" s="1359"/>
      <c r="AH325" s="1359"/>
      <c r="AI325" s="1359"/>
      <c r="AJ325" s="1359"/>
      <c r="AK325" s="1359"/>
    </row>
    <row r="326" spans="2:37" ht="13" customHeight="1">
      <c r="B326" s="3"/>
      <c r="C326" s="3"/>
      <c r="D326" s="3"/>
      <c r="E326" s="3"/>
      <c r="F326" s="3"/>
      <c r="G326" s="3"/>
      <c r="P326" s="1161"/>
      <c r="Q326" s="1161"/>
      <c r="R326" s="1161"/>
      <c r="S326" s="1161"/>
      <c r="T326" s="1161"/>
      <c r="U326" s="1161"/>
      <c r="V326" s="3"/>
      <c r="W326" s="3"/>
      <c r="X326" s="84"/>
      <c r="Y326" s="84"/>
      <c r="Z326" s="84"/>
    </row>
    <row r="327" spans="2:37" ht="13" customHeight="1">
      <c r="B327" s="3" t="s">
        <v>1167</v>
      </c>
      <c r="C327" s="3"/>
      <c r="D327" s="3"/>
      <c r="E327" s="3"/>
      <c r="F327" s="3"/>
      <c r="H327" s="1359" t="s">
        <v>1168</v>
      </c>
      <c r="I327" s="1359"/>
      <c r="J327" s="1359"/>
      <c r="K327" s="1359"/>
      <c r="L327" s="1359"/>
      <c r="M327" s="1359"/>
      <c r="N327" s="1359"/>
      <c r="O327" s="1359"/>
      <c r="P327" s="1359"/>
      <c r="Q327" s="1359"/>
      <c r="R327" s="1359"/>
      <c r="T327" s="3" t="s">
        <v>1169</v>
      </c>
      <c r="V327" s="3"/>
      <c r="W327" s="3"/>
      <c r="X327" s="3"/>
      <c r="Y327" s="3"/>
      <c r="AA327" s="1359" t="s">
        <v>1170</v>
      </c>
      <c r="AB327" s="1359"/>
      <c r="AC327" s="1359"/>
      <c r="AD327" s="1359"/>
      <c r="AE327" s="1359"/>
      <c r="AF327" s="1359"/>
      <c r="AG327" s="1359"/>
      <c r="AH327" s="1359"/>
      <c r="AI327" s="1359"/>
      <c r="AJ327" s="1359"/>
      <c r="AK327" s="1359"/>
    </row>
    <row r="328" spans="2:37" ht="13" customHeight="1">
      <c r="B328" s="3" t="s">
        <v>1113</v>
      </c>
      <c r="C328" s="3"/>
      <c r="D328" s="3"/>
      <c r="E328" s="3"/>
      <c r="F328" s="3"/>
      <c r="H328" s="1326" t="s">
        <v>1171</v>
      </c>
      <c r="I328" s="1326"/>
      <c r="J328" s="1326"/>
      <c r="K328" s="1326"/>
      <c r="L328" s="1326"/>
      <c r="M328" s="1326"/>
      <c r="N328" s="1326"/>
      <c r="O328" s="1326"/>
      <c r="P328" s="1326"/>
      <c r="Q328" s="1326"/>
      <c r="R328" s="1326"/>
      <c r="T328" s="3" t="s">
        <v>1113</v>
      </c>
      <c r="V328" s="3"/>
      <c r="W328" s="3"/>
      <c r="X328" s="3"/>
      <c r="Y328" s="3"/>
      <c r="AA328" s="1326" t="s">
        <v>1172</v>
      </c>
      <c r="AB328" s="1326"/>
      <c r="AC328" s="1326"/>
      <c r="AD328" s="1326"/>
      <c r="AE328" s="1326"/>
      <c r="AF328" s="1326"/>
      <c r="AG328" s="1326"/>
      <c r="AH328" s="1326"/>
      <c r="AI328" s="1326"/>
      <c r="AJ328" s="1326"/>
      <c r="AK328" s="1326"/>
    </row>
    <row r="329" spans="2:37" ht="13" customHeight="1">
      <c r="B329" s="3" t="s">
        <v>1115</v>
      </c>
      <c r="C329" s="3"/>
      <c r="D329" s="3"/>
      <c r="E329" s="3"/>
      <c r="F329" s="3"/>
      <c r="H329" s="1326" t="s">
        <v>1173</v>
      </c>
      <c r="I329" s="1326"/>
      <c r="J329" s="1326"/>
      <c r="K329" s="1326"/>
      <c r="L329" s="1326"/>
      <c r="M329" s="1326"/>
      <c r="N329" s="1326"/>
      <c r="O329" s="1326"/>
      <c r="P329" s="1326"/>
      <c r="Q329" s="1326"/>
      <c r="R329" s="1326"/>
      <c r="T329" s="3" t="s">
        <v>1117</v>
      </c>
      <c r="V329" s="3"/>
      <c r="W329" s="3"/>
      <c r="X329" s="3"/>
      <c r="Y329" s="3"/>
      <c r="AA329" s="1326" t="s">
        <v>1174</v>
      </c>
      <c r="AB329" s="1326"/>
      <c r="AC329" s="1326"/>
      <c r="AD329" s="1326"/>
      <c r="AE329" s="1326"/>
      <c r="AF329" s="1326"/>
      <c r="AG329" s="1326"/>
      <c r="AH329" s="1326"/>
      <c r="AI329" s="1326"/>
      <c r="AJ329" s="1326"/>
      <c r="AK329" s="1326"/>
    </row>
    <row r="330" spans="2:37" ht="13" customHeight="1">
      <c r="B330" s="3" t="s">
        <v>1065</v>
      </c>
      <c r="C330" s="3"/>
      <c r="D330" s="3"/>
      <c r="E330" s="3"/>
      <c r="F330" s="3"/>
      <c r="H330" s="1326" t="s">
        <v>1175</v>
      </c>
      <c r="I330" s="1326"/>
      <c r="J330" s="1326"/>
      <c r="K330" s="1326"/>
      <c r="L330" s="1326"/>
      <c r="M330" s="1326"/>
      <c r="N330" s="1326"/>
      <c r="O330" s="1326"/>
      <c r="P330" s="1326"/>
      <c r="Q330" s="1326"/>
      <c r="R330" s="1326"/>
      <c r="T330" s="3" t="s">
        <v>1065</v>
      </c>
      <c r="V330" s="3"/>
      <c r="W330" s="3"/>
      <c r="X330" s="3"/>
      <c r="Y330" s="3"/>
      <c r="AA330" s="1326" t="s">
        <v>1176</v>
      </c>
      <c r="AB330" s="1326"/>
      <c r="AC330" s="1326"/>
      <c r="AD330" s="1326"/>
      <c r="AE330" s="1326"/>
      <c r="AF330" s="1326"/>
      <c r="AG330" s="1326"/>
      <c r="AH330" s="1326"/>
      <c r="AI330" s="1326"/>
      <c r="AJ330" s="1326"/>
      <c r="AK330" s="1326"/>
    </row>
    <row r="331" spans="2:37" ht="13" customHeight="1">
      <c r="B331" s="3" t="s">
        <v>1067</v>
      </c>
      <c r="C331" s="3"/>
      <c r="D331" s="3"/>
      <c r="E331" s="3"/>
      <c r="F331" s="3"/>
      <c r="G331" s="3"/>
      <c r="H331" s="1489" t="s">
        <v>1177</v>
      </c>
      <c r="I331" s="1489"/>
      <c r="J331" s="1489"/>
      <c r="K331" s="1489"/>
      <c r="L331" s="1489"/>
      <c r="M331" s="1489"/>
      <c r="N331" s="3" t="s">
        <v>1069</v>
      </c>
      <c r="O331" s="3"/>
      <c r="P331" s="1472"/>
      <c r="Q331" s="1472"/>
      <c r="R331" s="1472"/>
      <c r="S331" s="3"/>
      <c r="T331" s="3" t="s">
        <v>1067</v>
      </c>
      <c r="V331" s="3"/>
      <c r="W331" s="3"/>
      <c r="X331" s="3"/>
      <c r="Y331" s="3"/>
      <c r="AA331" s="1489" t="s">
        <v>1178</v>
      </c>
      <c r="AB331" s="1489"/>
      <c r="AC331" s="1489"/>
      <c r="AD331" s="1489"/>
      <c r="AE331" s="1489"/>
      <c r="AF331" s="1489"/>
      <c r="AG331" s="3" t="s">
        <v>1069</v>
      </c>
      <c r="AH331" s="3"/>
      <c r="AI331" s="1472"/>
      <c r="AJ331" s="1472"/>
      <c r="AK331" s="1472"/>
    </row>
    <row r="332" spans="2:37" ht="13" customHeight="1">
      <c r="B332" s="3" t="s">
        <v>1070</v>
      </c>
      <c r="C332" s="3"/>
      <c r="D332" s="3"/>
      <c r="E332" s="3"/>
      <c r="F332" s="3"/>
      <c r="G332" s="3"/>
      <c r="H332" s="1439"/>
      <c r="I332" s="1439"/>
      <c r="J332" s="1439"/>
      <c r="K332" s="1439"/>
      <c r="L332" s="1439"/>
      <c r="M332" s="1439"/>
      <c r="N332" s="3"/>
      <c r="O332" s="3"/>
      <c r="P332" s="84"/>
      <c r="Q332" s="84"/>
      <c r="R332" s="84"/>
      <c r="S332" s="3"/>
      <c r="T332" s="3" t="s">
        <v>1070</v>
      </c>
      <c r="V332" s="3"/>
      <c r="W332" s="3"/>
      <c r="X332" s="3"/>
      <c r="Y332" s="3"/>
      <c r="AA332" s="1439"/>
      <c r="AB332" s="1439"/>
      <c r="AC332" s="1439"/>
      <c r="AD332" s="1439"/>
      <c r="AE332" s="1439"/>
      <c r="AF332" s="1439"/>
      <c r="AG332" s="3"/>
      <c r="AH332" s="3"/>
      <c r="AI332" s="84"/>
      <c r="AJ332" s="84"/>
      <c r="AK332" s="84"/>
    </row>
    <row r="333" spans="2:37" ht="13" customHeight="1">
      <c r="B333" s="3" t="s">
        <v>1122</v>
      </c>
      <c r="C333" s="3"/>
      <c r="D333" s="3"/>
      <c r="E333" s="3"/>
      <c r="F333" s="3"/>
      <c r="G333" s="3"/>
      <c r="H333" s="1326" t="s">
        <v>1179</v>
      </c>
      <c r="I333" s="1326"/>
      <c r="J333" s="1326"/>
      <c r="K333" s="1326"/>
      <c r="L333" s="1326"/>
      <c r="M333" s="1326"/>
      <c r="N333" s="1359"/>
      <c r="O333" s="1359"/>
      <c r="P333" s="1359"/>
      <c r="Q333" s="1359"/>
      <c r="R333" s="1359"/>
      <c r="S333" s="3"/>
      <c r="T333" s="3" t="s">
        <v>1122</v>
      </c>
      <c r="V333" s="3"/>
      <c r="W333" s="3"/>
      <c r="X333" s="3"/>
      <c r="Y333" s="3"/>
      <c r="AA333" s="1326" t="s">
        <v>1180</v>
      </c>
      <c r="AB333" s="1326"/>
      <c r="AC333" s="1326"/>
      <c r="AD333" s="1326"/>
      <c r="AE333" s="1326"/>
      <c r="AF333" s="1326"/>
      <c r="AG333" s="1359"/>
      <c r="AH333" s="1359"/>
      <c r="AI333" s="1359"/>
      <c r="AJ333" s="1359"/>
      <c r="AK333" s="1359"/>
    </row>
    <row r="334" spans="2:37" ht="13" customHeight="1">
      <c r="B334" s="3"/>
      <c r="C334" s="3"/>
      <c r="D334" s="3"/>
      <c r="E334" s="3"/>
      <c r="F334" s="3"/>
      <c r="G334" s="3"/>
      <c r="P334" s="1161"/>
      <c r="Q334" s="1161"/>
      <c r="R334" s="1161"/>
      <c r="S334" s="1161"/>
      <c r="T334" s="1161"/>
      <c r="U334" s="1161"/>
      <c r="V334" s="3"/>
      <c r="W334" s="3"/>
      <c r="X334" s="84"/>
      <c r="Y334" s="84"/>
      <c r="Z334" s="84"/>
    </row>
    <row r="335" spans="2:37" ht="13" customHeight="1">
      <c r="B335" s="3" t="s">
        <v>1181</v>
      </c>
      <c r="C335" s="3"/>
      <c r="D335" s="3"/>
      <c r="E335" s="3"/>
      <c r="F335" s="3"/>
      <c r="H335" s="1359" t="s">
        <v>1182</v>
      </c>
      <c r="I335" s="1359"/>
      <c r="J335" s="1359"/>
      <c r="K335" s="1359"/>
      <c r="L335" s="1359"/>
      <c r="M335" s="1359"/>
      <c r="N335" s="1359"/>
      <c r="O335" s="1359"/>
      <c r="P335" s="1359"/>
      <c r="Q335" s="1359"/>
      <c r="R335" s="1359"/>
      <c r="T335" s="135" t="s">
        <v>1183</v>
      </c>
      <c r="V335" s="3"/>
      <c r="W335" s="3"/>
      <c r="X335" s="3"/>
      <c r="Y335" s="3"/>
      <c r="AA335" s="1359" t="s">
        <v>1091</v>
      </c>
      <c r="AB335" s="1359"/>
      <c r="AC335" s="1359"/>
      <c r="AD335" s="1359"/>
      <c r="AE335" s="1359"/>
      <c r="AF335" s="1359"/>
      <c r="AG335" s="1359"/>
      <c r="AH335" s="1359"/>
      <c r="AI335" s="1359"/>
      <c r="AJ335" s="1359"/>
      <c r="AK335" s="1359"/>
    </row>
    <row r="336" spans="2:37" ht="13" customHeight="1">
      <c r="B336" s="3" t="s">
        <v>1113</v>
      </c>
      <c r="C336" s="3"/>
      <c r="D336" s="3"/>
      <c r="E336" s="3"/>
      <c r="F336" s="3"/>
      <c r="H336" s="1326" t="s">
        <v>1184</v>
      </c>
      <c r="I336" s="1326"/>
      <c r="J336" s="1326"/>
      <c r="K336" s="1326"/>
      <c r="L336" s="1326"/>
      <c r="M336" s="1326"/>
      <c r="N336" s="1326"/>
      <c r="O336" s="1326"/>
      <c r="P336" s="1326"/>
      <c r="Q336" s="1326"/>
      <c r="R336" s="1326"/>
      <c r="T336" s="3" t="s">
        <v>1113</v>
      </c>
      <c r="V336" s="3"/>
      <c r="W336" s="3"/>
      <c r="X336" s="3"/>
      <c r="Y336" s="3"/>
      <c r="AA336" s="1326" t="s">
        <v>1061</v>
      </c>
      <c r="AB336" s="1326"/>
      <c r="AC336" s="1326"/>
      <c r="AD336" s="1326"/>
      <c r="AE336" s="1326"/>
      <c r="AF336" s="1326"/>
      <c r="AG336" s="1326"/>
      <c r="AH336" s="1326"/>
      <c r="AI336" s="1326"/>
      <c r="AJ336" s="1326"/>
      <c r="AK336" s="1326"/>
    </row>
    <row r="337" spans="1:66" ht="13" customHeight="1">
      <c r="B337" s="3" t="s">
        <v>1117</v>
      </c>
      <c r="C337" s="3"/>
      <c r="D337" s="3"/>
      <c r="E337" s="3"/>
      <c r="F337" s="3"/>
      <c r="H337" s="1326" t="s">
        <v>1185</v>
      </c>
      <c r="I337" s="1326"/>
      <c r="J337" s="1326"/>
      <c r="K337" s="1326"/>
      <c r="L337" s="1326"/>
      <c r="M337" s="1326"/>
      <c r="N337" s="1326"/>
      <c r="O337" s="1326"/>
      <c r="P337" s="1326"/>
      <c r="Q337" s="1326"/>
      <c r="R337" s="1326"/>
      <c r="T337" s="3" t="s">
        <v>1117</v>
      </c>
      <c r="V337" s="3"/>
      <c r="W337" s="3"/>
      <c r="X337" s="3"/>
      <c r="Y337" s="3"/>
      <c r="AA337" s="1326" t="s">
        <v>1116</v>
      </c>
      <c r="AB337" s="1326"/>
      <c r="AC337" s="1326"/>
      <c r="AD337" s="1326"/>
      <c r="AE337" s="1326"/>
      <c r="AF337" s="1326"/>
      <c r="AG337" s="1326"/>
      <c r="AH337" s="1326"/>
      <c r="AI337" s="1326"/>
      <c r="AJ337" s="1326"/>
      <c r="AK337" s="1326"/>
    </row>
    <row r="338" spans="1:66" ht="13" customHeight="1">
      <c r="B338" s="3" t="s">
        <v>1065</v>
      </c>
      <c r="C338" s="3"/>
      <c r="D338" s="3"/>
      <c r="E338" s="3"/>
      <c r="F338" s="3"/>
      <c r="G338" s="3"/>
      <c r="H338" s="1326" t="s">
        <v>1186</v>
      </c>
      <c r="I338" s="1326"/>
      <c r="J338" s="1326"/>
      <c r="K338" s="1326"/>
      <c r="L338" s="1326"/>
      <c r="M338" s="1326"/>
      <c r="N338" s="1326"/>
      <c r="O338" s="1326"/>
      <c r="P338" s="1326"/>
      <c r="Q338" s="1326"/>
      <c r="R338" s="1326"/>
      <c r="T338" s="3" t="s">
        <v>1065</v>
      </c>
      <c r="V338" s="3"/>
      <c r="W338" s="3"/>
      <c r="X338" s="3"/>
      <c r="Y338" s="3"/>
      <c r="AA338" s="1326" t="s">
        <v>2774</v>
      </c>
      <c r="AB338" s="1326"/>
      <c r="AC338" s="1326"/>
      <c r="AD338" s="1326"/>
      <c r="AE338" s="1326"/>
      <c r="AF338" s="1326"/>
      <c r="AG338" s="1326"/>
      <c r="AH338" s="1326"/>
      <c r="AI338" s="1326"/>
      <c r="AJ338" s="1326"/>
      <c r="AK338" s="1326"/>
    </row>
    <row r="339" spans="1:66" ht="13" customHeight="1">
      <c r="B339" s="3" t="s">
        <v>1067</v>
      </c>
      <c r="C339" s="3"/>
      <c r="D339" s="3"/>
      <c r="E339" s="3"/>
      <c r="F339" s="3"/>
      <c r="G339" s="3"/>
      <c r="H339" s="1489" t="s">
        <v>1187</v>
      </c>
      <c r="I339" s="1489"/>
      <c r="J339" s="1489"/>
      <c r="K339" s="1489"/>
      <c r="L339" s="1489"/>
      <c r="M339" s="1489"/>
      <c r="N339" s="3" t="s">
        <v>1069</v>
      </c>
      <c r="O339" s="3"/>
      <c r="P339" s="1472"/>
      <c r="Q339" s="1472"/>
      <c r="R339" s="1472"/>
      <c r="S339" s="3"/>
      <c r="T339" s="3" t="s">
        <v>1067</v>
      </c>
      <c r="V339" s="3"/>
      <c r="W339" s="3"/>
      <c r="X339" s="3"/>
      <c r="Y339" s="3"/>
      <c r="AA339" s="1489"/>
      <c r="AB339" s="1489"/>
      <c r="AC339" s="1489"/>
      <c r="AD339" s="1489"/>
      <c r="AE339" s="1489"/>
      <c r="AF339" s="1489"/>
      <c r="AG339" s="3" t="s">
        <v>1069</v>
      </c>
      <c r="AH339" s="3"/>
      <c r="AI339" s="1472"/>
      <c r="AJ339" s="1472"/>
      <c r="AK339" s="1472"/>
    </row>
    <row r="340" spans="1:66" ht="13" customHeight="1">
      <c r="B340" s="3" t="s">
        <v>1070</v>
      </c>
      <c r="C340" s="3"/>
      <c r="D340" s="3"/>
      <c r="E340" s="3"/>
      <c r="F340" s="3"/>
      <c r="G340" s="3"/>
      <c r="H340" s="1439"/>
      <c r="I340" s="1439"/>
      <c r="J340" s="1439"/>
      <c r="K340" s="1439"/>
      <c r="L340" s="1439"/>
      <c r="M340" s="1439"/>
      <c r="N340" s="3"/>
      <c r="O340" s="3"/>
      <c r="P340" s="84"/>
      <c r="Q340" s="84"/>
      <c r="R340" s="84"/>
      <c r="S340" s="3"/>
      <c r="T340" s="3" t="s">
        <v>1070</v>
      </c>
      <c r="V340" s="3"/>
      <c r="W340" s="3"/>
      <c r="X340" s="3"/>
      <c r="Y340" s="3"/>
      <c r="AA340" s="1439"/>
      <c r="AB340" s="1439"/>
      <c r="AC340" s="1439"/>
      <c r="AD340" s="1439"/>
      <c r="AE340" s="1439"/>
      <c r="AF340" s="1439"/>
      <c r="AG340" s="3"/>
      <c r="AH340" s="3"/>
      <c r="AI340" s="84"/>
      <c r="AJ340" s="84"/>
      <c r="AK340" s="84"/>
    </row>
    <row r="341" spans="1:66" ht="13" customHeight="1">
      <c r="B341" s="3" t="s">
        <v>1122</v>
      </c>
      <c r="C341" s="3"/>
      <c r="D341" s="3"/>
      <c r="E341" s="3"/>
      <c r="F341" s="3"/>
      <c r="G341" s="3"/>
      <c r="H341" s="1326" t="s">
        <v>1188</v>
      </c>
      <c r="I341" s="1326"/>
      <c r="J341" s="1326"/>
      <c r="K341" s="1326"/>
      <c r="L341" s="1326"/>
      <c r="M341" s="1326"/>
      <c r="N341" s="1359"/>
      <c r="O341" s="1359"/>
      <c r="P341" s="1359"/>
      <c r="Q341" s="1359"/>
      <c r="R341" s="1359"/>
      <c r="S341" s="3"/>
      <c r="T341" s="3" t="s">
        <v>1122</v>
      </c>
      <c r="V341" s="3"/>
      <c r="W341" s="3"/>
      <c r="X341" s="3"/>
      <c r="Y341" s="3"/>
      <c r="AA341" s="1326" t="s">
        <v>2773</v>
      </c>
      <c r="AB341" s="1326"/>
      <c r="AC341" s="1326"/>
      <c r="AD341" s="1326"/>
      <c r="AE341" s="1326"/>
      <c r="AF341" s="1326"/>
      <c r="AG341" s="1359"/>
      <c r="AH341" s="1359"/>
      <c r="AI341" s="1359"/>
      <c r="AJ341" s="1359"/>
      <c r="AK341" s="1359"/>
    </row>
    <row r="342" spans="1:66" ht="13"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807</v>
      </c>
    </row>
    <row r="343" spans="1:66" ht="13" customHeight="1">
      <c r="B343" s="3"/>
      <c r="C343" s="3"/>
      <c r="D343" s="3"/>
      <c r="E343" s="3"/>
      <c r="F343" s="3"/>
      <c r="I343" s="135" t="s">
        <v>1189</v>
      </c>
      <c r="P343" s="1359"/>
      <c r="Q343" s="1359"/>
      <c r="R343" s="1359"/>
      <c r="S343" s="1359"/>
      <c r="T343" s="1359"/>
      <c r="U343" s="1359"/>
      <c r="V343" s="1359"/>
      <c r="W343" s="1359"/>
      <c r="X343" s="1359"/>
      <c r="Y343" s="1359"/>
      <c r="Z343" s="1359"/>
      <c r="AA343" s="1359"/>
      <c r="AB343" s="1359"/>
      <c r="AC343" s="1359"/>
      <c r="AD343" s="1359"/>
      <c r="AE343" s="1359"/>
      <c r="BN343" t="s">
        <v>692</v>
      </c>
    </row>
    <row r="344" spans="1:66" ht="13" customHeight="1">
      <c r="B344" s="3"/>
      <c r="C344" s="3"/>
      <c r="D344" s="3"/>
      <c r="E344" s="3"/>
      <c r="F344" s="3"/>
      <c r="I344" s="3" t="s">
        <v>1113</v>
      </c>
      <c r="P344" s="1326"/>
      <c r="Q344" s="1326"/>
      <c r="R344" s="1326"/>
      <c r="S344" s="1326"/>
      <c r="T344" s="1326"/>
      <c r="U344" s="1326"/>
      <c r="V344" s="1326"/>
      <c r="W344" s="1326"/>
      <c r="X344" s="1326"/>
      <c r="Y344" s="1326"/>
      <c r="Z344" s="1326"/>
      <c r="AA344" s="1326"/>
      <c r="AB344" s="1326"/>
      <c r="AC344" s="1326"/>
      <c r="AD344" s="1326"/>
      <c r="AE344" s="1326"/>
      <c r="BN344" t="s">
        <v>842</v>
      </c>
    </row>
    <row r="345" spans="1:66" ht="13" customHeight="1">
      <c r="B345" s="3"/>
      <c r="C345" s="3"/>
      <c r="D345" s="3"/>
      <c r="E345" s="3"/>
      <c r="F345" s="3"/>
      <c r="I345" s="3" t="s">
        <v>1117</v>
      </c>
      <c r="P345" s="1326"/>
      <c r="Q345" s="1326"/>
      <c r="R345" s="1326"/>
      <c r="S345" s="1326"/>
      <c r="T345" s="1326"/>
      <c r="U345" s="1326"/>
      <c r="V345" s="1326"/>
      <c r="W345" s="1326"/>
      <c r="X345" s="1326"/>
      <c r="Y345" s="1326"/>
      <c r="Z345" s="1326"/>
      <c r="AA345" s="1326"/>
      <c r="AB345" s="1326"/>
      <c r="AC345" s="1326"/>
      <c r="AD345" s="1326"/>
      <c r="AE345" s="1326"/>
    </row>
    <row r="346" spans="1:66" ht="13" customHeight="1">
      <c r="B346" s="3"/>
      <c r="C346" s="3"/>
      <c r="D346" s="3"/>
      <c r="E346" s="3"/>
      <c r="F346" s="3"/>
      <c r="G346" s="3"/>
      <c r="I346" s="3" t="s">
        <v>1065</v>
      </c>
      <c r="P346" s="1326"/>
      <c r="Q346" s="1326"/>
      <c r="R346" s="1326"/>
      <c r="S346" s="1326"/>
      <c r="T346" s="1326"/>
      <c r="U346" s="1326"/>
      <c r="V346" s="1326"/>
      <c r="W346" s="1326"/>
      <c r="X346" s="1326"/>
      <c r="Y346" s="1326"/>
      <c r="Z346" s="1326"/>
      <c r="AA346" s="1326"/>
      <c r="AB346" s="1326"/>
      <c r="AC346" s="1326"/>
      <c r="AD346" s="1326"/>
      <c r="AE346" s="1326"/>
    </row>
    <row r="347" spans="1:66" ht="13" customHeight="1">
      <c r="B347" s="3"/>
      <c r="C347" s="3"/>
      <c r="D347" s="3"/>
      <c r="E347" s="3"/>
      <c r="F347" s="3"/>
      <c r="G347" s="3"/>
      <c r="H347" s="1162"/>
      <c r="I347" s="3" t="s">
        <v>1067</v>
      </c>
      <c r="P347" s="1439"/>
      <c r="Q347" s="1439"/>
      <c r="R347" s="1439"/>
      <c r="S347" s="1439"/>
      <c r="T347" s="1439"/>
      <c r="U347" s="1439"/>
      <c r="V347" s="1439"/>
      <c r="W347" s="1439"/>
      <c r="X347" s="1439"/>
      <c r="Y347" s="1439"/>
      <c r="Z347" s="1439"/>
      <c r="AA347" s="3" t="s">
        <v>1069</v>
      </c>
      <c r="AB347" s="3"/>
      <c r="AC347" s="1423"/>
      <c r="AD347" s="1423"/>
      <c r="AE347" s="1423"/>
      <c r="AF347" s="1162"/>
      <c r="AG347" s="3"/>
      <c r="AH347" s="3"/>
      <c r="AI347" s="3"/>
      <c r="AJ347" s="3"/>
      <c r="AK347" s="3"/>
    </row>
    <row r="348" spans="1:66" ht="13" customHeight="1">
      <c r="B348" s="3"/>
      <c r="C348" s="3"/>
      <c r="D348" s="3"/>
      <c r="E348" s="3"/>
      <c r="F348" s="3"/>
      <c r="G348" s="3"/>
      <c r="H348" s="1162"/>
      <c r="I348" s="3" t="s">
        <v>1070</v>
      </c>
      <c r="P348" s="1439"/>
      <c r="Q348" s="1439"/>
      <c r="R348" s="1439"/>
      <c r="S348" s="1439"/>
      <c r="T348" s="1439"/>
      <c r="U348" s="1439"/>
      <c r="V348" s="1439"/>
      <c r="W348" s="1439"/>
      <c r="X348" s="1439"/>
      <c r="Y348" s="1439"/>
      <c r="Z348" s="1439"/>
      <c r="AF348" s="1162"/>
      <c r="AG348" s="3"/>
      <c r="AH348" s="3"/>
      <c r="AI348" s="84"/>
      <c r="AJ348" s="84"/>
      <c r="AK348" s="84"/>
    </row>
    <row r="349" spans="1:66" ht="13" customHeight="1">
      <c r="B349" s="3"/>
      <c r="C349" s="3"/>
      <c r="D349" s="3"/>
      <c r="E349" s="3"/>
      <c r="F349" s="3"/>
      <c r="G349" s="3"/>
      <c r="I349" s="3" t="s">
        <v>1122</v>
      </c>
      <c r="P349" s="1359"/>
      <c r="Q349" s="1359"/>
      <c r="R349" s="1359"/>
      <c r="S349" s="1359"/>
      <c r="T349" s="1359"/>
      <c r="U349" s="1359"/>
      <c r="V349" s="1359"/>
      <c r="W349" s="1359"/>
      <c r="X349" s="1359"/>
      <c r="Y349" s="1359"/>
      <c r="Z349" s="1359"/>
      <c r="AA349" s="1359"/>
      <c r="AB349" s="1359"/>
      <c r="AC349" s="1359"/>
      <c r="AD349" s="1359"/>
      <c r="AE349" s="1359"/>
    </row>
    <row r="350" spans="1:66" ht="13" customHeight="1">
      <c r="T350" s="7"/>
      <c r="U350" s="7"/>
      <c r="V350" s="7"/>
      <c r="W350" s="7"/>
      <c r="X350" s="7"/>
      <c r="Y350" s="7"/>
      <c r="Z350" s="7"/>
      <c r="AU350" s="70"/>
      <c r="AV350" s="70"/>
      <c r="AW350" s="70"/>
      <c r="AX350" s="70"/>
      <c r="AY350" s="70"/>
    </row>
    <row r="351" spans="1:66" ht="13" customHeight="1">
      <c r="A351" s="1482" t="s">
        <v>1190</v>
      </c>
      <c r="B351" s="1482"/>
      <c r="C351" s="1482"/>
      <c r="D351" s="1482"/>
      <c r="E351" s="1482"/>
      <c r="F351" s="1482"/>
      <c r="G351" s="1482"/>
      <c r="H351" s="1482"/>
      <c r="I351" s="1482"/>
      <c r="J351" s="1482"/>
      <c r="K351" s="1482"/>
      <c r="L351" s="1482"/>
      <c r="M351" s="1482"/>
      <c r="N351" s="1482"/>
      <c r="O351" s="1482"/>
      <c r="P351" s="1482"/>
      <c r="Q351" s="1482"/>
      <c r="R351" s="1482"/>
      <c r="S351" s="1482"/>
      <c r="T351" s="1482"/>
      <c r="U351" s="1482"/>
      <c r="V351" s="1482"/>
      <c r="W351" s="1482"/>
      <c r="X351" s="1482"/>
      <c r="Y351" s="1482"/>
      <c r="Z351" s="1482"/>
      <c r="AA351" s="1482"/>
      <c r="AB351" s="1482"/>
      <c r="AC351" s="1482"/>
      <c r="AD351" s="1482"/>
      <c r="AE351" s="1482"/>
      <c r="AF351" s="1482"/>
      <c r="AG351" s="1482"/>
      <c r="AH351" s="1482"/>
      <c r="AI351" s="1482"/>
      <c r="AJ351" s="1482"/>
      <c r="AK351" s="1482"/>
      <c r="AL351" s="1482"/>
      <c r="AM351" s="1482"/>
      <c r="AN351" s="1482"/>
      <c r="AO351" s="1482"/>
      <c r="AP351" s="1482"/>
      <c r="AQ351" s="1482"/>
      <c r="AR351" s="1482"/>
      <c r="AS351" s="1482"/>
      <c r="AT351" s="1482"/>
      <c r="AU351" s="70"/>
      <c r="AV351" s="70"/>
      <c r="AW351" s="70"/>
      <c r="AX351" s="70"/>
      <c r="AY351" s="70"/>
    </row>
    <row r="352" spans="1:66" ht="13" customHeight="1">
      <c r="A352" s="1482"/>
      <c r="B352" s="1482"/>
      <c r="C352" s="1482"/>
      <c r="D352" s="1482"/>
      <c r="E352" s="1482"/>
      <c r="F352" s="1482"/>
      <c r="G352" s="1482"/>
      <c r="H352" s="1482"/>
      <c r="I352" s="1482"/>
      <c r="J352" s="1482"/>
      <c r="K352" s="1482"/>
      <c r="L352" s="1482"/>
      <c r="M352" s="1482"/>
      <c r="N352" s="1482"/>
      <c r="O352" s="1482"/>
      <c r="P352" s="1482"/>
      <c r="Q352" s="1482"/>
      <c r="R352" s="1482"/>
      <c r="S352" s="1482"/>
      <c r="T352" s="1482"/>
      <c r="U352" s="1482"/>
      <c r="V352" s="1482"/>
      <c r="W352" s="1482"/>
      <c r="X352" s="1482"/>
      <c r="Y352" s="1482"/>
      <c r="Z352" s="1482"/>
      <c r="AA352" s="1482"/>
      <c r="AB352" s="1482"/>
      <c r="AC352" s="1482"/>
      <c r="AD352" s="1482"/>
      <c r="AE352" s="1482"/>
      <c r="AF352" s="1482"/>
      <c r="AG352" s="1482"/>
      <c r="AH352" s="1482"/>
      <c r="AI352" s="1482"/>
      <c r="AJ352" s="1482"/>
      <c r="AK352" s="1482"/>
      <c r="AL352" s="1482"/>
      <c r="AM352" s="1482"/>
      <c r="AN352" s="1482"/>
      <c r="AO352" s="1482"/>
      <c r="AP352" s="1482"/>
      <c r="AQ352" s="1482"/>
      <c r="AR352" s="1482"/>
      <c r="AS352" s="1482"/>
      <c r="AT352" s="1482"/>
      <c r="AU352" s="21"/>
      <c r="AV352" s="21"/>
      <c r="AW352" s="21"/>
      <c r="AX352" s="21"/>
      <c r="AY352" s="21"/>
    </row>
    <row r="353" spans="1:46" ht="13"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3" customHeight="1">
      <c r="A354" s="2" t="s">
        <v>867</v>
      </c>
      <c r="B354" s="2"/>
      <c r="C354" s="2" t="s">
        <v>1191</v>
      </c>
    </row>
    <row r="355" spans="1:46" ht="13" customHeight="1">
      <c r="D355" s="3" t="s">
        <v>684</v>
      </c>
      <c r="M355" s="1367" t="s">
        <v>807</v>
      </c>
      <c r="N355" s="1367"/>
      <c r="P355" t="s">
        <v>1192</v>
      </c>
      <c r="AJ355" s="1367" t="s">
        <v>807</v>
      </c>
      <c r="AK355" s="1367"/>
    </row>
    <row r="356" spans="1:46" ht="13" customHeight="1">
      <c r="D356" s="3" t="s">
        <v>682</v>
      </c>
      <c r="M356" s="1367" t="s">
        <v>807</v>
      </c>
      <c r="N356" s="1367"/>
      <c r="P356" s="3" t="s">
        <v>1193</v>
      </c>
      <c r="AJ356" s="1337"/>
      <c r="AK356" s="1337"/>
    </row>
    <row r="357" spans="1:46" ht="13" customHeight="1">
      <c r="D357" s="3" t="s">
        <v>1194</v>
      </c>
      <c r="M357" s="1367" t="s">
        <v>807</v>
      </c>
      <c r="N357" s="1367"/>
      <c r="P357" t="s">
        <v>1195</v>
      </c>
      <c r="AJ357" s="1367" t="s">
        <v>842</v>
      </c>
      <c r="AK357" s="1367"/>
    </row>
    <row r="358" spans="1:46" ht="13" customHeight="1">
      <c r="D358" s="3" t="s">
        <v>1196</v>
      </c>
      <c r="M358" s="1367" t="s">
        <v>842</v>
      </c>
      <c r="N358" s="1367"/>
      <c r="Q358" s="3"/>
    </row>
    <row r="359" spans="1:46" ht="13" customHeight="1">
      <c r="Q359" s="3"/>
    </row>
    <row r="360" spans="1:46" ht="13" customHeight="1">
      <c r="Q360" s="3"/>
    </row>
    <row r="361" spans="1:46" ht="13" customHeight="1">
      <c r="A361" s="2" t="s">
        <v>908</v>
      </c>
      <c r="B361" s="2"/>
      <c r="C361" s="2" t="s">
        <v>1197</v>
      </c>
      <c r="D361" s="2"/>
    </row>
    <row r="362" spans="1:46" ht="13" customHeight="1">
      <c r="D362" s="31" t="s">
        <v>1198</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3" customHeight="1">
      <c r="D363" s="31" t="s">
        <v>1199</v>
      </c>
      <c r="E363" s="32"/>
      <c r="F363" s="32"/>
      <c r="G363" s="32"/>
      <c r="H363" s="32"/>
      <c r="I363" s="32"/>
      <c r="J363" s="32"/>
      <c r="K363" s="32"/>
      <c r="L363" s="32"/>
      <c r="M363" s="32"/>
      <c r="N363" s="1367" t="s">
        <v>842</v>
      </c>
      <c r="O363" s="1367"/>
      <c r="P363" s="32"/>
      <c r="Q363" s="32"/>
      <c r="R363" s="32"/>
      <c r="S363" s="32"/>
      <c r="T363" s="32"/>
      <c r="U363" s="32"/>
      <c r="V363" s="32"/>
      <c r="W363" s="32"/>
      <c r="X363" s="32"/>
      <c r="Y363" s="32"/>
      <c r="Z363" s="32"/>
      <c r="AC363" s="32"/>
      <c r="AD363" s="32"/>
      <c r="AE363" s="32"/>
    </row>
    <row r="364" spans="1:46" ht="13" customHeight="1">
      <c r="E364" t="s">
        <v>1200</v>
      </c>
      <c r="Y364" s="1367" t="s">
        <v>807</v>
      </c>
      <c r="Z364" s="1367"/>
    </row>
    <row r="365" spans="1:46" ht="13" customHeight="1">
      <c r="D365" s="3" t="s">
        <v>1201</v>
      </c>
      <c r="Q365" s="1359" t="s">
        <v>1202</v>
      </c>
      <c r="R365" s="1359"/>
      <c r="S365" s="1359"/>
      <c r="T365" s="1359"/>
      <c r="U365" s="1359"/>
      <c r="V365" s="1359"/>
      <c r="W365" s="1359"/>
      <c r="X365" s="1359"/>
      <c r="Y365" s="1359"/>
      <c r="Z365" s="1359"/>
      <c r="AA365" s="1359"/>
      <c r="AB365" s="1359"/>
      <c r="AC365" s="1359"/>
      <c r="AD365" s="1359"/>
      <c r="AE365" s="1359"/>
      <c r="AF365" s="1359"/>
      <c r="AG365" s="1359"/>
    </row>
    <row r="366" spans="1:46" ht="13" customHeight="1">
      <c r="D366" t="s">
        <v>1203</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3" customHeight="1">
      <c r="D367" t="s">
        <v>1204</v>
      </c>
      <c r="E367" s="32"/>
      <c r="F367" s="32"/>
      <c r="G367" s="32"/>
      <c r="H367" s="32"/>
      <c r="I367" s="32"/>
      <c r="J367" s="1367" t="s">
        <v>842</v>
      </c>
      <c r="K367" s="1367"/>
      <c r="L367" s="32"/>
      <c r="M367" s="32"/>
      <c r="N367" s="32"/>
      <c r="O367" s="32"/>
      <c r="P367" s="32"/>
      <c r="Q367" s="32"/>
      <c r="R367" s="32"/>
      <c r="S367" s="32"/>
      <c r="T367" s="32"/>
      <c r="U367" s="32"/>
      <c r="V367" s="32"/>
      <c r="W367" s="32"/>
      <c r="X367" s="32"/>
      <c r="Y367" s="32"/>
      <c r="Z367" s="32"/>
      <c r="AC367" s="32"/>
      <c r="AD367" s="32"/>
      <c r="AE367" s="32"/>
    </row>
    <row r="368" spans="1:46" ht="13" customHeight="1">
      <c r="E368" s="1221" t="s">
        <v>1205</v>
      </c>
      <c r="F368" s="1221"/>
      <c r="G368" s="1221"/>
      <c r="H368" s="1221"/>
      <c r="I368" s="1221"/>
      <c r="J368" s="1221"/>
      <c r="K368" s="1221"/>
      <c r="L368" s="1221"/>
      <c r="M368" s="1221"/>
      <c r="N368" s="1221"/>
      <c r="O368" s="1221"/>
      <c r="P368" s="1221"/>
      <c r="Q368" s="1221"/>
      <c r="R368" s="1221"/>
      <c r="S368" s="1221"/>
      <c r="T368" s="1221"/>
      <c r="U368" s="1221"/>
      <c r="V368" s="1221"/>
      <c r="W368" s="1221"/>
      <c r="X368" s="1221"/>
      <c r="Y368" s="1221"/>
      <c r="Z368" s="1221"/>
      <c r="AA368" s="1221"/>
      <c r="AB368" s="1221"/>
      <c r="AC368" s="1221"/>
      <c r="AD368" s="1221"/>
      <c r="AE368" s="1221"/>
      <c r="AF368" s="1221"/>
      <c r="AG368" s="1221"/>
      <c r="AH368" s="1221"/>
    </row>
    <row r="369" spans="1:34" ht="13" customHeight="1">
      <c r="E369" s="1221"/>
      <c r="F369" s="1221"/>
      <c r="G369" s="1221"/>
      <c r="H369" s="1221"/>
      <c r="I369" s="1221"/>
      <c r="J369" s="1221"/>
      <c r="K369" s="1221"/>
      <c r="L369" s="1221"/>
      <c r="M369" s="1221"/>
      <c r="N369" s="1221"/>
      <c r="O369" s="1221"/>
      <c r="P369" s="1221"/>
      <c r="Q369" s="1221"/>
      <c r="R369" s="1221"/>
      <c r="S369" s="1221"/>
      <c r="T369" s="1221"/>
      <c r="U369" s="1221"/>
      <c r="V369" s="1221"/>
      <c r="W369" s="1221"/>
      <c r="X369" s="1221"/>
      <c r="Y369" s="1221"/>
      <c r="Z369" s="1221"/>
      <c r="AA369" s="1221"/>
      <c r="AB369" s="1221"/>
      <c r="AC369" s="1221"/>
      <c r="AD369" s="1221"/>
      <c r="AE369" s="1221"/>
      <c r="AF369" s="1221"/>
      <c r="AG369" s="1221"/>
      <c r="AH369" s="1221"/>
    </row>
    <row r="370" spans="1:34" ht="13" customHeight="1">
      <c r="E370" s="3" t="s">
        <v>1206</v>
      </c>
      <c r="F370" s="3"/>
      <c r="G370" s="3"/>
      <c r="H370" s="3"/>
      <c r="I370" s="3"/>
      <c r="J370" s="3"/>
      <c r="K370" s="3"/>
      <c r="L370" s="3"/>
      <c r="N370" s="1344">
        <v>17</v>
      </c>
      <c r="O370" s="1344"/>
      <c r="P370" s="1344"/>
      <c r="Q370" s="1344"/>
      <c r="R370" s="3"/>
      <c r="U370" s="3" t="s">
        <v>1207</v>
      </c>
      <c r="V370" s="3"/>
      <c r="W370" s="3"/>
      <c r="X370" s="3"/>
      <c r="Y370" s="3"/>
      <c r="Z370" s="3"/>
      <c r="AA370" s="3"/>
      <c r="AB370" s="3"/>
      <c r="AC370" s="1344">
        <v>4</v>
      </c>
      <c r="AD370" s="1344"/>
      <c r="AE370" s="1344"/>
      <c r="AF370" s="1344"/>
    </row>
    <row r="371" spans="1:34" ht="13" customHeight="1">
      <c r="E371" s="3" t="s">
        <v>1208</v>
      </c>
      <c r="F371" s="3"/>
      <c r="G371" s="3"/>
      <c r="H371" s="3"/>
      <c r="I371" s="3"/>
      <c r="J371" s="3"/>
      <c r="K371" s="3"/>
      <c r="L371" s="3"/>
      <c r="N371" s="1344">
        <v>3</v>
      </c>
      <c r="O371" s="1344"/>
      <c r="P371" s="1344"/>
      <c r="Q371" s="1344"/>
      <c r="R371" s="3"/>
      <c r="U371" s="3" t="s">
        <v>1209</v>
      </c>
      <c r="V371" s="3"/>
      <c r="W371" s="3"/>
      <c r="X371" s="3"/>
      <c r="Y371" s="3"/>
      <c r="Z371" s="3"/>
      <c r="AA371" s="3"/>
      <c r="AB371" s="3"/>
      <c r="AC371" s="1344">
        <v>79</v>
      </c>
      <c r="AD371" s="1344"/>
      <c r="AE371" s="1344"/>
      <c r="AF371" s="1344"/>
    </row>
    <row r="372" spans="1:34" ht="13" customHeight="1">
      <c r="E372" s="3" t="s">
        <v>1210</v>
      </c>
      <c r="F372" s="3"/>
      <c r="G372" s="3"/>
      <c r="H372" s="3"/>
      <c r="I372" s="3"/>
      <c r="J372" s="3"/>
      <c r="K372" s="3"/>
      <c r="L372" s="3"/>
      <c r="N372" s="1344">
        <v>3</v>
      </c>
      <c r="O372" s="1344"/>
      <c r="P372" s="1344"/>
      <c r="Q372" s="1344"/>
      <c r="R372" s="3"/>
      <c r="V372" s="3"/>
      <c r="W372" s="3"/>
      <c r="X372" s="3"/>
      <c r="Y372" s="3"/>
      <c r="Z372" s="3"/>
      <c r="AA372" s="3"/>
      <c r="AB372" s="3"/>
    </row>
    <row r="373" spans="1:34" ht="13" customHeight="1">
      <c r="E373" s="3" t="s">
        <v>1211</v>
      </c>
      <c r="F373" s="3"/>
      <c r="G373" s="3"/>
      <c r="H373" s="3"/>
      <c r="I373" s="3"/>
      <c r="J373" s="3"/>
      <c r="K373" s="3"/>
      <c r="L373" s="3"/>
      <c r="N373" s="1475" t="s">
        <v>1212</v>
      </c>
      <c r="O373" s="1475"/>
      <c r="P373" s="1475"/>
      <c r="Q373" s="1475"/>
      <c r="R373" s="1475"/>
      <c r="S373" s="1475"/>
      <c r="T373" s="1475"/>
      <c r="U373" s="1475"/>
      <c r="V373" s="1475"/>
      <c r="W373" s="1475"/>
      <c r="X373" s="1475"/>
      <c r="Y373" s="1475"/>
      <c r="Z373" s="1475"/>
      <c r="AA373" s="1475"/>
      <c r="AB373" s="1475"/>
      <c r="AC373" s="1475"/>
      <c r="AD373" s="1475"/>
      <c r="AE373" s="1475"/>
      <c r="AF373" s="1475"/>
    </row>
    <row r="374" spans="1:34" ht="13" customHeight="1">
      <c r="E374" s="3"/>
      <c r="F374" s="3"/>
      <c r="G374" s="3"/>
      <c r="H374" s="3"/>
      <c r="I374" s="3"/>
      <c r="J374" s="3"/>
      <c r="K374" s="3"/>
      <c r="L374" s="3"/>
      <c r="N374" s="1476"/>
      <c r="O374" s="1476"/>
      <c r="P374" s="1476"/>
      <c r="Q374" s="1476"/>
      <c r="R374" s="1476"/>
      <c r="S374" s="1476"/>
      <c r="T374" s="1476"/>
      <c r="U374" s="1476"/>
      <c r="V374" s="1476"/>
      <c r="W374" s="1476"/>
      <c r="X374" s="1476"/>
      <c r="Y374" s="1476"/>
      <c r="Z374" s="1476"/>
      <c r="AA374" s="1476"/>
      <c r="AB374" s="1476"/>
      <c r="AC374" s="1476"/>
      <c r="AD374" s="1476"/>
      <c r="AE374" s="1476"/>
      <c r="AF374" s="1476"/>
    </row>
    <row r="375" spans="1:34" ht="13" customHeight="1">
      <c r="C375" s="411"/>
      <c r="E375" s="3"/>
      <c r="F375" s="3"/>
      <c r="G375" s="3"/>
      <c r="H375" s="3"/>
      <c r="I375" s="3"/>
      <c r="J375" s="3"/>
      <c r="K375" s="3"/>
      <c r="L375" s="3"/>
    </row>
    <row r="376" spans="1:34" ht="13" customHeight="1">
      <c r="D376" s="2" t="s">
        <v>1213</v>
      </c>
      <c r="E376" s="2"/>
      <c r="F376" s="3"/>
      <c r="G376" s="3"/>
      <c r="H376" s="3"/>
      <c r="I376" s="3"/>
      <c r="J376" s="3"/>
      <c r="K376" s="3"/>
      <c r="L376" s="3"/>
    </row>
    <row r="377" spans="1:34" ht="13" customHeight="1">
      <c r="E377" s="3" t="s">
        <v>1214</v>
      </c>
      <c r="F377" s="3"/>
      <c r="G377" s="3"/>
      <c r="H377" s="3"/>
      <c r="I377" s="3"/>
      <c r="J377" s="3"/>
      <c r="K377" s="3"/>
      <c r="L377" s="3"/>
      <c r="N377" t="s">
        <v>884</v>
      </c>
      <c r="R377" s="23" t="s">
        <v>885</v>
      </c>
      <c r="S377" s="1395">
        <v>2005</v>
      </c>
      <c r="T377" s="1395"/>
      <c r="U377" s="1" t="s">
        <v>886</v>
      </c>
      <c r="V377" s="1395">
        <v>909</v>
      </c>
      <c r="W377" s="1395"/>
      <c r="Y377" t="s">
        <v>884</v>
      </c>
      <c r="AC377" s="23" t="s">
        <v>885</v>
      </c>
      <c r="AD377" s="1395"/>
      <c r="AE377" s="1395"/>
      <c r="AF377" s="1" t="s">
        <v>886</v>
      </c>
      <c r="AG377" s="1395"/>
      <c r="AH377" s="1395"/>
    </row>
    <row r="378" spans="1:34" ht="13" customHeight="1">
      <c r="E378" s="3" t="s">
        <v>1215</v>
      </c>
      <c r="F378" s="3"/>
      <c r="G378" s="3"/>
      <c r="H378" s="3"/>
      <c r="I378" s="3"/>
      <c r="J378" s="3"/>
      <c r="K378" s="3"/>
      <c r="L378" s="3"/>
      <c r="N378" s="1395">
        <v>2008</v>
      </c>
      <c r="O378" s="1395"/>
      <c r="P378" s="1395"/>
    </row>
    <row r="379" spans="1:34" ht="13" customHeight="1">
      <c r="E379" s="135" t="s">
        <v>1216</v>
      </c>
      <c r="F379" s="3"/>
      <c r="G379" s="3"/>
      <c r="H379" s="3"/>
      <c r="I379" s="3"/>
      <c r="J379" s="3"/>
      <c r="K379" s="3"/>
      <c r="L379" s="3"/>
      <c r="AG379" s="1398" t="s">
        <v>807</v>
      </c>
      <c r="AH379" s="1398"/>
    </row>
    <row r="380" spans="1:34" ht="13" customHeight="1">
      <c r="E380" s="3"/>
      <c r="F380" s="3"/>
      <c r="G380" s="3" t="s">
        <v>1217</v>
      </c>
      <c r="H380" s="3"/>
      <c r="I380" s="3"/>
      <c r="J380" s="3"/>
      <c r="K380" s="3"/>
      <c r="L380" s="3"/>
      <c r="AG380" s="1398" t="s">
        <v>692</v>
      </c>
      <c r="AH380" s="1398"/>
    </row>
    <row r="381" spans="1:34" ht="13" customHeight="1">
      <c r="E381" s="3"/>
      <c r="F381" s="3"/>
      <c r="G381" s="224" t="s">
        <v>1218</v>
      </c>
      <c r="H381" s="3"/>
      <c r="I381" s="3"/>
      <c r="J381" s="3"/>
      <c r="K381" s="3"/>
      <c r="L381" s="3"/>
      <c r="V381" s="1367" t="s">
        <v>807</v>
      </c>
      <c r="W381" s="1367"/>
      <c r="Y381" s="19" t="s">
        <v>1219</v>
      </c>
    </row>
    <row r="382" spans="1:34" ht="13" customHeight="1">
      <c r="E382" s="3" t="s">
        <v>1220</v>
      </c>
      <c r="F382" s="3"/>
      <c r="G382" s="3"/>
      <c r="H382" s="3"/>
      <c r="I382" s="3"/>
      <c r="J382" s="3"/>
      <c r="K382" s="3"/>
      <c r="L382" s="3"/>
      <c r="V382" s="1367" t="s">
        <v>807</v>
      </c>
      <c r="W382" s="1367"/>
      <c r="Y382" s="3" t="s">
        <v>1221</v>
      </c>
    </row>
    <row r="383" spans="1:34" ht="13" customHeight="1"/>
    <row r="384" spans="1:34" ht="13" customHeight="1">
      <c r="A384" s="2" t="s">
        <v>1222</v>
      </c>
      <c r="B384" s="2"/>
    </row>
    <row r="385" spans="4:36" ht="13" customHeight="1">
      <c r="D385" t="s">
        <v>1223</v>
      </c>
      <c r="J385" s="1359" t="s">
        <v>1224</v>
      </c>
      <c r="K385" s="1359"/>
      <c r="L385" s="1359"/>
      <c r="M385" s="1359"/>
      <c r="N385" s="1359"/>
      <c r="O385" s="1359"/>
      <c r="P385" s="1359"/>
      <c r="Q385" s="1359"/>
      <c r="R385" s="1359"/>
      <c r="S385" s="1359"/>
      <c r="T385" s="1359"/>
      <c r="U385" s="1359"/>
      <c r="V385" s="7" t="s">
        <v>1225</v>
      </c>
      <c r="W385" s="7"/>
      <c r="X385" s="7"/>
      <c r="Y385" s="7"/>
      <c r="Z385" s="7"/>
      <c r="AA385" s="7"/>
      <c r="AB385" s="7"/>
      <c r="AC385" s="1359" t="s">
        <v>1066</v>
      </c>
      <c r="AD385" s="1359"/>
      <c r="AE385" s="1359"/>
      <c r="AF385" s="1359"/>
      <c r="AG385" s="1359"/>
      <c r="AH385" s="1359"/>
      <c r="AI385" s="1359"/>
      <c r="AJ385" s="1359"/>
    </row>
    <row r="386" spans="4:36" ht="13" customHeight="1">
      <c r="D386" s="3" t="s">
        <v>1226</v>
      </c>
      <c r="J386" s="1326" t="s">
        <v>1066</v>
      </c>
      <c r="K386" s="1326"/>
      <c r="L386" s="1326"/>
      <c r="M386" s="1326"/>
      <c r="N386" s="1326"/>
      <c r="O386" s="1326"/>
      <c r="P386" s="1326"/>
      <c r="Q386" s="1326"/>
      <c r="R386" s="1326"/>
      <c r="S386" s="1326"/>
      <c r="T386" s="1326"/>
      <c r="U386" s="1326"/>
      <c r="V386" s="3" t="s">
        <v>1226</v>
      </c>
      <c r="W386" s="7"/>
      <c r="X386" s="7"/>
      <c r="Y386" s="7"/>
      <c r="Z386" s="7"/>
      <c r="AA386" s="7"/>
      <c r="AB386" s="7"/>
      <c r="AC386" s="1359"/>
      <c r="AD386" s="1359"/>
      <c r="AE386" s="1359"/>
      <c r="AF386" s="1359"/>
      <c r="AG386" s="1359"/>
      <c r="AH386" s="1359"/>
      <c r="AI386" s="1359"/>
      <c r="AJ386" s="1359"/>
    </row>
    <row r="387" spans="4:36" ht="13" customHeight="1">
      <c r="D387" s="3" t="s">
        <v>805</v>
      </c>
      <c r="J387" s="1326" t="s">
        <v>1227</v>
      </c>
      <c r="K387" s="1326"/>
      <c r="L387" s="1326"/>
      <c r="M387" s="1326"/>
      <c r="N387" s="1326"/>
      <c r="O387" s="1326"/>
      <c r="P387" s="1326"/>
      <c r="Q387" s="1326"/>
      <c r="R387" s="1326"/>
      <c r="S387" s="1326"/>
      <c r="T387" s="1326"/>
      <c r="U387" s="1326"/>
      <c r="V387" s="3" t="s">
        <v>805</v>
      </c>
      <c r="W387" s="7"/>
      <c r="X387" s="7"/>
      <c r="Y387" s="7"/>
      <c r="Z387" s="7"/>
      <c r="AA387" s="7"/>
      <c r="AB387" s="7"/>
      <c r="AC387" s="1359"/>
      <c r="AD387" s="1359"/>
      <c r="AE387" s="1359"/>
      <c r="AF387" s="1359"/>
      <c r="AG387" s="1359"/>
      <c r="AH387" s="1359"/>
      <c r="AI387" s="1359"/>
      <c r="AJ387" s="1359"/>
    </row>
    <row r="388" spans="4:36" ht="13" customHeight="1">
      <c r="D388" t="s">
        <v>1228</v>
      </c>
      <c r="J388" s="1379" t="s">
        <v>1229</v>
      </c>
      <c r="K388" s="1379"/>
      <c r="L388" s="1379"/>
      <c r="M388" s="1379"/>
      <c r="N388" s="1379"/>
      <c r="O388" s="1379"/>
      <c r="P388" s="1379"/>
      <c r="Q388" s="1379"/>
      <c r="R388" s="1379"/>
      <c r="S388" s="1379"/>
      <c r="T388" s="1379"/>
      <c r="U388" s="1379"/>
      <c r="V388" s="1359"/>
      <c r="W388" s="1359"/>
      <c r="X388" s="1359"/>
      <c r="Y388" s="1359"/>
      <c r="Z388" s="1359"/>
      <c r="AA388" s="1359"/>
      <c r="AB388" s="1359"/>
      <c r="AC388" s="1359"/>
      <c r="AD388" s="1359"/>
      <c r="AE388" s="1359"/>
      <c r="AF388" s="1359"/>
      <c r="AG388" s="1359"/>
      <c r="AH388" s="1359"/>
      <c r="AI388" s="1359"/>
      <c r="AJ388" s="1359"/>
    </row>
    <row r="389" spans="4:36" ht="13" customHeight="1">
      <c r="D389" t="s">
        <v>1230</v>
      </c>
      <c r="Q389" s="1531">
        <v>45505</v>
      </c>
      <c r="R389" s="1531"/>
      <c r="S389" s="1531"/>
      <c r="T389" s="1531"/>
      <c r="U389" s="1531"/>
      <c r="V389" t="s">
        <v>1231</v>
      </c>
      <c r="AI389" s="1367" t="s">
        <v>692</v>
      </c>
      <c r="AJ389" s="1367"/>
    </row>
    <row r="390" spans="4:36" ht="13" customHeight="1">
      <c r="D390" t="s">
        <v>1232</v>
      </c>
      <c r="Q390" s="1470">
        <v>46752</v>
      </c>
      <c r="R390" s="1471"/>
      <c r="S390" s="1471"/>
      <c r="T390" s="1471"/>
      <c r="U390" s="1471"/>
      <c r="W390" s="18" t="s">
        <v>1233</v>
      </c>
      <c r="AG390" s="1400"/>
      <c r="AH390" s="1400"/>
      <c r="AI390" s="1400"/>
      <c r="AJ390" s="1400"/>
    </row>
    <row r="391" spans="4:36" ht="13" customHeight="1">
      <c r="D391" t="s">
        <v>1234</v>
      </c>
      <c r="Q391" s="1401">
        <v>27000000</v>
      </c>
      <c r="R391" s="1401"/>
      <c r="S391" s="1401"/>
      <c r="T391" s="1401"/>
      <c r="U391" s="1401"/>
      <c r="V391" s="3" t="s">
        <v>1235</v>
      </c>
      <c r="AG391" s="1468">
        <v>46143</v>
      </c>
      <c r="AH391" s="1468"/>
      <c r="AI391" s="1468"/>
      <c r="AJ391" s="1468"/>
    </row>
    <row r="392" spans="4:36" ht="13" customHeight="1">
      <c r="D392" t="s">
        <v>1067</v>
      </c>
      <c r="I392" s="1489"/>
      <c r="J392" s="1489"/>
      <c r="K392" s="1489"/>
      <c r="L392" s="1489"/>
      <c r="M392" s="1489"/>
      <c r="N392" s="1489"/>
      <c r="Q392" s="3" t="s">
        <v>1069</v>
      </c>
      <c r="S392" s="1399"/>
      <c r="T392" s="1399"/>
      <c r="U392" s="1399"/>
      <c r="V392" t="s">
        <v>1236</v>
      </c>
      <c r="AI392" s="1367" t="s">
        <v>692</v>
      </c>
      <c r="AJ392" s="1367"/>
    </row>
    <row r="393" spans="4:36" ht="13" customHeight="1">
      <c r="D393" t="s">
        <v>1237</v>
      </c>
      <c r="Q393" s="1474"/>
      <c r="R393" s="1474"/>
      <c r="S393" s="1474"/>
      <c r="T393" s="1474"/>
      <c r="U393" s="1474"/>
      <c r="V393" t="s">
        <v>1238</v>
      </c>
      <c r="AG393" s="1400"/>
      <c r="AH393" s="1400"/>
      <c r="AI393" s="1400"/>
      <c r="AJ393" s="1400"/>
    </row>
    <row r="394" spans="4:36" ht="13" customHeight="1">
      <c r="D394" t="s">
        <v>1239</v>
      </c>
      <c r="Q394" s="1521"/>
      <c r="R394" s="1521"/>
      <c r="S394" s="1521"/>
      <c r="T394" s="1521"/>
      <c r="U394" s="1521"/>
      <c r="V394" t="s">
        <v>1240</v>
      </c>
      <c r="AG394" s="1400"/>
      <c r="AH394" s="1400"/>
      <c r="AI394" s="1400"/>
      <c r="AJ394" s="1400"/>
    </row>
    <row r="395" spans="4:36" ht="13" customHeight="1">
      <c r="D395" t="s">
        <v>1241</v>
      </c>
      <c r="AG395" s="1400"/>
      <c r="AH395" s="1400"/>
      <c r="AI395" s="1400"/>
      <c r="AJ395" s="1400"/>
    </row>
    <row r="396" spans="4:36" ht="13" customHeight="1">
      <c r="AG396" s="1163"/>
      <c r="AH396" s="1163"/>
      <c r="AI396" s="1163"/>
      <c r="AJ396" s="1163"/>
    </row>
    <row r="397" spans="4:36" ht="13" customHeight="1">
      <c r="D397" s="3" t="s">
        <v>1242</v>
      </c>
      <c r="AG397" s="1163"/>
      <c r="AH397" s="1163"/>
      <c r="AI397" s="1367" t="s">
        <v>692</v>
      </c>
      <c r="AJ397" s="1367"/>
    </row>
    <row r="398" spans="4:36" ht="13" customHeight="1">
      <c r="D398" s="3" t="s">
        <v>1243</v>
      </c>
      <c r="T398" s="1386" t="s">
        <v>807</v>
      </c>
      <c r="U398" s="1386"/>
      <c r="V398" s="1386"/>
      <c r="W398" s="1386"/>
      <c r="X398" s="1386"/>
      <c r="Y398" s="1386"/>
      <c r="Z398" s="1386"/>
      <c r="AA398" s="1386"/>
      <c r="AB398" s="1386"/>
      <c r="AC398" s="1386"/>
      <c r="AD398" s="1386"/>
      <c r="AE398" s="1386"/>
      <c r="AF398" s="1386"/>
      <c r="AG398" s="1386"/>
      <c r="AH398" s="1386"/>
      <c r="AI398" s="1386"/>
      <c r="AJ398" s="1386"/>
    </row>
    <row r="399" spans="4:36" ht="13" customHeight="1">
      <c r="D399" s="3" t="s">
        <v>1244</v>
      </c>
      <c r="T399" s="1386"/>
      <c r="U399" s="1386"/>
      <c r="V399" s="1386"/>
      <c r="W399" s="1386"/>
      <c r="X399" s="1386"/>
      <c r="Y399" s="1386"/>
      <c r="Z399" s="1386"/>
      <c r="AA399" s="1386"/>
      <c r="AB399" s="1386"/>
      <c r="AC399" s="1386"/>
      <c r="AD399" s="1386"/>
      <c r="AE399" s="1386"/>
      <c r="AF399" s="1386"/>
      <c r="AG399" s="1386"/>
      <c r="AH399" s="1386"/>
      <c r="AI399" s="1386"/>
      <c r="AJ399" s="1386"/>
    </row>
    <row r="400" spans="4:36" ht="13" customHeight="1">
      <c r="AG400" s="1163"/>
      <c r="AH400" s="1163"/>
      <c r="AI400" s="1163"/>
      <c r="AJ400" s="1163"/>
    </row>
    <row r="401" spans="1:36" ht="13" customHeight="1">
      <c r="D401" s="3" t="s">
        <v>1245</v>
      </c>
      <c r="S401" s="1386" t="s">
        <v>692</v>
      </c>
      <c r="T401" s="1386"/>
      <c r="U401" s="1386"/>
      <c r="V401" t="s">
        <v>1246</v>
      </c>
      <c r="AG401" s="1473"/>
      <c r="AH401" s="1473"/>
      <c r="AI401" s="1473"/>
      <c r="AJ401" s="1473"/>
    </row>
    <row r="402" spans="1:36" ht="13" customHeight="1">
      <c r="D402" s="3" t="s">
        <v>1247</v>
      </c>
      <c r="S402" s="1386" t="s">
        <v>807</v>
      </c>
      <c r="T402" s="1386"/>
      <c r="U402" s="1386"/>
      <c r="V402" t="s">
        <v>1248</v>
      </c>
      <c r="AE402" s="1467"/>
      <c r="AF402" s="1467"/>
      <c r="AG402" s="1467"/>
      <c r="AH402" s="1467"/>
      <c r="AI402" s="1467"/>
      <c r="AJ402" s="1467"/>
    </row>
    <row r="403" spans="1:36" ht="13" customHeight="1">
      <c r="D403" s="3" t="s">
        <v>1249</v>
      </c>
      <c r="K403" s="1469" t="s">
        <v>1250</v>
      </c>
      <c r="L403" s="1469"/>
      <c r="M403" s="1469"/>
      <c r="N403" s="1469"/>
      <c r="O403" s="1469"/>
      <c r="P403" s="1469"/>
      <c r="Q403" s="1469"/>
      <c r="R403" s="1469"/>
      <c r="S403" s="1469"/>
      <c r="T403" s="1469"/>
      <c r="U403" s="1469"/>
      <c r="V403" s="1469"/>
      <c r="W403" s="1469"/>
      <c r="X403" s="1469"/>
      <c r="Y403" s="1469"/>
      <c r="Z403" s="1469"/>
      <c r="AA403" s="1469"/>
      <c r="AB403" s="1469"/>
      <c r="AC403" s="1469"/>
      <c r="AD403" s="1469"/>
      <c r="AE403" s="1469"/>
      <c r="AF403" s="1469"/>
      <c r="AG403" s="1469"/>
      <c r="AH403" s="1469"/>
      <c r="AI403" s="1469"/>
      <c r="AJ403" s="1469"/>
    </row>
    <row r="404" spans="1:36" ht="13" customHeight="1">
      <c r="D404" s="3" t="s">
        <v>1251</v>
      </c>
      <c r="K404" s="1469"/>
      <c r="L404" s="1469"/>
      <c r="M404" s="1469"/>
      <c r="N404" s="1469"/>
      <c r="O404" s="1469"/>
      <c r="P404" s="1469"/>
      <c r="Q404" s="1469"/>
      <c r="R404" s="1469"/>
      <c r="S404" s="1469"/>
      <c r="T404" s="1469"/>
      <c r="U404" s="1469"/>
      <c r="V404" s="1469"/>
      <c r="W404" s="1469"/>
      <c r="X404" s="1469"/>
      <c r="Y404" s="1469"/>
      <c r="Z404" s="1469"/>
      <c r="AA404" s="1469"/>
      <c r="AB404" s="1469"/>
      <c r="AC404" s="1469"/>
      <c r="AD404" s="1469"/>
      <c r="AE404" s="1469"/>
      <c r="AF404" s="1469"/>
      <c r="AG404" s="1469"/>
      <c r="AH404" s="1469"/>
      <c r="AI404" s="1469"/>
      <c r="AJ404" s="1469"/>
    </row>
    <row r="405" spans="1:36" ht="13" customHeight="1">
      <c r="D405" s="3" t="s">
        <v>1252</v>
      </c>
      <c r="E405" s="377"/>
      <c r="F405" s="377"/>
      <c r="G405" s="377"/>
      <c r="H405" s="377"/>
      <c r="I405" s="377"/>
      <c r="J405" s="377"/>
      <c r="K405" s="377"/>
      <c r="L405" s="377"/>
      <c r="M405" s="377"/>
      <c r="N405" s="377"/>
      <c r="O405" s="377"/>
      <c r="P405" s="377"/>
      <c r="Q405" s="377"/>
      <c r="R405" s="377"/>
      <c r="S405" s="1397" t="s">
        <v>1253</v>
      </c>
      <c r="T405" s="1397"/>
      <c r="U405" s="1397"/>
      <c r="V405" s="1397"/>
      <c r="W405" s="1397"/>
      <c r="X405" s="1397"/>
      <c r="Y405" s="1397"/>
      <c r="Z405" s="1397"/>
      <c r="AA405" s="1397"/>
      <c r="AB405" s="1397"/>
      <c r="AC405" s="1397"/>
      <c r="AD405" s="1397"/>
      <c r="AE405" s="1397"/>
      <c r="AF405" s="1397"/>
      <c r="AG405" s="1397"/>
      <c r="AH405" s="1397"/>
      <c r="AI405" s="1397"/>
      <c r="AJ405" s="1397"/>
    </row>
    <row r="406" spans="1:36" ht="13" customHeight="1">
      <c r="D406" s="1227" t="s">
        <v>1254</v>
      </c>
      <c r="E406" s="1227"/>
      <c r="F406" s="1227"/>
      <c r="G406" s="1227"/>
      <c r="H406" s="1227"/>
      <c r="I406" s="1227"/>
      <c r="J406" s="1227"/>
      <c r="K406" s="1227"/>
      <c r="L406" s="1227"/>
      <c r="M406" s="1227"/>
      <c r="N406" s="1227"/>
      <c r="O406" s="1227"/>
      <c r="P406" s="1227"/>
      <c r="Q406" s="1227"/>
      <c r="R406" s="1227"/>
      <c r="S406" s="1227"/>
      <c r="T406" s="1227"/>
      <c r="U406" s="1227"/>
      <c r="V406" s="1227"/>
      <c r="W406" s="1227"/>
      <c r="X406" s="1227"/>
      <c r="Y406" s="1227"/>
      <c r="Z406" s="1227"/>
      <c r="AA406" s="1227"/>
      <c r="AB406" s="1227"/>
      <c r="AC406" s="1227"/>
      <c r="AD406" s="1227"/>
      <c r="AE406" s="1227"/>
      <c r="AF406" s="1227"/>
      <c r="AG406" s="1227"/>
      <c r="AH406" s="1227"/>
      <c r="AI406" s="1227"/>
      <c r="AJ406" s="1227"/>
    </row>
    <row r="407" spans="1:36" ht="13" customHeight="1">
      <c r="D407" s="1227"/>
      <c r="E407" s="1227"/>
      <c r="F407" s="1227"/>
      <c r="G407" s="1227"/>
      <c r="H407" s="1227"/>
      <c r="I407" s="1227"/>
      <c r="J407" s="1227"/>
      <c r="K407" s="1227"/>
      <c r="L407" s="1227"/>
      <c r="M407" s="1227"/>
      <c r="N407" s="1227"/>
      <c r="O407" s="1227"/>
      <c r="P407" s="1227"/>
      <c r="Q407" s="1227"/>
      <c r="R407" s="1227"/>
      <c r="S407" s="1227"/>
      <c r="T407" s="1227"/>
      <c r="U407" s="1227"/>
      <c r="V407" s="1227"/>
      <c r="W407" s="1227"/>
      <c r="X407" s="1227"/>
      <c r="Y407" s="1227"/>
      <c r="Z407" s="1227"/>
      <c r="AA407" s="1227"/>
      <c r="AB407" s="1227"/>
      <c r="AC407" s="1227"/>
      <c r="AD407" s="1227"/>
      <c r="AE407" s="1227"/>
      <c r="AF407" s="1227"/>
      <c r="AG407" s="1227"/>
      <c r="AH407" s="1227"/>
      <c r="AI407" s="1227"/>
      <c r="AJ407" s="1227"/>
    </row>
    <row r="408" spans="1:36" ht="13" customHeight="1">
      <c r="AG408" s="1163"/>
      <c r="AH408" s="1163"/>
      <c r="AI408" s="1163"/>
      <c r="AJ408" s="1163"/>
    </row>
    <row r="409" spans="1:36" ht="13" customHeight="1">
      <c r="A409" s="2" t="s">
        <v>1005</v>
      </c>
      <c r="B409" s="2"/>
      <c r="C409" s="2" t="s">
        <v>145</v>
      </c>
    </row>
    <row r="410" spans="1:36" ht="13" customHeight="1">
      <c r="B410" s="2"/>
      <c r="C410" s="2"/>
      <c r="D410" s="2" t="s">
        <v>1255</v>
      </c>
      <c r="I410" s="1472" t="s">
        <v>1256</v>
      </c>
      <c r="J410" s="1472"/>
      <c r="K410" s="1472"/>
      <c r="L410" s="1472"/>
      <c r="M410" s="1472"/>
      <c r="N410" s="1472"/>
      <c r="O410" s="1472"/>
      <c r="P410" s="1472"/>
      <c r="Q410" s="1472"/>
      <c r="R410" s="1472"/>
      <c r="S410" s="1472"/>
      <c r="T410" s="1472"/>
      <c r="U410" s="1472"/>
      <c r="V410" s="1472"/>
      <c r="W410" s="1472"/>
      <c r="X410" s="1472"/>
      <c r="Y410" s="1472"/>
      <c r="Z410" s="1472"/>
      <c r="AA410" s="1472"/>
      <c r="AB410" s="1472"/>
      <c r="AC410" s="1472"/>
      <c r="AD410" s="1472"/>
      <c r="AE410" s="1472"/>
    </row>
    <row r="411" spans="1:36" ht="13" customHeight="1">
      <c r="E411" t="s">
        <v>1257</v>
      </c>
      <c r="R411" s="1367" t="s">
        <v>842</v>
      </c>
      <c r="S411" s="1367"/>
      <c r="AC411" s="23" t="s">
        <v>1258</v>
      </c>
      <c r="AD411" s="1344">
        <v>3</v>
      </c>
      <c r="AE411" s="1344"/>
    </row>
    <row r="412" spans="1:36" ht="13" customHeight="1">
      <c r="E412" t="s">
        <v>1259</v>
      </c>
      <c r="R412" s="1367" t="s">
        <v>842</v>
      </c>
      <c r="S412" s="1367"/>
      <c r="AC412" s="23" t="s">
        <v>1258</v>
      </c>
      <c r="AD412" s="1344">
        <v>2</v>
      </c>
      <c r="AE412" s="1344"/>
    </row>
    <row r="413" spans="1:36" ht="13" customHeight="1">
      <c r="E413" t="s">
        <v>1260</v>
      </c>
      <c r="S413" s="1367" t="s">
        <v>807</v>
      </c>
      <c r="T413" s="1367"/>
    </row>
    <row r="414" spans="1:36" ht="13" customHeight="1">
      <c r="E414" t="s">
        <v>233</v>
      </c>
      <c r="H414" s="1522" t="s">
        <v>1261</v>
      </c>
      <c r="I414" s="1522"/>
      <c r="J414" s="1522"/>
      <c r="K414" s="1522"/>
      <c r="L414" s="1522"/>
      <c r="M414" s="1522"/>
      <c r="N414" s="1522"/>
      <c r="O414" s="1522"/>
      <c r="P414" s="1522"/>
      <c r="Q414" s="1522"/>
      <c r="R414" s="1522"/>
      <c r="S414" s="1522"/>
      <c r="T414" s="1522"/>
      <c r="U414" s="1522"/>
      <c r="V414" s="1522"/>
      <c r="W414" s="1522"/>
      <c r="X414" s="1522"/>
      <c r="Y414" s="1522"/>
      <c r="Z414" s="1522"/>
      <c r="AA414" s="1522"/>
      <c r="AB414" s="1522"/>
      <c r="AC414" s="1522"/>
      <c r="AD414" s="1522"/>
      <c r="AE414" s="1522"/>
    </row>
    <row r="415" spans="1:36" ht="13" customHeight="1">
      <c r="H415" s="1523"/>
      <c r="I415" s="1523"/>
      <c r="J415" s="1523"/>
      <c r="K415" s="1523"/>
      <c r="L415" s="1523"/>
      <c r="M415" s="1523"/>
      <c r="N415" s="1523"/>
      <c r="O415" s="1523"/>
      <c r="P415" s="1523"/>
      <c r="Q415" s="1523"/>
      <c r="R415" s="1523"/>
      <c r="S415" s="1523"/>
      <c r="T415" s="1523"/>
      <c r="U415" s="1523"/>
      <c r="V415" s="1523"/>
      <c r="W415" s="1523"/>
      <c r="X415" s="1523"/>
      <c r="Y415" s="1523"/>
      <c r="Z415" s="1523"/>
      <c r="AA415" s="1523"/>
      <c r="AB415" s="1523"/>
      <c r="AC415" s="1523"/>
      <c r="AD415" s="1523"/>
      <c r="AE415" s="1523"/>
    </row>
    <row r="416" spans="1:36" ht="13" customHeight="1"/>
    <row r="417" spans="1:39" ht="13" customHeight="1">
      <c r="A417" s="2" t="s">
        <v>1017</v>
      </c>
      <c r="B417" s="2"/>
      <c r="C417" s="2"/>
      <c r="D417" s="2" t="s">
        <v>150</v>
      </c>
      <c r="AF417" s="2" t="s">
        <v>1262</v>
      </c>
    </row>
    <row r="418" spans="1:39" ht="13" customHeight="1">
      <c r="E418" s="1395"/>
      <c r="F418" s="1395"/>
      <c r="G418" s="1395"/>
      <c r="H418" s="12" t="s">
        <v>1263</v>
      </c>
      <c r="I418" s="1395"/>
      <c r="J418" s="1395"/>
      <c r="K418" s="1395"/>
      <c r="L418" t="s">
        <v>1264</v>
      </c>
      <c r="N418" s="23" t="s">
        <v>36</v>
      </c>
      <c r="P418" s="1525">
        <v>2.74</v>
      </c>
      <c r="Q418" s="1525"/>
      <c r="R418" s="1525"/>
      <c r="S418" t="s">
        <v>1265</v>
      </c>
      <c r="W418" s="1396">
        <f>IF(E418&gt;0,(E418*I418),(P418*43560))</f>
        <v>119354.40000000001</v>
      </c>
      <c r="X418" s="1396"/>
      <c r="Y418" s="1396"/>
      <c r="Z418" t="s">
        <v>1266</v>
      </c>
      <c r="AF418" s="1526">
        <f>IFERROR(IF(P418&gt;0,(AG437/P418),(AG437/(W418/43560))),0)</f>
        <v>28.832116788321166</v>
      </c>
      <c r="AG418" s="1526"/>
      <c r="AH418" s="1526"/>
      <c r="AM418" s="3"/>
    </row>
    <row r="419" spans="1:39" ht="13" customHeight="1">
      <c r="E419" t="s">
        <v>1267</v>
      </c>
    </row>
    <row r="420" spans="1:39" ht="13" customHeight="1">
      <c r="E420" s="1454" t="s">
        <v>1268</v>
      </c>
      <c r="F420" s="1454"/>
      <c r="G420" s="1454"/>
      <c r="H420" s="1454"/>
      <c r="I420" s="1454"/>
      <c r="J420" s="1454"/>
      <c r="K420" s="1454"/>
      <c r="L420" s="1454"/>
      <c r="M420" s="1454"/>
      <c r="N420" s="1454"/>
      <c r="O420" s="1454"/>
      <c r="P420" s="1454"/>
      <c r="Q420" s="1454"/>
      <c r="R420" s="1454"/>
      <c r="S420" s="1454"/>
      <c r="T420" s="1454"/>
      <c r="U420" s="1454"/>
      <c r="V420" s="1454"/>
      <c r="W420" s="1454"/>
      <c r="X420" s="1454"/>
      <c r="Y420" s="1454"/>
      <c r="Z420" s="1454"/>
      <c r="AA420" s="1454"/>
      <c r="AB420" s="1454"/>
      <c r="AC420" s="1454"/>
      <c r="AD420" s="1454"/>
      <c r="AE420" s="1454"/>
      <c r="AF420" s="1454"/>
      <c r="AG420" s="1454"/>
      <c r="AH420" s="1454"/>
      <c r="AI420" s="1454"/>
      <c r="AJ420" s="1454"/>
    </row>
    <row r="421" spans="1:39" ht="13" customHeight="1">
      <c r="E421" s="84" t="s">
        <v>1269</v>
      </c>
      <c r="F421" s="18"/>
      <c r="G421" s="18"/>
      <c r="H421" s="18"/>
      <c r="I421" s="1524">
        <v>2.74</v>
      </c>
      <c r="J421" s="1524"/>
      <c r="K421" s="1524"/>
      <c r="L421" s="18"/>
      <c r="M421" s="84"/>
      <c r="N421" s="18"/>
      <c r="O421" s="18"/>
      <c r="P421" s="1767">
        <f>(DU755+DU778+DU800)/I421</f>
        <v>59.124087591240873</v>
      </c>
      <c r="Q421" s="1767"/>
      <c r="R421" s="1767"/>
      <c r="S421" s="84" t="s">
        <v>1270</v>
      </c>
      <c r="T421" s="18"/>
      <c r="U421" s="18"/>
      <c r="V421" s="18"/>
      <c r="W421" s="18"/>
      <c r="X421" s="18"/>
      <c r="Y421" s="18"/>
      <c r="Z421" s="18"/>
      <c r="AA421" s="18"/>
      <c r="AB421" s="18"/>
      <c r="AC421" s="18"/>
      <c r="AD421" s="18"/>
      <c r="AE421" s="18"/>
      <c r="AF421" s="18"/>
      <c r="AG421" s="18"/>
      <c r="AH421" s="18"/>
      <c r="AI421" s="18"/>
      <c r="AJ421" s="18"/>
    </row>
    <row r="422" spans="1:39" ht="13" customHeight="1"/>
    <row r="423" spans="1:39" ht="13" customHeight="1">
      <c r="A423" s="2" t="s">
        <v>1044</v>
      </c>
      <c r="B423" s="2"/>
      <c r="C423" s="2"/>
      <c r="D423" s="2" t="s">
        <v>152</v>
      </c>
    </row>
    <row r="424" spans="1:39" ht="13" customHeight="1">
      <c r="E424" t="s">
        <v>1271</v>
      </c>
      <c r="P424" s="1367">
        <v>4</v>
      </c>
      <c r="Q424" s="1367"/>
      <c r="S424" t="s">
        <v>1272</v>
      </c>
      <c r="AE424" s="1367">
        <v>3</v>
      </c>
      <c r="AF424" s="1367"/>
    </row>
    <row r="425" spans="1:39" ht="13" customHeight="1">
      <c r="E425" t="s">
        <v>1273</v>
      </c>
      <c r="P425" s="1367">
        <v>1</v>
      </c>
      <c r="Q425" s="1367"/>
      <c r="S425" t="s">
        <v>1274</v>
      </c>
      <c r="AE425" s="1367" t="s">
        <v>807</v>
      </c>
      <c r="AF425" s="1367"/>
    </row>
    <row r="426" spans="1:39" ht="13" customHeight="1">
      <c r="F426" s="19" t="s">
        <v>1275</v>
      </c>
    </row>
    <row r="427" spans="1:39" ht="13" customHeight="1">
      <c r="F427" s="1477"/>
      <c r="G427" s="1477"/>
      <c r="H427" s="1477"/>
      <c r="I427" s="1477"/>
      <c r="J427" s="1477"/>
      <c r="K427" s="1477"/>
      <c r="L427" s="1477"/>
      <c r="M427" s="1477"/>
      <c r="N427" s="1477"/>
      <c r="O427" s="1477"/>
      <c r="P427" s="1477"/>
      <c r="Q427" s="1477"/>
      <c r="R427" s="1477"/>
      <c r="S427" s="1477"/>
      <c r="T427" s="1477"/>
      <c r="U427" s="1477"/>
      <c r="V427" s="1477"/>
      <c r="W427" s="1477"/>
      <c r="X427" s="1477"/>
      <c r="Y427" s="1477"/>
      <c r="Z427" s="1477"/>
      <c r="AA427" s="1477"/>
      <c r="AB427" s="1477"/>
      <c r="AC427" s="1477"/>
      <c r="AD427" s="1477"/>
      <c r="AE427" s="1477"/>
      <c r="AF427" s="1477"/>
      <c r="AG427" s="1477"/>
      <c r="AH427" s="1477"/>
    </row>
    <row r="428" spans="1:39" ht="13" customHeight="1">
      <c r="F428" s="1478"/>
      <c r="G428" s="1478"/>
      <c r="H428" s="1478"/>
      <c r="I428" s="1478"/>
      <c r="J428" s="1478"/>
      <c r="K428" s="1478"/>
      <c r="L428" s="1478"/>
      <c r="M428" s="1478"/>
      <c r="N428" s="1478"/>
      <c r="O428" s="1478"/>
      <c r="P428" s="1478"/>
      <c r="Q428" s="1478"/>
      <c r="R428" s="1478"/>
      <c r="S428" s="1478"/>
      <c r="T428" s="1478"/>
      <c r="U428" s="1478"/>
      <c r="V428" s="1478"/>
      <c r="W428" s="1478"/>
      <c r="X428" s="1478"/>
      <c r="Y428" s="1478"/>
      <c r="Z428" s="1478"/>
      <c r="AA428" s="1478"/>
      <c r="AB428" s="1478"/>
      <c r="AC428" s="1478"/>
      <c r="AD428" s="1478"/>
      <c r="AE428" s="1478"/>
      <c r="AF428" s="1478"/>
      <c r="AG428" s="1478"/>
      <c r="AH428" s="1478"/>
    </row>
    <row r="429" spans="1:39" ht="13" customHeight="1">
      <c r="E429" t="s">
        <v>1276</v>
      </c>
      <c r="P429" s="1"/>
      <c r="Q429" s="1367" t="s">
        <v>842</v>
      </c>
      <c r="R429" s="1367"/>
    </row>
    <row r="430" spans="1:39" ht="13" customHeight="1">
      <c r="F430" t="s">
        <v>1277</v>
      </c>
      <c r="P430" s="1"/>
      <c r="Q430" s="1"/>
      <c r="AF430" s="1367" t="s">
        <v>807</v>
      </c>
      <c r="AG430" s="1456"/>
    </row>
    <row r="431" spans="1:39" ht="13" customHeight="1"/>
    <row r="432" spans="1:39" ht="13" customHeight="1">
      <c r="A432" s="2"/>
      <c r="B432" s="2"/>
      <c r="C432" s="2"/>
      <c r="E432" s="3" t="s">
        <v>1278</v>
      </c>
      <c r="Z432" s="1367" t="s">
        <v>692</v>
      </c>
      <c r="AA432" s="1367"/>
    </row>
    <row r="433" spans="1:55" ht="13" customHeight="1">
      <c r="F433" s="31" t="s">
        <v>1279</v>
      </c>
      <c r="G433" s="32"/>
      <c r="H433" s="32"/>
      <c r="I433" s="32"/>
      <c r="J433" s="32"/>
      <c r="K433" s="32"/>
      <c r="L433" s="32"/>
      <c r="M433" s="32"/>
      <c r="N433" s="32"/>
      <c r="O433" s="32"/>
      <c r="P433" s="32"/>
      <c r="Q433" s="32"/>
      <c r="R433" s="32"/>
      <c r="S433" s="32"/>
      <c r="T433" s="32"/>
      <c r="U433" s="32"/>
      <c r="V433" s="32"/>
      <c r="W433" s="32"/>
      <c r="AB433" s="32"/>
    </row>
    <row r="434" spans="1:55" ht="13" customHeight="1">
      <c r="F434" t="s">
        <v>1280</v>
      </c>
      <c r="G434" s="32"/>
      <c r="I434" s="32"/>
      <c r="J434" s="32"/>
      <c r="K434" s="32"/>
      <c r="L434" s="32"/>
      <c r="M434" s="32"/>
      <c r="N434" s="32"/>
      <c r="O434" s="19"/>
      <c r="P434" s="32"/>
      <c r="Q434" s="32"/>
      <c r="R434" s="32"/>
      <c r="S434" s="32"/>
      <c r="T434" s="32"/>
      <c r="U434" s="32"/>
      <c r="V434" s="32"/>
      <c r="W434" s="32"/>
      <c r="Z434" s="1367" t="s">
        <v>807</v>
      </c>
      <c r="AA434" s="1367"/>
    </row>
    <row r="435" spans="1:55" ht="13" customHeight="1"/>
    <row r="436" spans="1:55" ht="13" customHeight="1">
      <c r="A436" s="2" t="s">
        <v>1101</v>
      </c>
      <c r="B436" s="2"/>
      <c r="C436" s="2"/>
      <c r="D436" s="2" t="s">
        <v>159</v>
      </c>
      <c r="AF436" s="40"/>
    </row>
    <row r="437" spans="1:55" ht="13" customHeight="1">
      <c r="D437" s="1455" t="s">
        <v>1281</v>
      </c>
      <c r="E437" s="1393"/>
      <c r="F437" s="1393"/>
      <c r="G437" s="1393"/>
      <c r="H437" s="1393"/>
      <c r="I437" s="1393"/>
      <c r="J437" s="1393"/>
      <c r="K437" s="1393"/>
      <c r="L437" s="1393"/>
      <c r="M437" s="1393"/>
      <c r="N437" s="1393"/>
      <c r="O437" s="1393"/>
      <c r="P437" s="1393"/>
      <c r="Q437" s="1393"/>
      <c r="R437" s="1393"/>
      <c r="S437" s="1393"/>
      <c r="T437" s="1393"/>
      <c r="U437" s="1393"/>
      <c r="V437" s="1393"/>
      <c r="W437" s="1393"/>
      <c r="X437" s="1393"/>
      <c r="Y437" s="1393"/>
      <c r="Z437" s="1393"/>
      <c r="AA437" s="1393"/>
      <c r="AB437" s="1393"/>
      <c r="AC437" s="1393"/>
      <c r="AD437" s="1393"/>
      <c r="AE437" s="1393"/>
      <c r="AF437" s="1394"/>
      <c r="AG437" s="1339">
        <v>79</v>
      </c>
      <c r="AH437" s="1339"/>
      <c r="AI437" s="1339"/>
      <c r="AJ437" s="1339"/>
    </row>
    <row r="438" spans="1:55" ht="13" customHeight="1">
      <c r="D438" s="1370" t="s">
        <v>1282</v>
      </c>
      <c r="E438" s="1371"/>
      <c r="F438" s="1371"/>
      <c r="G438" s="1371"/>
      <c r="H438" s="1371"/>
      <c r="I438" s="1371"/>
      <c r="J438" s="1371"/>
      <c r="K438" s="1371"/>
      <c r="L438" s="1371"/>
      <c r="M438" s="1371"/>
      <c r="N438" s="1371"/>
      <c r="O438" s="1371"/>
      <c r="P438" s="1371"/>
      <c r="Q438" s="1371"/>
      <c r="R438" s="1371"/>
      <c r="S438" s="1371"/>
      <c r="T438" s="1371"/>
      <c r="U438" s="1371"/>
      <c r="V438" s="1371"/>
      <c r="W438" s="1371"/>
      <c r="X438" s="1371"/>
      <c r="Y438" s="1371"/>
      <c r="Z438" s="1371"/>
      <c r="AA438" s="1371"/>
      <c r="AB438" s="1371"/>
      <c r="AC438" s="1371"/>
      <c r="AD438" s="1371"/>
      <c r="AE438" s="1371"/>
      <c r="AF438" s="1372"/>
      <c r="AG438" s="1415">
        <v>0</v>
      </c>
      <c r="AH438" s="1416"/>
      <c r="AI438" s="1416"/>
      <c r="AJ438" s="1416"/>
    </row>
    <row r="439" spans="1:55" ht="13" customHeight="1">
      <c r="D439" s="1370" t="s">
        <v>1283</v>
      </c>
      <c r="E439" s="1371"/>
      <c r="F439" s="1371"/>
      <c r="G439" s="1371"/>
      <c r="H439" s="1371"/>
      <c r="I439" s="1371"/>
      <c r="J439" s="1371"/>
      <c r="K439" s="1371"/>
      <c r="L439" s="1371"/>
      <c r="M439" s="1371"/>
      <c r="N439" s="1371"/>
      <c r="O439" s="1371"/>
      <c r="P439" s="1371"/>
      <c r="Q439" s="1371"/>
      <c r="R439" s="1371"/>
      <c r="S439" s="1371"/>
      <c r="T439" s="1371"/>
      <c r="U439" s="1371"/>
      <c r="V439" s="1371"/>
      <c r="W439" s="1371"/>
      <c r="X439" s="1371"/>
      <c r="Y439" s="1371"/>
      <c r="Z439" s="1371"/>
      <c r="AA439" s="1371"/>
      <c r="AB439" s="1371"/>
      <c r="AC439" s="1371"/>
      <c r="AD439" s="1371"/>
      <c r="AE439" s="1371"/>
      <c r="AF439" s="1372"/>
      <c r="AG439" s="1339">
        <v>78</v>
      </c>
      <c r="AH439" s="1339"/>
      <c r="AI439" s="1339"/>
      <c r="AJ439" s="1339"/>
    </row>
    <row r="440" spans="1:55" ht="13" customHeight="1">
      <c r="D440" s="1370" t="s">
        <v>1284</v>
      </c>
      <c r="E440" s="1371"/>
      <c r="F440" s="1371"/>
      <c r="G440" s="1371"/>
      <c r="H440" s="1371"/>
      <c r="I440" s="1371"/>
      <c r="J440" s="1371"/>
      <c r="K440" s="1371"/>
      <c r="L440" s="1371"/>
      <c r="M440" s="1371"/>
      <c r="N440" s="1371"/>
      <c r="O440" s="1371"/>
      <c r="P440" s="1371"/>
      <c r="Q440" s="1371"/>
      <c r="R440" s="1371"/>
      <c r="S440" s="1371"/>
      <c r="T440" s="1371"/>
      <c r="U440" s="1371"/>
      <c r="V440" s="1371"/>
      <c r="W440" s="1371"/>
      <c r="X440" s="1371"/>
      <c r="Y440" s="1371"/>
      <c r="Z440" s="1371"/>
      <c r="AA440" s="1371"/>
      <c r="AB440" s="1371"/>
      <c r="AC440" s="1371"/>
      <c r="AD440" s="1371"/>
      <c r="AE440" s="1371"/>
      <c r="AF440" s="1372"/>
      <c r="AG440" s="1339">
        <v>78</v>
      </c>
      <c r="AH440" s="1339"/>
      <c r="AI440" s="1339"/>
      <c r="AJ440" s="1339"/>
    </row>
    <row r="441" spans="1:55" ht="13" customHeight="1">
      <c r="D441" s="1370" t="s">
        <v>1285</v>
      </c>
      <c r="E441" s="1371"/>
      <c r="F441" s="1371"/>
      <c r="G441" s="1371"/>
      <c r="H441" s="1371"/>
      <c r="I441" s="1371"/>
      <c r="J441" s="1371"/>
      <c r="K441" s="1371"/>
      <c r="L441" s="1371"/>
      <c r="M441" s="1371"/>
      <c r="N441" s="1371"/>
      <c r="O441" s="1371"/>
      <c r="P441" s="1371"/>
      <c r="Q441" s="1371"/>
      <c r="R441" s="1371"/>
      <c r="S441" s="1371"/>
      <c r="T441" s="1371"/>
      <c r="U441" s="1371"/>
      <c r="V441" s="1371"/>
      <c r="W441" s="1371"/>
      <c r="X441" s="1371"/>
      <c r="Y441" s="1371"/>
      <c r="Z441" s="1371"/>
      <c r="AA441" s="1371"/>
      <c r="AB441" s="1371"/>
      <c r="AC441" s="1371"/>
      <c r="AD441" s="1371"/>
      <c r="AE441" s="1371"/>
      <c r="AF441" s="1372"/>
      <c r="AG441" s="1369">
        <f>IF(ISERROR(AG440/AG439),0,AG440/AG439)</f>
        <v>1</v>
      </c>
      <c r="AH441" s="1369"/>
      <c r="AI441" s="1369"/>
      <c r="AJ441" s="1369"/>
    </row>
    <row r="442" spans="1:55" ht="13" customHeight="1">
      <c r="D442" s="1370" t="s">
        <v>1286</v>
      </c>
      <c r="E442" s="1371"/>
      <c r="F442" s="1371"/>
      <c r="G442" s="1371"/>
      <c r="H442" s="1371"/>
      <c r="I442" s="1371"/>
      <c r="J442" s="1371"/>
      <c r="K442" s="1371"/>
      <c r="L442" s="1371"/>
      <c r="M442" s="1371"/>
      <c r="N442" s="1371"/>
      <c r="O442" s="1371"/>
      <c r="P442" s="1371"/>
      <c r="Q442" s="1371"/>
      <c r="R442" s="1371"/>
      <c r="S442" s="1371"/>
      <c r="T442" s="1371"/>
      <c r="U442" s="1371"/>
      <c r="V442" s="1371"/>
      <c r="W442" s="1371"/>
      <c r="X442" s="1371"/>
      <c r="Y442" s="1371"/>
      <c r="Z442" s="1371"/>
      <c r="AA442" s="1371"/>
      <c r="AB442" s="1371"/>
      <c r="AC442" s="1371"/>
      <c r="AD442" s="1371"/>
      <c r="AE442" s="1371"/>
      <c r="AF442" s="1372"/>
      <c r="AG442" s="1368">
        <v>70162</v>
      </c>
      <c r="AH442" s="1368"/>
      <c r="AI442" s="1368"/>
      <c r="AJ442" s="1368"/>
    </row>
    <row r="443" spans="1:55" ht="13" customHeight="1">
      <c r="D443" s="1370" t="s">
        <v>1287</v>
      </c>
      <c r="E443" s="1371"/>
      <c r="F443" s="1371"/>
      <c r="G443" s="1371"/>
      <c r="H443" s="1371"/>
      <c r="I443" s="1371"/>
      <c r="J443" s="1371"/>
      <c r="K443" s="1371"/>
      <c r="L443" s="1371"/>
      <c r="M443" s="1371"/>
      <c r="N443" s="1371"/>
      <c r="O443" s="1371"/>
      <c r="P443" s="1371"/>
      <c r="Q443" s="1371"/>
      <c r="R443" s="1371"/>
      <c r="S443" s="1371"/>
      <c r="T443" s="1371"/>
      <c r="U443" s="1371"/>
      <c r="V443" s="1371"/>
      <c r="W443" s="1371"/>
      <c r="X443" s="1371"/>
      <c r="Y443" s="1371"/>
      <c r="Z443" s="1371"/>
      <c r="AA443" s="1371"/>
      <c r="AB443" s="1371"/>
      <c r="AC443" s="1371"/>
      <c r="AD443" s="1371"/>
      <c r="AE443" s="1371"/>
      <c r="AF443" s="1372"/>
      <c r="AG443" s="1368">
        <v>70162</v>
      </c>
      <c r="AH443" s="1368"/>
      <c r="AI443" s="1368"/>
      <c r="AJ443" s="1368"/>
    </row>
    <row r="444" spans="1:55" ht="13" customHeight="1">
      <c r="D444" s="1370" t="s">
        <v>1288</v>
      </c>
      <c r="E444" s="1371"/>
      <c r="F444" s="1371"/>
      <c r="G444" s="1371"/>
      <c r="H444" s="1371"/>
      <c r="I444" s="1371"/>
      <c r="J444" s="1371"/>
      <c r="K444" s="1371"/>
      <c r="L444" s="1371"/>
      <c r="M444" s="1371"/>
      <c r="N444" s="1371"/>
      <c r="O444" s="1371"/>
      <c r="P444" s="1371"/>
      <c r="Q444" s="1371"/>
      <c r="R444" s="1371"/>
      <c r="S444" s="1371"/>
      <c r="T444" s="1371"/>
      <c r="U444" s="1371"/>
      <c r="V444" s="1371"/>
      <c r="W444" s="1371"/>
      <c r="X444" s="1371"/>
      <c r="Y444" s="1371"/>
      <c r="Z444" s="1371"/>
      <c r="AA444" s="1371"/>
      <c r="AB444" s="1371"/>
      <c r="AC444" s="1371"/>
      <c r="AD444" s="1371"/>
      <c r="AE444" s="1371"/>
      <c r="AF444" s="1372"/>
      <c r="AG444" s="1369">
        <f>IF(ISERROR(AG443/AG442),0,AG443/AG442)</f>
        <v>1</v>
      </c>
      <c r="AH444" s="1369"/>
      <c r="AI444" s="1369"/>
      <c r="AJ444" s="1369"/>
    </row>
    <row r="445" spans="1:55" ht="13" customHeight="1">
      <c r="D445" s="1370" t="s">
        <v>1289</v>
      </c>
      <c r="E445" s="1371"/>
      <c r="F445" s="1371"/>
      <c r="G445" s="1371"/>
      <c r="H445" s="1371"/>
      <c r="I445" s="1371"/>
      <c r="J445" s="1371"/>
      <c r="K445" s="1371"/>
      <c r="L445" s="1371"/>
      <c r="M445" s="1371"/>
      <c r="N445" s="1371"/>
      <c r="O445" s="1371"/>
      <c r="P445" s="1371"/>
      <c r="Q445" s="1371"/>
      <c r="R445" s="1371"/>
      <c r="S445" s="1371"/>
      <c r="T445" s="1371"/>
      <c r="U445" s="1371"/>
      <c r="V445" s="1371"/>
      <c r="W445" s="1371"/>
      <c r="X445" s="1371"/>
      <c r="Y445" s="1371"/>
      <c r="Z445" s="1371"/>
      <c r="AA445" s="1371"/>
      <c r="AB445" s="1371"/>
      <c r="AC445" s="1371"/>
      <c r="AD445" s="1371"/>
      <c r="AE445" s="1371"/>
      <c r="AF445" s="1372"/>
      <c r="AG445" s="1369">
        <f>MIN(IF(AG441&gt;AG444,AG444,AG441),1)</f>
        <v>1</v>
      </c>
      <c r="AH445" s="1369"/>
      <c r="AI445" s="1369"/>
      <c r="AJ445" s="1369"/>
    </row>
    <row r="446" spans="1:55" ht="13" customHeight="1">
      <c r="D446" s="1370" t="s">
        <v>1290</v>
      </c>
      <c r="E446" s="1393"/>
      <c r="F446" s="1393"/>
      <c r="G446" s="1393"/>
      <c r="H446" s="1393"/>
      <c r="I446" s="1393"/>
      <c r="J446" s="1393"/>
      <c r="K446" s="1393"/>
      <c r="L446" s="1393"/>
      <c r="M446" s="1393"/>
      <c r="N446" s="1393"/>
      <c r="O446" s="1393"/>
      <c r="P446" s="1393"/>
      <c r="Q446" s="1393"/>
      <c r="R446" s="1393"/>
      <c r="S446" s="1393"/>
      <c r="T446" s="1393"/>
      <c r="U446" s="1393"/>
      <c r="V446" s="1393"/>
      <c r="W446" s="1393"/>
      <c r="X446" s="1393"/>
      <c r="Y446" s="1393"/>
      <c r="Z446" s="1393"/>
      <c r="AA446" s="1393"/>
      <c r="AB446" s="1393"/>
      <c r="AC446" s="1393"/>
      <c r="AD446" s="1393"/>
      <c r="AE446" s="1393"/>
      <c r="AF446" s="1394"/>
      <c r="AG446" s="1368">
        <v>2281</v>
      </c>
      <c r="AH446" s="1368"/>
      <c r="AI446" s="1368"/>
      <c r="AJ446" s="1368"/>
      <c r="AZ446" s="3"/>
      <c r="BA446" s="3"/>
      <c r="BB446" s="3"/>
      <c r="BC446" s="3"/>
    </row>
    <row r="447" spans="1:55" ht="13" customHeight="1">
      <c r="D447" s="1455" t="s">
        <v>1291</v>
      </c>
      <c r="E447" s="1393"/>
      <c r="F447" s="1393"/>
      <c r="G447" s="1393"/>
      <c r="H447" s="1393"/>
      <c r="I447" s="1393"/>
      <c r="J447" s="1393"/>
      <c r="K447" s="1393"/>
      <c r="L447" s="1393"/>
      <c r="M447" s="1393"/>
      <c r="N447" s="1393"/>
      <c r="O447" s="1393"/>
      <c r="P447" s="1393"/>
      <c r="Q447" s="1393"/>
      <c r="R447" s="1393"/>
      <c r="S447" s="1393"/>
      <c r="T447" s="1393"/>
      <c r="U447" s="1393"/>
      <c r="V447" s="1393"/>
      <c r="W447" s="1393"/>
      <c r="X447" s="1393"/>
      <c r="Y447" s="1393"/>
      <c r="Z447" s="1393"/>
      <c r="AA447" s="1393"/>
      <c r="AB447" s="1393"/>
      <c r="AC447" s="1393"/>
      <c r="AD447" s="1393"/>
      <c r="AE447" s="1393"/>
      <c r="AF447" s="1394"/>
      <c r="AG447" s="1368">
        <v>0</v>
      </c>
      <c r="AH447" s="1368"/>
      <c r="AI447" s="1368"/>
      <c r="AJ447" s="1368"/>
      <c r="AZ447" s="3"/>
      <c r="BA447" s="3"/>
      <c r="BB447" s="3"/>
      <c r="BC447" s="3"/>
    </row>
    <row r="448" spans="1:55" ht="13" customHeight="1">
      <c r="D448" s="1370" t="s">
        <v>1292</v>
      </c>
      <c r="E448" s="1393"/>
      <c r="F448" s="1393"/>
      <c r="G448" s="1393"/>
      <c r="H448" s="1393"/>
      <c r="I448" s="1393"/>
      <c r="J448" s="1393"/>
      <c r="K448" s="1393"/>
      <c r="L448" s="1393"/>
      <c r="M448" s="1393"/>
      <c r="N448" s="1393"/>
      <c r="O448" s="1393"/>
      <c r="P448" s="1393"/>
      <c r="Q448" s="1393"/>
      <c r="R448" s="1393"/>
      <c r="S448" s="1393"/>
      <c r="T448" s="1393"/>
      <c r="U448" s="1393"/>
      <c r="V448" s="1393"/>
      <c r="W448" s="1393"/>
      <c r="X448" s="1393"/>
      <c r="Y448" s="1393"/>
      <c r="Z448" s="1393"/>
      <c r="AA448" s="1393"/>
      <c r="AB448" s="1393"/>
      <c r="AC448" s="1393"/>
      <c r="AD448" s="1393"/>
      <c r="AE448" s="1393"/>
      <c r="AF448" s="1394"/>
      <c r="AG448" s="1368">
        <v>3896</v>
      </c>
      <c r="AH448" s="1368"/>
      <c r="AI448" s="1368"/>
      <c r="AJ448" s="1368"/>
      <c r="AZ448" s="3"/>
      <c r="BA448" s="3"/>
      <c r="BB448" s="3"/>
      <c r="BC448" s="3"/>
    </row>
    <row r="449" spans="1:55" ht="13" customHeight="1">
      <c r="D449" s="1370" t="s">
        <v>1293</v>
      </c>
      <c r="E449" s="1393"/>
      <c r="F449" s="1393"/>
      <c r="G449" s="1393"/>
      <c r="H449" s="1393"/>
      <c r="I449" s="1393"/>
      <c r="J449" s="1393"/>
      <c r="K449" s="1393"/>
      <c r="L449" s="1393"/>
      <c r="M449" s="1393"/>
      <c r="N449" s="1393"/>
      <c r="O449" s="1393"/>
      <c r="P449" s="1393"/>
      <c r="Q449" s="1393"/>
      <c r="R449" s="1393"/>
      <c r="S449" s="1393"/>
      <c r="T449" s="1393"/>
      <c r="U449" s="1393"/>
      <c r="V449" s="1393"/>
      <c r="W449" s="1393"/>
      <c r="X449" s="1393"/>
      <c r="Y449" s="1393"/>
      <c r="Z449" s="1393"/>
      <c r="AA449" s="1393"/>
      <c r="AB449" s="1393"/>
      <c r="AC449" s="1393"/>
      <c r="AD449" s="1393"/>
      <c r="AE449" s="1393"/>
      <c r="AF449" s="1394"/>
      <c r="AG449" s="1368">
        <v>34132</v>
      </c>
      <c r="AH449" s="1368"/>
      <c r="AI449" s="1368"/>
      <c r="AJ449" s="1368"/>
      <c r="BB449" s="3"/>
      <c r="BC449" s="3"/>
    </row>
    <row r="450" spans="1:55" ht="13" customHeight="1">
      <c r="D450" s="1518" t="s">
        <v>1294</v>
      </c>
      <c r="E450" s="1519"/>
      <c r="F450" s="1519"/>
      <c r="G450" s="1519"/>
      <c r="H450" s="1519"/>
      <c r="I450" s="1519"/>
      <c r="J450" s="1519"/>
      <c r="K450" s="1519"/>
      <c r="L450" s="1519"/>
      <c r="M450" s="1519"/>
      <c r="N450" s="1519"/>
      <c r="O450" s="1519"/>
      <c r="P450" s="1519"/>
      <c r="Q450" s="1519"/>
      <c r="R450" s="1519"/>
      <c r="S450" s="1519"/>
      <c r="T450" s="1519"/>
      <c r="U450" s="1519"/>
      <c r="V450" s="1519"/>
      <c r="W450" s="1519"/>
      <c r="X450" s="1519"/>
      <c r="Y450" s="1519"/>
      <c r="Z450" s="1519"/>
      <c r="AA450" s="1519"/>
      <c r="AB450" s="1519"/>
      <c r="AC450" s="1519"/>
      <c r="AD450" s="1519"/>
      <c r="AE450" s="1519"/>
      <c r="AF450" s="1520"/>
      <c r="AG450" s="1381">
        <f>AG442+AG446+AG448+AG449</f>
        <v>110471</v>
      </c>
      <c r="AH450" s="1381"/>
      <c r="AI450" s="1381"/>
      <c r="AJ450" s="1381"/>
      <c r="AZ450" s="3"/>
      <c r="BA450" s="3"/>
      <c r="BB450" s="3"/>
      <c r="BC450" s="3"/>
    </row>
    <row r="451" spans="1:55" ht="13" customHeight="1">
      <c r="D451" s="1527" t="s">
        <v>1295</v>
      </c>
      <c r="E451" s="1527"/>
      <c r="F451" s="1527"/>
      <c r="G451" s="1527"/>
      <c r="H451" s="1527"/>
      <c r="I451" s="1527"/>
      <c r="J451" s="1527"/>
      <c r="K451" s="1527"/>
      <c r="L451" s="1527"/>
      <c r="M451" s="1527"/>
      <c r="N451" s="1527"/>
      <c r="O451" s="1527"/>
      <c r="P451" s="1527"/>
      <c r="Q451" s="1527"/>
      <c r="R451" s="1527"/>
      <c r="S451" s="1527"/>
      <c r="T451" s="1527"/>
      <c r="U451" s="1527"/>
      <c r="V451" s="1527"/>
      <c r="W451" s="1527"/>
      <c r="X451" s="1527"/>
      <c r="Y451" s="1527"/>
      <c r="Z451" s="1527"/>
      <c r="AA451" s="1527"/>
      <c r="AB451" s="1527"/>
      <c r="AC451" s="1527"/>
      <c r="AD451" s="1527"/>
      <c r="AE451" s="1527"/>
      <c r="AF451" s="1527"/>
      <c r="AG451" s="1527"/>
      <c r="AH451" s="1527"/>
      <c r="AI451" s="1527"/>
      <c r="AJ451" s="1527"/>
      <c r="AZ451" s="3"/>
      <c r="BA451" s="3"/>
      <c r="BB451" s="3"/>
      <c r="BC451" s="3"/>
    </row>
    <row r="452" spans="1:55" ht="13" customHeight="1">
      <c r="D452" s="1528"/>
      <c r="E452" s="1528"/>
      <c r="F452" s="1528"/>
      <c r="G452" s="1528"/>
      <c r="H452" s="1528"/>
      <c r="I452" s="1528"/>
      <c r="J452" s="1528"/>
      <c r="K452" s="1528"/>
      <c r="L452" s="1528"/>
      <c r="M452" s="1528"/>
      <c r="N452" s="1528"/>
      <c r="O452" s="1528"/>
      <c r="P452" s="1528"/>
      <c r="Q452" s="1528"/>
      <c r="R452" s="1528"/>
      <c r="S452" s="1528"/>
      <c r="T452" s="1528"/>
      <c r="U452" s="1528"/>
      <c r="V452" s="1528"/>
      <c r="W452" s="1528"/>
      <c r="X452" s="1528"/>
      <c r="Y452" s="1528"/>
      <c r="Z452" s="1528"/>
      <c r="AA452" s="1528"/>
      <c r="AB452" s="1528"/>
      <c r="AC452" s="1528"/>
      <c r="AD452" s="1528"/>
      <c r="AE452" s="1528"/>
      <c r="AF452" s="1528"/>
      <c r="AG452" s="1528"/>
      <c r="AH452" s="1528"/>
      <c r="AI452" s="1528"/>
      <c r="AJ452" s="1528"/>
      <c r="AZ452" s="3"/>
      <c r="BA452" s="3"/>
      <c r="BB452" s="3"/>
      <c r="BC452" s="3"/>
    </row>
    <row r="453" spans="1:55" ht="13" customHeight="1">
      <c r="D453" s="430"/>
      <c r="E453" s="414"/>
      <c r="F453" s="414"/>
      <c r="G453" s="414"/>
      <c r="H453" s="414"/>
      <c r="I453" s="414"/>
      <c r="J453" s="414"/>
      <c r="K453" s="414"/>
      <c r="L453" s="414"/>
      <c r="M453" s="414"/>
      <c r="N453" s="414"/>
      <c r="O453" s="414"/>
      <c r="P453" s="414"/>
      <c r="Q453" s="414"/>
      <c r="R453" s="414"/>
      <c r="S453" s="414"/>
      <c r="T453" s="414"/>
      <c r="U453" s="414"/>
      <c r="V453" s="414"/>
      <c r="W453" s="414"/>
      <c r="X453" s="414"/>
      <c r="Y453" s="414"/>
      <c r="Z453" s="414"/>
      <c r="AA453" s="414"/>
      <c r="AB453" s="414"/>
      <c r="AC453" s="414"/>
      <c r="AD453" s="414"/>
      <c r="AE453" s="414"/>
      <c r="AF453" s="414"/>
      <c r="AG453" s="414"/>
      <c r="AH453" s="414"/>
      <c r="AI453" s="414"/>
      <c r="AJ453" s="863"/>
      <c r="AZ453" s="3"/>
      <c r="BA453" s="3" t="str">
        <f>N575</f>
        <v>Yes</v>
      </c>
      <c r="BB453" s="3"/>
      <c r="BC453" s="3"/>
    </row>
    <row r="454" spans="1:55" ht="13" customHeight="1">
      <c r="D454" s="136" t="s">
        <v>1296</v>
      </c>
      <c r="E454" s="414"/>
      <c r="F454" s="414"/>
      <c r="G454" s="414"/>
      <c r="H454" s="414"/>
      <c r="I454" s="414"/>
      <c r="J454" s="414"/>
      <c r="K454" s="414"/>
      <c r="L454" s="414"/>
      <c r="M454" s="414"/>
      <c r="N454" s="414"/>
      <c r="O454" s="414"/>
      <c r="P454" s="414"/>
      <c r="Q454" s="414"/>
      <c r="R454" s="414"/>
      <c r="S454" s="414"/>
      <c r="T454" s="414"/>
      <c r="U454" s="414"/>
      <c r="V454" s="414"/>
      <c r="W454" s="414"/>
      <c r="X454" s="414"/>
      <c r="Y454" s="414"/>
      <c r="Z454" s="414"/>
      <c r="AA454" s="414"/>
      <c r="AB454" s="414"/>
      <c r="AC454" s="1328">
        <f>IF(AG437=0,"",'Sources and Uses Budget'!B105/Application!AG437)</f>
        <v>718293.02531645575</v>
      </c>
      <c r="AD454" s="1328"/>
      <c r="AE454" s="1328"/>
      <c r="AF454" s="1328"/>
      <c r="AG454" s="414"/>
      <c r="AH454" s="414"/>
      <c r="AI454" s="414"/>
      <c r="AJ454" s="863"/>
      <c r="AZ454" s="3"/>
      <c r="BA454" s="3" t="str">
        <f>AG575</f>
        <v>Yes</v>
      </c>
      <c r="BB454" s="3"/>
      <c r="BC454" s="3"/>
    </row>
    <row r="455" spans="1:55" ht="13" customHeight="1">
      <c r="D455" s="136" t="s">
        <v>1297</v>
      </c>
      <c r="E455" s="414"/>
      <c r="F455" s="414"/>
      <c r="G455" s="414"/>
      <c r="H455" s="414"/>
      <c r="I455" s="414"/>
      <c r="J455" s="414"/>
      <c r="K455" s="414"/>
      <c r="L455" s="414"/>
      <c r="M455" s="414"/>
      <c r="N455" s="414"/>
      <c r="O455" s="414"/>
      <c r="P455" s="414"/>
      <c r="Q455" s="414"/>
      <c r="R455" s="414"/>
      <c r="S455" s="414"/>
      <c r="T455" s="414"/>
      <c r="U455" s="414"/>
      <c r="V455" s="414"/>
      <c r="W455" s="414"/>
      <c r="X455" s="414"/>
      <c r="Y455" s="414"/>
      <c r="Z455" s="414"/>
      <c r="AA455" s="414"/>
      <c r="AB455" s="414"/>
      <c r="AC455" s="1328">
        <f>IF(AG437=0,"",'Sources and Uses Budget'!C105/Application!AG437)</f>
        <v>718293.02531645575</v>
      </c>
      <c r="AD455" s="1328"/>
      <c r="AE455" s="1328"/>
      <c r="AF455" s="1328"/>
      <c r="AG455" s="414"/>
      <c r="AH455" s="414"/>
      <c r="AI455" s="414"/>
      <c r="AJ455" s="863"/>
      <c r="AZ455" s="3"/>
      <c r="BA455" s="3"/>
      <c r="BB455" s="3"/>
      <c r="BC455" s="3"/>
    </row>
    <row r="456" spans="1:55" ht="13" customHeight="1">
      <c r="D456" s="136" t="s">
        <v>1298</v>
      </c>
      <c r="E456" s="414"/>
      <c r="F456" s="414"/>
      <c r="G456" s="414"/>
      <c r="H456" s="414"/>
      <c r="I456" s="414"/>
      <c r="J456" s="414"/>
      <c r="K456" s="414"/>
      <c r="L456" s="414"/>
      <c r="M456" s="414"/>
      <c r="N456" s="414"/>
      <c r="O456" s="414"/>
      <c r="P456" s="414"/>
      <c r="Q456" s="414"/>
      <c r="R456" s="414"/>
      <c r="S456" s="414"/>
      <c r="T456" s="414"/>
      <c r="U456" s="414"/>
      <c r="V456" s="414"/>
      <c r="W456" s="414"/>
      <c r="X456" s="414"/>
      <c r="Y456" s="414"/>
      <c r="Z456" s="414"/>
      <c r="AA456" s="414"/>
      <c r="AB456" s="414"/>
      <c r="AC456" s="1328">
        <f>IF(AG437=0,"",('Sources and Uses Budget'!$S$107+'Sources and Uses Budget'!$T$107)/Application!AG437)</f>
        <v>683664.5949367088</v>
      </c>
      <c r="AD456" s="1328"/>
      <c r="AE456" s="1328"/>
      <c r="AF456" s="1328"/>
      <c r="AG456" s="414"/>
      <c r="AH456" s="414"/>
      <c r="AI456" s="414"/>
      <c r="AJ456" s="863"/>
      <c r="AZ456" s="3"/>
      <c r="BA456" s="3"/>
      <c r="BB456" s="3"/>
      <c r="BC456" s="3"/>
    </row>
    <row r="457" spans="1:55" ht="13" customHeight="1">
      <c r="D457" s="414"/>
      <c r="E457" s="414"/>
      <c r="F457" s="1329"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29"/>
      <c r="H457" s="1329"/>
      <c r="I457" s="1329"/>
      <c r="J457" s="1329"/>
      <c r="K457" s="1329"/>
      <c r="L457" s="1329"/>
      <c r="M457" s="1329"/>
      <c r="N457" s="1329"/>
      <c r="O457" s="1329"/>
      <c r="P457" s="1329"/>
      <c r="Q457" s="1329"/>
      <c r="R457" s="1329"/>
      <c r="S457" s="1329"/>
      <c r="T457" s="1329"/>
      <c r="U457" s="1329"/>
      <c r="V457" s="1329"/>
      <c r="W457" s="1329"/>
      <c r="X457" s="1329"/>
      <c r="Y457" s="1329"/>
      <c r="Z457" s="1329"/>
      <c r="AA457" s="1329"/>
      <c r="AB457" s="1329"/>
      <c r="AC457" s="414"/>
      <c r="AD457" s="414"/>
      <c r="AE457" s="414"/>
      <c r="AF457" s="414"/>
      <c r="AG457" s="414"/>
      <c r="AH457" s="414"/>
      <c r="AI457" s="414"/>
      <c r="AJ457" s="863"/>
      <c r="AZ457" s="3"/>
      <c r="BA457" s="3"/>
      <c r="BB457" s="3"/>
      <c r="BC457" s="3"/>
    </row>
    <row r="458" spans="1:55" ht="13" customHeight="1">
      <c r="A458" s="2"/>
      <c r="D458" s="2"/>
      <c r="E458" s="414"/>
      <c r="F458" s="1329"/>
      <c r="G458" s="1329"/>
      <c r="H458" s="1329"/>
      <c r="I458" s="1329"/>
      <c r="J458" s="1329"/>
      <c r="K458" s="1329"/>
      <c r="L458" s="1329"/>
      <c r="M458" s="1329"/>
      <c r="N458" s="1329"/>
      <c r="O458" s="1329"/>
      <c r="P458" s="1329"/>
      <c r="Q458" s="1329"/>
      <c r="R458" s="1329"/>
      <c r="S458" s="1329"/>
      <c r="T458" s="1329"/>
      <c r="U458" s="1329"/>
      <c r="V458" s="1329"/>
      <c r="W458" s="1329"/>
      <c r="X458" s="1329"/>
      <c r="Y458" s="1329"/>
      <c r="Z458" s="1329"/>
      <c r="AA458" s="1329"/>
      <c r="AB458" s="1329"/>
      <c r="AC458" s="414"/>
      <c r="AD458" s="414"/>
      <c r="AE458" s="414"/>
      <c r="AF458" s="414"/>
      <c r="AG458" s="414"/>
      <c r="AH458" s="414"/>
      <c r="AI458" s="414"/>
      <c r="AJ458" s="863"/>
      <c r="AZ458" s="3"/>
      <c r="BA458" s="3"/>
      <c r="BB458" s="3"/>
      <c r="BC458" s="3"/>
    </row>
    <row r="459" spans="1:55" ht="13" customHeight="1">
      <c r="A459" s="2" t="s">
        <v>1299</v>
      </c>
      <c r="D459" s="2" t="s">
        <v>162</v>
      </c>
      <c r="E459" s="414"/>
      <c r="F459" s="414"/>
      <c r="G459" s="414"/>
      <c r="H459" s="414"/>
      <c r="I459" s="414"/>
      <c r="J459" s="414"/>
      <c r="K459" s="414"/>
      <c r="L459" s="414"/>
      <c r="M459" s="414"/>
      <c r="N459" s="414"/>
      <c r="O459" s="414"/>
      <c r="P459" s="414"/>
      <c r="Q459" s="414"/>
      <c r="R459" s="414"/>
      <c r="S459" s="414"/>
      <c r="T459" s="414"/>
      <c r="U459" s="414"/>
      <c r="V459" s="414"/>
      <c r="W459" s="414"/>
      <c r="X459" s="414"/>
      <c r="Y459" s="414"/>
      <c r="Z459" s="414"/>
      <c r="AA459" s="414"/>
      <c r="AB459" s="414"/>
      <c r="AC459" s="414"/>
      <c r="AD459" s="414"/>
      <c r="AE459" s="414"/>
      <c r="AF459" s="414"/>
      <c r="AG459" s="414"/>
      <c r="AH459" s="414"/>
      <c r="AI459" s="414"/>
      <c r="AJ459" s="863"/>
      <c r="AZ459" s="3"/>
      <c r="BA459" s="3"/>
      <c r="BB459" s="3"/>
      <c r="BC459" s="3"/>
    </row>
    <row r="460" spans="1:55" ht="13" customHeight="1">
      <c r="D460" s="127" t="s">
        <v>1300</v>
      </c>
      <c r="E460" s="414"/>
      <c r="F460" s="414"/>
      <c r="G460" s="414"/>
      <c r="H460" s="414"/>
      <c r="I460" s="414"/>
      <c r="J460" s="414"/>
      <c r="K460" s="414"/>
      <c r="L460" s="414"/>
      <c r="M460" s="414"/>
      <c r="N460" s="414"/>
      <c r="O460" s="414"/>
      <c r="P460" s="414"/>
      <c r="Q460" s="414"/>
      <c r="R460" s="414"/>
      <c r="S460" s="414"/>
      <c r="T460" s="414"/>
      <c r="U460" s="414"/>
      <c r="V460" s="414"/>
      <c r="W460" s="414"/>
      <c r="X460" s="414"/>
      <c r="Y460" s="414"/>
      <c r="Z460" s="414"/>
      <c r="AA460" s="414"/>
      <c r="AB460" s="414"/>
      <c r="AC460" s="414"/>
      <c r="AD460" s="414"/>
      <c r="AE460" s="414"/>
      <c r="AF460" s="414"/>
      <c r="AG460" s="414"/>
      <c r="AH460" s="414"/>
      <c r="AI460" s="414"/>
      <c r="AJ460" s="863"/>
      <c r="AZ460" s="3"/>
      <c r="BA460" s="3"/>
      <c r="BB460" s="3"/>
      <c r="BC460" s="3"/>
    </row>
    <row r="461" spans="1:55" ht="13" customHeight="1">
      <c r="D461" s="127" t="s">
        <v>1301</v>
      </c>
      <c r="E461" s="414"/>
      <c r="F461" s="414"/>
      <c r="G461" s="414"/>
      <c r="H461" s="414"/>
      <c r="I461" s="414"/>
      <c r="J461" s="414"/>
      <c r="K461" s="414"/>
      <c r="L461" s="414"/>
      <c r="M461" s="414"/>
      <c r="N461" s="414"/>
      <c r="O461" s="414"/>
      <c r="P461" s="414"/>
      <c r="Q461" s="414"/>
      <c r="R461" s="414"/>
      <c r="S461" s="414"/>
      <c r="T461" s="414"/>
      <c r="U461" s="414"/>
      <c r="V461" s="414"/>
      <c r="W461" s="414"/>
      <c r="X461" s="414"/>
      <c r="Y461" s="414"/>
      <c r="Z461" s="414"/>
      <c r="AA461" s="414"/>
      <c r="AB461" s="414"/>
      <c r="AC461" s="414"/>
      <c r="AD461" s="414"/>
      <c r="AE461" s="414"/>
      <c r="AF461" s="414"/>
      <c r="AG461" s="414"/>
      <c r="AH461" s="414"/>
      <c r="AI461" s="414"/>
      <c r="AJ461" s="863"/>
      <c r="AZ461" s="3"/>
      <c r="BA461" s="3" t="str">
        <f>N583</f>
        <v>Yes</v>
      </c>
      <c r="BB461" s="3"/>
      <c r="BC461" s="3"/>
    </row>
    <row r="462" spans="1:55" ht="13" customHeight="1">
      <c r="D462" s="127" t="s">
        <v>1302</v>
      </c>
      <c r="E462" s="414"/>
      <c r="F462" s="414"/>
      <c r="G462" s="414"/>
      <c r="H462" s="414"/>
      <c r="I462" s="414"/>
      <c r="J462" s="414"/>
      <c r="K462" s="414"/>
      <c r="L462" s="414"/>
      <c r="M462" s="414"/>
      <c r="N462" s="414"/>
      <c r="O462" s="414"/>
      <c r="P462" s="414"/>
      <c r="Q462" s="414"/>
      <c r="R462" s="414"/>
      <c r="S462" s="414"/>
      <c r="T462" s="414"/>
      <c r="U462" s="414"/>
      <c r="V462" s="414"/>
      <c r="W462" s="414"/>
      <c r="X462" s="414"/>
      <c r="Y462" s="414"/>
      <c r="Z462" s="414"/>
      <c r="AA462" s="414"/>
      <c r="AB462" s="414"/>
      <c r="AC462" s="414"/>
      <c r="AD462" s="414"/>
      <c r="AE462" s="414"/>
      <c r="AF462" s="414"/>
      <c r="AG462" s="414"/>
      <c r="AH462" s="414"/>
      <c r="AI462" s="414"/>
      <c r="AJ462" s="863"/>
      <c r="AZ462" s="3"/>
      <c r="BA462" s="3" t="str">
        <f>AG583</f>
        <v>Yes</v>
      </c>
      <c r="BB462" s="3"/>
      <c r="BC462" s="3"/>
    </row>
    <row r="463" spans="1:55" ht="13" customHeight="1">
      <c r="D463" s="430"/>
      <c r="E463" s="414"/>
      <c r="F463" s="414"/>
      <c r="G463" s="414"/>
      <c r="H463" s="414"/>
      <c r="I463" s="414"/>
      <c r="J463" s="414"/>
      <c r="K463" s="414"/>
      <c r="L463" s="414"/>
      <c r="M463" s="414"/>
      <c r="N463" s="414"/>
      <c r="O463" s="414"/>
      <c r="P463" s="414"/>
      <c r="Q463" s="414"/>
      <c r="R463" s="414"/>
      <c r="S463" s="414"/>
      <c r="T463" s="414"/>
      <c r="U463" s="414"/>
      <c r="V463" s="414"/>
      <c r="W463" s="414"/>
      <c r="X463" s="414"/>
      <c r="Y463" s="414"/>
      <c r="Z463" s="414"/>
      <c r="AA463" s="414"/>
      <c r="AB463" s="414"/>
      <c r="AC463" s="414"/>
      <c r="AD463" s="414"/>
      <c r="AE463" s="414"/>
      <c r="AF463" s="414"/>
      <c r="AG463" s="414"/>
      <c r="AH463" s="414"/>
      <c r="AI463" s="414"/>
      <c r="AJ463" s="863"/>
      <c r="AZ463" s="3"/>
      <c r="BA463" s="3"/>
      <c r="BB463" s="3"/>
      <c r="BC463" s="3"/>
    </row>
    <row r="464" spans="1:55" ht="13" customHeight="1">
      <c r="A464" s="3"/>
      <c r="B464" s="3"/>
      <c r="C464" s="3"/>
      <c r="D464" s="127" t="s">
        <v>1303</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4"/>
      <c r="AE464" s="414"/>
      <c r="AF464" s="414"/>
      <c r="AG464" s="414"/>
      <c r="AH464" s="414"/>
      <c r="AI464" s="414"/>
      <c r="AJ464" s="863"/>
      <c r="AZ464" s="3"/>
      <c r="BA464" s="3"/>
      <c r="BB464" s="3"/>
      <c r="BC464" s="3"/>
    </row>
    <row r="465" spans="1:55" ht="13" customHeight="1">
      <c r="A465" s="3"/>
      <c r="B465" s="3"/>
      <c r="C465" s="3"/>
      <c r="D465" s="1330" t="s">
        <v>1304</v>
      </c>
      <c r="E465" s="1331"/>
      <c r="F465" s="1331"/>
      <c r="G465" s="1331"/>
      <c r="H465" s="1331"/>
      <c r="I465" s="1331"/>
      <c r="J465" s="1331"/>
      <c r="K465" s="1331"/>
      <c r="L465" s="1331"/>
      <c r="M465" s="1331"/>
      <c r="N465" s="1331"/>
      <c r="O465" s="1331"/>
      <c r="P465" s="1331"/>
      <c r="Q465" s="1331"/>
      <c r="R465" s="1331"/>
      <c r="S465" s="1331"/>
      <c r="T465" s="1331"/>
      <c r="U465" s="1331"/>
      <c r="V465" s="1332"/>
      <c r="W465" s="1345">
        <v>0</v>
      </c>
      <c r="X465" s="1346"/>
      <c r="Y465" s="1347"/>
      <c r="Z465" s="127"/>
      <c r="AA465" s="127"/>
      <c r="AB465" s="127"/>
      <c r="AC465" s="127"/>
      <c r="AD465" s="414"/>
      <c r="AE465" s="414"/>
      <c r="AF465" s="414"/>
      <c r="AG465" s="414"/>
      <c r="AH465" s="414"/>
      <c r="AI465" s="414"/>
      <c r="AJ465" s="863"/>
      <c r="AZ465" s="3"/>
      <c r="BA465" s="3"/>
      <c r="BB465" s="3"/>
      <c r="BC465" s="3"/>
    </row>
    <row r="466" spans="1:55" ht="13" customHeight="1">
      <c r="A466" s="3"/>
      <c r="B466" s="3"/>
      <c r="C466" s="3"/>
      <c r="D466" s="1330" t="s">
        <v>1305</v>
      </c>
      <c r="E466" s="1331"/>
      <c r="F466" s="1331"/>
      <c r="G466" s="1331"/>
      <c r="H466" s="1331"/>
      <c r="I466" s="1331"/>
      <c r="J466" s="1331"/>
      <c r="K466" s="1331"/>
      <c r="L466" s="1331"/>
      <c r="M466" s="1331"/>
      <c r="N466" s="1331"/>
      <c r="O466" s="1331"/>
      <c r="P466" s="1331"/>
      <c r="Q466" s="1331"/>
      <c r="R466" s="1331"/>
      <c r="S466" s="1331"/>
      <c r="T466" s="1331"/>
      <c r="U466" s="1331"/>
      <c r="V466" s="1332"/>
      <c r="W466" s="1345">
        <v>0</v>
      </c>
      <c r="X466" s="1346"/>
      <c r="Y466" s="1347"/>
      <c r="Z466" s="127"/>
      <c r="AA466" s="127"/>
      <c r="AB466" s="127"/>
      <c r="AC466" s="127"/>
      <c r="AD466" s="414"/>
      <c r="AE466" s="414"/>
      <c r="AF466" s="414"/>
      <c r="AG466" s="414"/>
      <c r="AH466" s="414"/>
      <c r="AI466" s="414"/>
      <c r="AJ466" s="863"/>
      <c r="AZ466" s="3"/>
      <c r="BA466" s="3"/>
      <c r="BB466" s="3"/>
      <c r="BC466" s="3"/>
    </row>
    <row r="467" spans="1:55" ht="13" customHeight="1">
      <c r="A467" s="3"/>
      <c r="B467" s="3"/>
      <c r="C467" s="3"/>
      <c r="D467" s="1330" t="s">
        <v>1306</v>
      </c>
      <c r="E467" s="1331"/>
      <c r="F467" s="1331"/>
      <c r="G467" s="1331"/>
      <c r="H467" s="1331"/>
      <c r="I467" s="1331"/>
      <c r="J467" s="1331"/>
      <c r="K467" s="1331"/>
      <c r="L467" s="1331"/>
      <c r="M467" s="1331"/>
      <c r="N467" s="1331"/>
      <c r="O467" s="1331"/>
      <c r="P467" s="1331"/>
      <c r="Q467" s="1331"/>
      <c r="R467" s="1331"/>
      <c r="S467" s="1331"/>
      <c r="T467" s="1331"/>
      <c r="U467" s="1331"/>
      <c r="V467" s="1332"/>
      <c r="W467" s="1345">
        <v>11</v>
      </c>
      <c r="X467" s="1346"/>
      <c r="Y467" s="1347"/>
      <c r="Z467" s="127"/>
      <c r="AA467" s="127"/>
      <c r="AB467" s="127"/>
      <c r="AC467" s="127"/>
      <c r="AD467" s="414"/>
      <c r="AE467" s="414"/>
      <c r="AF467" s="414"/>
      <c r="AG467" s="414"/>
      <c r="AH467" s="414"/>
      <c r="AI467" s="414"/>
      <c r="AJ467" s="863"/>
      <c r="AZ467" s="3"/>
      <c r="BA467" s="3"/>
      <c r="BB467" s="3"/>
      <c r="BC467" s="3"/>
    </row>
    <row r="468" spans="1:55" ht="13" customHeight="1">
      <c r="A468" s="3"/>
      <c r="B468" s="3"/>
      <c r="C468" s="3"/>
      <c r="D468" s="1330" t="s">
        <v>1307</v>
      </c>
      <c r="E468" s="1331"/>
      <c r="F468" s="1331"/>
      <c r="G468" s="1331"/>
      <c r="H468" s="1331"/>
      <c r="I468" s="1331"/>
      <c r="J468" s="1331"/>
      <c r="K468" s="1331"/>
      <c r="L468" s="1331"/>
      <c r="M468" s="1331"/>
      <c r="N468" s="1331"/>
      <c r="O468" s="1331"/>
      <c r="P468" s="1331"/>
      <c r="Q468" s="1331"/>
      <c r="R468" s="1331"/>
      <c r="S468" s="1331"/>
      <c r="T468" s="1331"/>
      <c r="U468" s="1331"/>
      <c r="V468" s="1332"/>
      <c r="W468" s="1345">
        <v>0</v>
      </c>
      <c r="X468" s="1346"/>
      <c r="Y468" s="1347"/>
      <c r="Z468" s="127"/>
      <c r="AA468" s="127"/>
      <c r="AB468" s="127"/>
      <c r="AC468" s="127"/>
      <c r="AD468" s="414"/>
      <c r="AE468" s="414"/>
      <c r="AF468" s="414"/>
      <c r="AG468" s="414"/>
      <c r="AH468" s="414"/>
      <c r="AI468" s="414"/>
      <c r="AJ468" s="863"/>
      <c r="AZ468" s="3"/>
      <c r="BA468" s="3"/>
      <c r="BB468" s="3"/>
      <c r="BC468" s="3"/>
    </row>
    <row r="469" spans="1:55" ht="13" customHeight="1">
      <c r="A469" s="3"/>
      <c r="B469" s="3"/>
      <c r="C469" s="3"/>
      <c r="D469" s="1330" t="s">
        <v>1308</v>
      </c>
      <c r="E469" s="1331"/>
      <c r="F469" s="1331"/>
      <c r="G469" s="1331"/>
      <c r="H469" s="1331"/>
      <c r="I469" s="1331"/>
      <c r="J469" s="1331"/>
      <c r="K469" s="1331"/>
      <c r="L469" s="1331"/>
      <c r="M469" s="1331"/>
      <c r="N469" s="1331"/>
      <c r="O469" s="1331"/>
      <c r="P469" s="1331"/>
      <c r="Q469" s="1331"/>
      <c r="R469" s="1331"/>
      <c r="S469" s="1331"/>
      <c r="T469" s="1331"/>
      <c r="U469" s="1331"/>
      <c r="V469" s="1332"/>
      <c r="W469" s="1345">
        <v>0</v>
      </c>
      <c r="X469" s="1346"/>
      <c r="Y469" s="1347"/>
      <c r="Z469" s="127"/>
      <c r="AA469" s="127"/>
      <c r="AB469" s="127"/>
      <c r="AC469" s="127"/>
      <c r="AD469" s="414"/>
      <c r="AE469" s="414"/>
      <c r="AF469" s="414"/>
      <c r="AG469" s="414"/>
      <c r="AH469" s="414"/>
      <c r="AI469" s="414"/>
      <c r="AJ469" s="863"/>
      <c r="AZ469" s="3"/>
      <c r="BA469" s="3" t="str">
        <f>N591</f>
        <v>Yes</v>
      </c>
      <c r="BB469" s="3"/>
      <c r="BC469" s="3"/>
    </row>
    <row r="470" spans="1:55" ht="13" customHeight="1">
      <c r="A470" s="3"/>
      <c r="B470" s="3"/>
      <c r="C470" s="3"/>
      <c r="D470" s="1330" t="s">
        <v>1309</v>
      </c>
      <c r="E470" s="1331"/>
      <c r="F470" s="1331"/>
      <c r="G470" s="1331"/>
      <c r="H470" s="1331"/>
      <c r="I470" s="1331"/>
      <c r="J470" s="1331"/>
      <c r="K470" s="1331"/>
      <c r="L470" s="1331"/>
      <c r="M470" s="1331"/>
      <c r="N470" s="1331"/>
      <c r="O470" s="1331"/>
      <c r="P470" s="1331"/>
      <c r="Q470" s="1331"/>
      <c r="R470" s="1331"/>
      <c r="S470" s="1331"/>
      <c r="T470" s="1331"/>
      <c r="U470" s="1331"/>
      <c r="V470" s="1332"/>
      <c r="W470" s="1345">
        <v>0</v>
      </c>
      <c r="X470" s="1346"/>
      <c r="Y470" s="1347"/>
      <c r="Z470" s="127"/>
      <c r="AA470" s="127"/>
      <c r="AB470" s="127"/>
      <c r="AC470" s="127"/>
      <c r="AD470" s="414"/>
      <c r="AE470" s="414"/>
      <c r="AF470" s="414"/>
      <c r="AG470" s="414"/>
      <c r="AH470" s="414"/>
      <c r="AI470" s="414"/>
      <c r="AJ470" s="863"/>
      <c r="AZ470" s="3"/>
      <c r="BA470" s="3" t="str">
        <f>AG591</f>
        <v>Yes</v>
      </c>
      <c r="BB470" s="3"/>
      <c r="BC470" s="3"/>
    </row>
    <row r="471" spans="1:55" ht="13" customHeight="1">
      <c r="A471" s="3"/>
      <c r="B471" s="3"/>
      <c r="C471" s="3"/>
      <c r="D471" s="1330" t="s">
        <v>1310</v>
      </c>
      <c r="E471" s="1331"/>
      <c r="F471" s="1331"/>
      <c r="G471" s="1331"/>
      <c r="H471" s="1331"/>
      <c r="I471" s="1331"/>
      <c r="J471" s="1331"/>
      <c r="K471" s="1331"/>
      <c r="L471" s="1331"/>
      <c r="M471" s="1331"/>
      <c r="N471" s="1331"/>
      <c r="O471" s="1331"/>
      <c r="P471" s="1331"/>
      <c r="Q471" s="1331"/>
      <c r="R471" s="1331"/>
      <c r="S471" s="1331"/>
      <c r="T471" s="1331"/>
      <c r="U471" s="1331"/>
      <c r="V471" s="1332"/>
      <c r="W471" s="1345">
        <v>0</v>
      </c>
      <c r="X471" s="1346"/>
      <c r="Y471" s="1347"/>
      <c r="Z471" s="127"/>
      <c r="AA471" s="127"/>
      <c r="AB471" s="127"/>
      <c r="AC471" s="127"/>
      <c r="AD471" s="414"/>
      <c r="AE471" s="414"/>
      <c r="AF471" s="414"/>
      <c r="AG471" s="414"/>
      <c r="AH471" s="414"/>
      <c r="AI471" s="414"/>
      <c r="AJ471" s="863"/>
      <c r="AZ471" s="3"/>
      <c r="BA471" s="3"/>
      <c r="BB471" s="3"/>
      <c r="BC471" s="3"/>
    </row>
    <row r="472" spans="1:55" ht="13" customHeight="1">
      <c r="A472" s="3"/>
      <c r="B472" s="3"/>
      <c r="C472" s="3"/>
      <c r="D472" s="1330" t="s">
        <v>1311</v>
      </c>
      <c r="E472" s="1331"/>
      <c r="F472" s="1331"/>
      <c r="G472" s="1331"/>
      <c r="H472" s="1331"/>
      <c r="I472" s="1331"/>
      <c r="J472" s="1331"/>
      <c r="K472" s="1331"/>
      <c r="L472" s="1331"/>
      <c r="M472" s="1331"/>
      <c r="N472" s="1331"/>
      <c r="O472" s="1331"/>
      <c r="P472" s="1331"/>
      <c r="Q472" s="1331"/>
      <c r="R472" s="1331"/>
      <c r="S472" s="1331"/>
      <c r="T472" s="1331"/>
      <c r="U472" s="1331"/>
      <c r="V472" s="1332"/>
      <c r="W472" s="1345">
        <v>0</v>
      </c>
      <c r="X472" s="1346"/>
      <c r="Y472" s="1347"/>
      <c r="Z472" s="127"/>
      <c r="AA472" s="127"/>
      <c r="AB472" s="127"/>
      <c r="AC472" s="127"/>
      <c r="AD472" s="414"/>
      <c r="AE472" s="414"/>
      <c r="AF472" s="414"/>
      <c r="AG472" s="414"/>
      <c r="AH472" s="414"/>
      <c r="AI472" s="414"/>
      <c r="AJ472" s="863"/>
      <c r="AZ472" s="3"/>
      <c r="BA472" s="3"/>
      <c r="BB472" s="3"/>
      <c r="BC472" s="3"/>
    </row>
    <row r="473" spans="1:55" ht="13" customHeight="1">
      <c r="A473" s="3"/>
      <c r="B473" s="3"/>
      <c r="C473" s="3"/>
      <c r="D473" s="1330" t="s">
        <v>1312</v>
      </c>
      <c r="E473" s="1331"/>
      <c r="F473" s="1331"/>
      <c r="G473" s="1331"/>
      <c r="H473" s="1331"/>
      <c r="I473" s="1331"/>
      <c r="J473" s="1331"/>
      <c r="K473" s="1331"/>
      <c r="L473" s="1331"/>
      <c r="M473" s="1331"/>
      <c r="N473" s="1331"/>
      <c r="O473" s="1331"/>
      <c r="P473" s="1331"/>
      <c r="Q473" s="1331"/>
      <c r="R473" s="1331"/>
      <c r="S473" s="1331"/>
      <c r="T473" s="1331"/>
      <c r="U473" s="1331"/>
      <c r="V473" s="1332"/>
      <c r="W473" s="1345">
        <v>8</v>
      </c>
      <c r="X473" s="1346"/>
      <c r="Y473" s="1347"/>
      <c r="Z473" s="127"/>
      <c r="AA473" s="127"/>
      <c r="AB473" s="127"/>
      <c r="AC473" s="127"/>
      <c r="AD473" s="414"/>
      <c r="AE473" s="414"/>
      <c r="AF473" s="414"/>
      <c r="AG473" s="414"/>
      <c r="AH473" s="414"/>
      <c r="AI473" s="414"/>
      <c r="AJ473" s="863"/>
      <c r="AZ473" s="3"/>
      <c r="BA473" s="3"/>
      <c r="BB473" s="3"/>
      <c r="BC473" s="3"/>
    </row>
    <row r="474" spans="1:55" ht="13" customHeight="1">
      <c r="A474" s="3"/>
      <c r="B474" s="3"/>
      <c r="C474" s="3"/>
      <c r="D474" s="1164" t="s">
        <v>233</v>
      </c>
      <c r="E474" s="1165"/>
      <c r="F474" s="1166"/>
      <c r="G474" s="1611"/>
      <c r="H474" s="1612"/>
      <c r="I474" s="1612"/>
      <c r="J474" s="1612"/>
      <c r="K474" s="1612"/>
      <c r="L474" s="1612"/>
      <c r="M474" s="1612"/>
      <c r="N474" s="1612"/>
      <c r="O474" s="1612"/>
      <c r="P474" s="1612"/>
      <c r="Q474" s="1612"/>
      <c r="R474" s="1612"/>
      <c r="S474" s="1612"/>
      <c r="T474" s="1612"/>
      <c r="U474" s="1612"/>
      <c r="V474" s="1613"/>
      <c r="W474" s="1345">
        <v>0</v>
      </c>
      <c r="X474" s="1346"/>
      <c r="Y474" s="1347"/>
      <c r="Z474" s="127"/>
      <c r="AA474" s="127"/>
      <c r="AB474" s="127"/>
      <c r="AC474" s="127"/>
      <c r="AD474" s="414"/>
      <c r="AE474" s="414"/>
      <c r="AF474" s="414"/>
      <c r="AG474" s="414"/>
      <c r="AH474" s="414"/>
      <c r="AI474" s="414"/>
      <c r="AJ474" s="863"/>
      <c r="AZ474" s="3"/>
      <c r="BA474" s="3"/>
      <c r="BB474" s="3"/>
      <c r="BC474" s="3"/>
    </row>
    <row r="475" spans="1:55" ht="13" customHeight="1">
      <c r="A475" s="3"/>
      <c r="B475" s="3"/>
      <c r="C475" s="3"/>
      <c r="D475" s="1167" t="s">
        <v>1313</v>
      </c>
      <c r="E475" s="1168"/>
      <c r="F475" s="1168"/>
      <c r="G475" s="127"/>
      <c r="H475" s="127"/>
      <c r="I475" s="127"/>
      <c r="J475" s="127"/>
      <c r="K475" s="127"/>
      <c r="L475" s="127"/>
      <c r="M475" s="127"/>
      <c r="N475" s="127"/>
      <c r="O475" s="127"/>
      <c r="P475" s="127"/>
      <c r="Q475" s="127"/>
      <c r="R475" s="127"/>
      <c r="S475" s="127"/>
      <c r="T475" s="127"/>
      <c r="U475" s="127"/>
      <c r="V475" s="127"/>
      <c r="W475" s="1169"/>
      <c r="X475" s="1169"/>
      <c r="Y475" s="1170"/>
      <c r="Z475" s="127"/>
      <c r="AA475" s="127"/>
      <c r="AB475" s="127"/>
      <c r="AC475" s="127"/>
      <c r="AD475" s="414"/>
      <c r="AE475" s="414"/>
      <c r="AF475" s="414"/>
      <c r="AG475" s="414"/>
      <c r="AH475" s="414"/>
      <c r="AI475" s="414"/>
      <c r="AJ475" s="863"/>
      <c r="AZ475" s="3"/>
      <c r="BA475" s="3"/>
      <c r="BB475" s="3"/>
      <c r="BC475" s="3"/>
    </row>
    <row r="476" spans="1:55" ht="13" customHeight="1">
      <c r="A476" s="3"/>
      <c r="B476" s="3"/>
      <c r="C476" s="3"/>
      <c r="D476" s="166"/>
      <c r="E476" s="167"/>
      <c r="F476" s="167"/>
      <c r="G476" s="167"/>
      <c r="H476" s="167"/>
      <c r="I476" s="167"/>
      <c r="J476" s="167"/>
      <c r="K476" s="167"/>
      <c r="L476" s="167"/>
      <c r="M476" s="167"/>
      <c r="N476" s="167"/>
      <c r="O476" s="167"/>
      <c r="P476" s="167"/>
      <c r="Q476" s="167"/>
      <c r="R476" s="167"/>
      <c r="S476" s="167"/>
      <c r="T476" s="167"/>
      <c r="U476" s="167"/>
      <c r="V476" s="167"/>
      <c r="W476" s="1171"/>
      <c r="X476" s="1171"/>
      <c r="Y476" s="1172"/>
      <c r="Z476" s="127"/>
      <c r="AA476" s="127"/>
      <c r="AB476" s="127"/>
      <c r="AC476" s="127"/>
      <c r="AD476" s="414"/>
      <c r="AE476" s="414"/>
      <c r="AF476" s="414"/>
      <c r="AG476" s="414"/>
      <c r="AH476" s="414"/>
      <c r="AI476" s="414"/>
      <c r="AJ476" s="863"/>
      <c r="AZ476" s="3"/>
      <c r="BA476" s="3"/>
      <c r="BB476" s="3"/>
      <c r="BC476" s="3"/>
    </row>
    <row r="477" spans="1:55" ht="13" customHeight="1">
      <c r="A477" s="3"/>
      <c r="B477" s="3"/>
      <c r="C477" s="3"/>
      <c r="D477" s="166"/>
      <c r="E477" s="167"/>
      <c r="F477" s="167"/>
      <c r="G477" s="167"/>
      <c r="H477" s="167"/>
      <c r="I477" s="167"/>
      <c r="J477" s="167"/>
      <c r="K477" s="167"/>
      <c r="L477" s="167"/>
      <c r="M477" s="167"/>
      <c r="N477" s="167"/>
      <c r="O477" s="167"/>
      <c r="P477" s="167"/>
      <c r="Q477" s="167"/>
      <c r="R477" s="167"/>
      <c r="S477" s="167"/>
      <c r="T477" s="167"/>
      <c r="U477" s="167"/>
      <c r="V477" s="167"/>
      <c r="W477" s="1171"/>
      <c r="X477" s="1171"/>
      <c r="Y477" s="1172"/>
      <c r="Z477" s="127"/>
      <c r="AA477" s="127"/>
      <c r="AB477" s="127"/>
      <c r="AC477" s="127"/>
      <c r="AD477" s="414"/>
      <c r="AE477" s="414"/>
      <c r="AF477" s="414"/>
      <c r="AG477" s="414"/>
      <c r="AH477" s="414"/>
      <c r="AI477" s="414"/>
      <c r="AJ477" s="863"/>
      <c r="AZ477" s="3"/>
      <c r="BA477" s="3"/>
      <c r="BB477" s="3"/>
      <c r="BC477" s="3"/>
    </row>
    <row r="478" spans="1:55" ht="13" customHeight="1">
      <c r="A478" s="3"/>
      <c r="B478" s="3"/>
      <c r="C478" s="3"/>
      <c r="D478" s="166"/>
      <c r="E478" s="167"/>
      <c r="F478" s="167"/>
      <c r="G478" s="167"/>
      <c r="H478" s="167"/>
      <c r="I478" s="167"/>
      <c r="J478" s="167"/>
      <c r="K478" s="167"/>
      <c r="L478" s="167"/>
      <c r="M478" s="167"/>
      <c r="N478" s="167"/>
      <c r="O478" s="167"/>
      <c r="P478" s="167"/>
      <c r="Q478" s="167"/>
      <c r="R478" s="167"/>
      <c r="S478" s="167"/>
      <c r="T478" s="167"/>
      <c r="U478" s="167"/>
      <c r="V478" s="167"/>
      <c r="W478" s="1171"/>
      <c r="X478" s="1171"/>
      <c r="Y478" s="1172"/>
      <c r="Z478" s="127"/>
      <c r="AA478" s="127"/>
      <c r="AB478" s="127"/>
      <c r="AC478" s="127"/>
      <c r="AD478" s="414"/>
      <c r="AE478" s="414"/>
      <c r="AF478" s="414"/>
      <c r="AG478" s="414"/>
      <c r="AH478" s="414"/>
      <c r="AI478" s="414"/>
      <c r="AJ478" s="863"/>
      <c r="AZ478" s="3"/>
      <c r="BA478" s="3" t="str">
        <f>N599</f>
        <v>Yes</v>
      </c>
      <c r="BB478" s="3"/>
      <c r="BC478" s="3"/>
    </row>
    <row r="479" spans="1:55" ht="13" customHeight="1">
      <c r="AU479" s="70"/>
      <c r="AV479" s="70"/>
      <c r="AW479" s="70"/>
      <c r="AX479" s="70"/>
      <c r="AY479" s="70"/>
      <c r="AZ479" s="3"/>
      <c r="BA479" s="3" t="str">
        <f>AG599</f>
        <v>Yes</v>
      </c>
      <c r="BB479" s="3"/>
      <c r="BC479" s="3"/>
    </row>
    <row r="480" spans="1:55" ht="13" customHeight="1">
      <c r="A480" s="1482" t="s">
        <v>1314</v>
      </c>
      <c r="B480" s="1482"/>
      <c r="C480" s="1482"/>
      <c r="D480" s="1482"/>
      <c r="E480" s="1482"/>
      <c r="F480" s="1482"/>
      <c r="G480" s="1482"/>
      <c r="H480" s="1482"/>
      <c r="I480" s="1482"/>
      <c r="J480" s="1482"/>
      <c r="K480" s="1482"/>
      <c r="L480" s="1482"/>
      <c r="M480" s="1482"/>
      <c r="N480" s="1482"/>
      <c r="O480" s="1482"/>
      <c r="P480" s="1482"/>
      <c r="Q480" s="1482"/>
      <c r="R480" s="1482"/>
      <c r="S480" s="1482"/>
      <c r="T480" s="1482"/>
      <c r="U480" s="1482"/>
      <c r="V480" s="1482"/>
      <c r="W480" s="1482"/>
      <c r="X480" s="1482"/>
      <c r="Y480" s="1482"/>
      <c r="Z480" s="1482"/>
      <c r="AA480" s="1482"/>
      <c r="AB480" s="1482"/>
      <c r="AC480" s="1482"/>
      <c r="AD480" s="1482"/>
      <c r="AE480" s="1482"/>
      <c r="AF480" s="1482"/>
      <c r="AG480" s="1482"/>
      <c r="AH480" s="1482"/>
      <c r="AI480" s="1482"/>
      <c r="AJ480" s="1482"/>
      <c r="AK480" s="1482"/>
      <c r="AL480" s="1482"/>
      <c r="AM480" s="1482"/>
      <c r="AN480" s="1482"/>
      <c r="AO480" s="1482"/>
      <c r="AP480" s="1482"/>
      <c r="AQ480" s="1482"/>
      <c r="AR480" s="1482"/>
      <c r="AS480" s="1482"/>
      <c r="AT480" s="1482"/>
      <c r="AU480" s="70"/>
      <c r="AV480" s="70"/>
      <c r="AW480" s="70"/>
      <c r="AX480" s="70"/>
      <c r="AY480" s="70"/>
      <c r="AZ480" s="3"/>
      <c r="BB480" s="3"/>
      <c r="BC480" s="3"/>
    </row>
    <row r="481" spans="1:55" ht="13" customHeight="1">
      <c r="A481" s="1482"/>
      <c r="B481" s="1482"/>
      <c r="C481" s="1482"/>
      <c r="D481" s="1482"/>
      <c r="E481" s="1482"/>
      <c r="F481" s="1482"/>
      <c r="G481" s="1482"/>
      <c r="H481" s="1482"/>
      <c r="I481" s="1482"/>
      <c r="J481" s="1482"/>
      <c r="K481" s="1482"/>
      <c r="L481" s="1482"/>
      <c r="M481" s="1482"/>
      <c r="N481" s="1482"/>
      <c r="O481" s="1482"/>
      <c r="P481" s="1482"/>
      <c r="Q481" s="1482"/>
      <c r="R481" s="1482"/>
      <c r="S481" s="1482"/>
      <c r="T481" s="1482"/>
      <c r="U481" s="1482"/>
      <c r="V481" s="1482"/>
      <c r="W481" s="1482"/>
      <c r="X481" s="1482"/>
      <c r="Y481" s="1482"/>
      <c r="Z481" s="1482"/>
      <c r="AA481" s="1482"/>
      <c r="AB481" s="1482"/>
      <c r="AC481" s="1482"/>
      <c r="AD481" s="1482"/>
      <c r="AE481" s="1482"/>
      <c r="AF481" s="1482"/>
      <c r="AG481" s="1482"/>
      <c r="AH481" s="1482"/>
      <c r="AI481" s="1482"/>
      <c r="AJ481" s="1482"/>
      <c r="AK481" s="1482"/>
      <c r="AL481" s="1482"/>
      <c r="AM481" s="1482"/>
      <c r="AN481" s="1482"/>
      <c r="AO481" s="1482"/>
      <c r="AP481" s="1482"/>
      <c r="AQ481" s="1482"/>
      <c r="AR481" s="1482"/>
      <c r="AS481" s="1482"/>
      <c r="AT481" s="1482"/>
      <c r="AZ481" s="3"/>
      <c r="BB481" s="3"/>
      <c r="BC481" s="3"/>
    </row>
    <row r="482" spans="1:55" ht="13" customHeight="1">
      <c r="AZ482" s="3"/>
      <c r="BB482" s="3"/>
      <c r="BC482" s="3"/>
    </row>
    <row r="483" spans="1:55" ht="13" customHeight="1">
      <c r="A483" s="2" t="s">
        <v>867</v>
      </c>
      <c r="C483" s="2" t="s">
        <v>165</v>
      </c>
      <c r="AZ483" s="3"/>
      <c r="BB483" s="3"/>
      <c r="BC483" s="3"/>
    </row>
    <row r="484" spans="1:55" ht="13" customHeight="1">
      <c r="AZ484" s="3"/>
      <c r="BB484" s="3"/>
      <c r="BC484" s="3"/>
    </row>
    <row r="485" spans="1:55" ht="13" customHeight="1">
      <c r="B485" s="37"/>
      <c r="C485" s="5"/>
      <c r="D485" s="5"/>
      <c r="E485" s="5"/>
      <c r="F485" s="5"/>
      <c r="G485" s="5"/>
      <c r="H485" s="5"/>
      <c r="I485" s="5"/>
      <c r="J485" s="5"/>
      <c r="K485" s="5"/>
      <c r="L485" s="5"/>
      <c r="M485" s="5"/>
      <c r="N485" s="5"/>
      <c r="O485" s="5"/>
      <c r="P485" s="38"/>
      <c r="Q485" s="1340" t="s">
        <v>1315</v>
      </c>
      <c r="R485" s="1341"/>
      <c r="S485" s="1341"/>
      <c r="T485" s="1341"/>
      <c r="U485" s="1341"/>
      <c r="V485" s="1341"/>
      <c r="W485" s="1341"/>
      <c r="X485" s="1341"/>
      <c r="Y485" s="1341"/>
      <c r="Z485" s="1341"/>
      <c r="AA485" s="1341"/>
      <c r="AB485" s="1341"/>
      <c r="AC485" s="1341"/>
      <c r="AD485" s="1341"/>
      <c r="AE485" s="1341"/>
      <c r="AF485" s="1341"/>
      <c r="AG485" s="1341"/>
      <c r="AH485" s="1341"/>
      <c r="AI485" s="1341"/>
      <c r="AJ485" s="1341"/>
      <c r="AK485" s="1342"/>
      <c r="AZ485" s="3"/>
      <c r="BB485" s="3"/>
      <c r="BC485" s="3"/>
    </row>
    <row r="486" spans="1:55" ht="13" customHeight="1">
      <c r="B486" s="37" t="s">
        <v>1316</v>
      </c>
      <c r="C486" s="5"/>
      <c r="D486" s="5"/>
      <c r="E486" s="5"/>
      <c r="F486" s="5"/>
      <c r="G486" s="5"/>
      <c r="H486" s="5"/>
      <c r="I486" s="5"/>
      <c r="J486" s="5"/>
      <c r="K486" s="5"/>
      <c r="L486" s="5"/>
      <c r="M486" s="5"/>
      <c r="N486" s="5"/>
      <c r="O486" s="5"/>
      <c r="P486" s="5"/>
      <c r="Q486" s="1325" t="s">
        <v>1317</v>
      </c>
      <c r="R486" s="1326"/>
      <c r="S486" s="1326"/>
      <c r="T486" s="1326"/>
      <c r="U486" s="1326"/>
      <c r="V486" s="1326"/>
      <c r="W486" s="1326"/>
      <c r="X486" s="1326"/>
      <c r="Y486" s="1326"/>
      <c r="Z486" s="1326"/>
      <c r="AA486" s="1326"/>
      <c r="AB486" s="1326"/>
      <c r="AC486" s="1326"/>
      <c r="AD486" s="1326"/>
      <c r="AE486" s="1326"/>
      <c r="AF486" s="1326"/>
      <c r="AG486" s="1326"/>
      <c r="AH486" s="1326"/>
      <c r="AI486" s="1326"/>
      <c r="AJ486" s="1326"/>
      <c r="AK486" s="1327"/>
      <c r="AZ486" s="3"/>
      <c r="BB486" s="3"/>
      <c r="BC486" s="3"/>
    </row>
    <row r="487" spans="1:55" ht="13" customHeight="1">
      <c r="B487" s="37" t="s">
        <v>1318</v>
      </c>
      <c r="C487" s="5"/>
      <c r="D487" s="5"/>
      <c r="E487" s="5"/>
      <c r="F487" s="5"/>
      <c r="G487" s="5"/>
      <c r="H487" s="5"/>
      <c r="I487" s="5"/>
      <c r="J487" s="5"/>
      <c r="K487" s="5"/>
      <c r="L487" s="5"/>
      <c r="M487" s="5"/>
      <c r="N487" s="5"/>
      <c r="O487" s="5"/>
      <c r="P487" s="5"/>
      <c r="Q487" s="1325" t="s">
        <v>1319</v>
      </c>
      <c r="R487" s="1326"/>
      <c r="S487" s="1326"/>
      <c r="T487" s="1326"/>
      <c r="U487" s="1326"/>
      <c r="V487" s="1326"/>
      <c r="W487" s="1326"/>
      <c r="X487" s="1326"/>
      <c r="Y487" s="1326"/>
      <c r="Z487" s="1326"/>
      <c r="AA487" s="1326"/>
      <c r="AB487" s="1326"/>
      <c r="AC487" s="1326"/>
      <c r="AD487" s="1326"/>
      <c r="AE487" s="1326"/>
      <c r="AF487" s="1326"/>
      <c r="AG487" s="1326"/>
      <c r="AH487" s="1326"/>
      <c r="AI487" s="1326"/>
      <c r="AJ487" s="1326"/>
      <c r="AK487" s="1327"/>
      <c r="AZ487" s="3"/>
      <c r="BB487" s="3"/>
      <c r="BC487" s="3"/>
    </row>
    <row r="488" spans="1:55" ht="13" customHeight="1">
      <c r="B488" s="37" t="s">
        <v>1320</v>
      </c>
      <c r="C488" s="5"/>
      <c r="D488" s="5"/>
      <c r="E488" s="5"/>
      <c r="F488" s="5"/>
      <c r="G488" s="5"/>
      <c r="H488" s="5"/>
      <c r="I488" s="5"/>
      <c r="J488" s="5"/>
      <c r="K488" s="5"/>
      <c r="L488" s="5"/>
      <c r="M488" s="5"/>
      <c r="N488" s="5"/>
      <c r="O488" s="5"/>
      <c r="P488" s="5"/>
      <c r="Q488" s="1325" t="s">
        <v>1321</v>
      </c>
      <c r="R488" s="1326"/>
      <c r="S488" s="1326"/>
      <c r="T488" s="1326"/>
      <c r="U488" s="1326"/>
      <c r="V488" s="1326"/>
      <c r="W488" s="1326"/>
      <c r="X488" s="1326"/>
      <c r="Y488" s="1326"/>
      <c r="Z488" s="1326"/>
      <c r="AA488" s="1326"/>
      <c r="AB488" s="1326"/>
      <c r="AC488" s="1326"/>
      <c r="AD488" s="1326"/>
      <c r="AE488" s="1326"/>
      <c r="AF488" s="1326"/>
      <c r="AG488" s="1326"/>
      <c r="AH488" s="1326"/>
      <c r="AI488" s="1326"/>
      <c r="AJ488" s="1326"/>
      <c r="AK488" s="1327"/>
      <c r="AZ488" s="3"/>
      <c r="BA488" s="3"/>
      <c r="BB488" s="3"/>
      <c r="BC488" s="3"/>
    </row>
    <row r="489" spans="1:55" ht="13" customHeight="1">
      <c r="B489" s="1405" t="s">
        <v>1322</v>
      </c>
      <c r="C489" s="1406"/>
      <c r="D489" s="1406"/>
      <c r="E489" s="1406"/>
      <c r="F489" s="1406"/>
      <c r="G489" s="1406"/>
      <c r="H489" s="1406"/>
      <c r="I489" s="1406"/>
      <c r="J489" s="1406"/>
      <c r="K489" s="1406"/>
      <c r="L489" s="1406"/>
      <c r="M489" s="1406"/>
      <c r="N489" s="1406"/>
      <c r="O489" s="1406"/>
      <c r="P489" s="1407"/>
      <c r="Q489" s="1411" t="s">
        <v>692</v>
      </c>
      <c r="R489" s="1412"/>
      <c r="S489" s="1512" t="s">
        <v>1323</v>
      </c>
      <c r="T489" s="1513"/>
      <c r="U489" s="1513"/>
      <c r="V489" s="1513"/>
      <c r="W489" s="1513"/>
      <c r="X489" s="1513"/>
      <c r="Y489" s="1513"/>
      <c r="Z489" s="1513"/>
      <c r="AA489" s="1513"/>
      <c r="AB489" s="1513"/>
      <c r="AC489" s="1513"/>
      <c r="AD489" s="1513"/>
      <c r="AE489" s="1513"/>
      <c r="AF489" s="1513"/>
      <c r="AG489" s="1513"/>
      <c r="AH489" s="1513"/>
      <c r="AI489" s="1513"/>
      <c r="AJ489" s="1513"/>
      <c r="AK489" s="1514"/>
      <c r="AZ489" s="3"/>
      <c r="BA489" s="3"/>
      <c r="BB489" s="3"/>
      <c r="BC489" s="3"/>
    </row>
    <row r="490" spans="1:55" ht="13" customHeight="1">
      <c r="B490" s="1408"/>
      <c r="C490" s="1409"/>
      <c r="D490" s="1409"/>
      <c r="E490" s="1409"/>
      <c r="F490" s="1409"/>
      <c r="G490" s="1409"/>
      <c r="H490" s="1409"/>
      <c r="I490" s="1409"/>
      <c r="J490" s="1409"/>
      <c r="K490" s="1409"/>
      <c r="L490" s="1409"/>
      <c r="M490" s="1409"/>
      <c r="N490" s="1409"/>
      <c r="O490" s="1409"/>
      <c r="P490" s="1410"/>
      <c r="Q490" s="1413"/>
      <c r="R490" s="1414"/>
      <c r="S490" s="1515"/>
      <c r="T490" s="1478"/>
      <c r="U490" s="1478"/>
      <c r="V490" s="1478"/>
      <c r="W490" s="1478"/>
      <c r="X490" s="1478"/>
      <c r="Y490" s="1478"/>
      <c r="Z490" s="1478"/>
      <c r="AA490" s="1478"/>
      <c r="AB490" s="1478"/>
      <c r="AC490" s="1478"/>
      <c r="AD490" s="1478"/>
      <c r="AE490" s="1478"/>
      <c r="AF490" s="1478"/>
      <c r="AG490" s="1478"/>
      <c r="AH490" s="1478"/>
      <c r="AI490" s="1478"/>
      <c r="AJ490" s="1478"/>
      <c r="AK490" s="1516"/>
      <c r="AZ490" s="3"/>
      <c r="BA490" s="3"/>
      <c r="BB490" s="3"/>
      <c r="BC490" s="3"/>
    </row>
    <row r="491" spans="1:55" ht="13" customHeight="1">
      <c r="B491" s="790" t="s">
        <v>1324</v>
      </c>
      <c r="C491" s="771"/>
      <c r="D491" s="771"/>
      <c r="E491" s="771"/>
      <c r="F491" s="771"/>
      <c r="G491" s="771"/>
      <c r="H491" s="771"/>
      <c r="I491" s="771"/>
      <c r="J491" s="771"/>
      <c r="K491" s="771"/>
      <c r="L491" s="771"/>
      <c r="M491" s="771"/>
      <c r="N491" s="771"/>
      <c r="O491" s="771"/>
      <c r="P491" s="771"/>
      <c r="Q491" s="1333" t="s">
        <v>692</v>
      </c>
      <c r="R491" s="1334"/>
      <c r="S491" s="1334"/>
      <c r="T491" s="1334"/>
      <c r="U491" s="1334"/>
      <c r="V491" s="1334"/>
      <c r="W491" s="1334"/>
      <c r="X491" s="1334"/>
      <c r="Y491" s="1334"/>
      <c r="Z491" s="1334"/>
      <c r="AA491" s="1334"/>
      <c r="AB491" s="1334"/>
      <c r="AC491" s="1334"/>
      <c r="AD491" s="1334"/>
      <c r="AE491" s="1334"/>
      <c r="AF491" s="1334"/>
      <c r="AG491" s="1334"/>
      <c r="AH491" s="1334"/>
      <c r="AI491" s="1334"/>
      <c r="AJ491" s="1334"/>
      <c r="AK491" s="1335"/>
      <c r="AZ491" s="3"/>
      <c r="BA491" s="3"/>
      <c r="BB491" s="3"/>
      <c r="BC491" s="3"/>
    </row>
    <row r="492" spans="1:55" ht="13" customHeight="1">
      <c r="B492" s="37" t="s">
        <v>1325</v>
      </c>
      <c r="C492" s="5"/>
      <c r="D492" s="5"/>
      <c r="E492" s="5"/>
      <c r="F492" s="5"/>
      <c r="G492" s="5"/>
      <c r="H492" s="5"/>
      <c r="I492" s="5"/>
      <c r="J492" s="5"/>
      <c r="K492" s="5"/>
      <c r="L492" s="5"/>
      <c r="M492" s="5"/>
      <c r="N492" s="5"/>
      <c r="O492" s="5"/>
      <c r="P492" s="5"/>
      <c r="Q492" s="1325" t="s">
        <v>1319</v>
      </c>
      <c r="R492" s="1326"/>
      <c r="S492" s="1326"/>
      <c r="T492" s="1326"/>
      <c r="U492" s="1326"/>
      <c r="V492" s="1326"/>
      <c r="W492" s="1326"/>
      <c r="X492" s="1326"/>
      <c r="Y492" s="1326"/>
      <c r="Z492" s="1326"/>
      <c r="AA492" s="1326"/>
      <c r="AB492" s="1326"/>
      <c r="AC492" s="1326"/>
      <c r="AD492" s="1326"/>
      <c r="AE492" s="1326"/>
      <c r="AF492" s="1326"/>
      <c r="AG492" s="1326"/>
      <c r="AH492" s="1326"/>
      <c r="AI492" s="1326"/>
      <c r="AJ492" s="1326"/>
      <c r="AK492" s="1327"/>
      <c r="AZ492" s="3"/>
      <c r="BA492" s="3"/>
      <c r="BB492" s="3"/>
      <c r="BC492" s="3"/>
    </row>
    <row r="493" spans="1:55" ht="13" customHeight="1">
      <c r="B493" s="37" t="s">
        <v>1326</v>
      </c>
      <c r="C493" s="5"/>
      <c r="D493" s="5"/>
      <c r="E493" s="5"/>
      <c r="F493" s="5"/>
      <c r="G493" s="5"/>
      <c r="H493" s="5"/>
      <c r="I493" s="5"/>
      <c r="J493" s="5"/>
      <c r="K493" s="5"/>
      <c r="L493" s="5"/>
      <c r="M493" s="5"/>
      <c r="N493" s="5"/>
      <c r="O493" s="5"/>
      <c r="P493" s="5"/>
      <c r="Q493" s="1325">
        <v>129</v>
      </c>
      <c r="R493" s="1326"/>
      <c r="S493" s="1326"/>
      <c r="T493" s="1326"/>
      <c r="U493" s="1326"/>
      <c r="V493" s="1326"/>
      <c r="W493" s="1326"/>
      <c r="X493" s="1326"/>
      <c r="Y493" s="1326"/>
      <c r="Z493" s="1326"/>
      <c r="AA493" s="1326"/>
      <c r="AB493" s="1326"/>
      <c r="AC493" s="1326"/>
      <c r="AD493" s="1326"/>
      <c r="AE493" s="1326"/>
      <c r="AF493" s="1326"/>
      <c r="AG493" s="1326"/>
      <c r="AH493" s="1326"/>
      <c r="AI493" s="1326"/>
      <c r="AJ493" s="1326"/>
      <c r="AK493" s="1327"/>
      <c r="AZ493" s="3"/>
      <c r="BA493" s="3"/>
      <c r="BB493" s="3"/>
      <c r="BC493" s="3"/>
    </row>
    <row r="494" spans="1:55" ht="13" customHeight="1">
      <c r="B494" s="87" t="s">
        <v>1327</v>
      </c>
      <c r="C494" s="5"/>
      <c r="D494" s="5"/>
      <c r="E494" s="5"/>
      <c r="F494" s="5"/>
      <c r="G494" s="5"/>
      <c r="H494" s="5"/>
      <c r="I494" s="5"/>
      <c r="J494" s="5"/>
      <c r="K494" s="5"/>
      <c r="L494" s="5"/>
      <c r="M494" s="5"/>
      <c r="N494" s="5"/>
      <c r="O494" s="5"/>
      <c r="P494" s="5"/>
      <c r="Q494" s="1325">
        <v>129</v>
      </c>
      <c r="R494" s="1326"/>
      <c r="S494" s="1326"/>
      <c r="T494" s="1326"/>
      <c r="U494" s="1326"/>
      <c r="V494" s="1326"/>
      <c r="W494" s="1326"/>
      <c r="X494" s="1326"/>
      <c r="Y494" s="1326"/>
      <c r="Z494" s="1326"/>
      <c r="AA494" s="1326"/>
      <c r="AB494" s="1326"/>
      <c r="AC494" s="1326"/>
      <c r="AD494" s="1326"/>
      <c r="AE494" s="1326"/>
      <c r="AF494" s="1326"/>
      <c r="AG494" s="1326"/>
      <c r="AH494" s="1326"/>
      <c r="AI494" s="1326"/>
      <c r="AJ494" s="1326"/>
      <c r="AK494" s="1327"/>
      <c r="AZ494" s="3"/>
      <c r="BA494" s="3"/>
      <c r="BB494" s="3"/>
      <c r="BC494" s="3"/>
    </row>
    <row r="495" spans="1:55" ht="13" customHeight="1">
      <c r="B495" s="87" t="s">
        <v>1328</v>
      </c>
      <c r="C495" s="5"/>
      <c r="D495" s="5"/>
      <c r="E495" s="5"/>
      <c r="F495" s="5"/>
      <c r="G495" s="5"/>
      <c r="H495" s="5"/>
      <c r="I495" s="5"/>
      <c r="J495" s="5"/>
      <c r="K495" s="5"/>
      <c r="L495" s="5"/>
      <c r="M495" s="1336">
        <v>110</v>
      </c>
      <c r="N495" s="1337"/>
      <c r="O495" s="1337"/>
      <c r="P495" s="1338"/>
      <c r="Q495" s="87" t="s">
        <v>1329</v>
      </c>
      <c r="R495" s="5"/>
      <c r="S495" s="5"/>
      <c r="T495" s="5"/>
      <c r="U495" s="5"/>
      <c r="V495" s="5"/>
      <c r="W495" s="5"/>
      <c r="X495" s="5"/>
      <c r="Y495" s="5"/>
      <c r="Z495" s="5"/>
      <c r="AA495" s="5"/>
      <c r="AB495" s="5"/>
      <c r="AC495" s="5"/>
      <c r="AD495" s="5"/>
      <c r="AE495" s="5"/>
      <c r="AF495" s="5"/>
      <c r="AG495" s="5"/>
      <c r="AH495" s="1336">
        <v>119</v>
      </c>
      <c r="AI495" s="1337"/>
      <c r="AJ495" s="1337"/>
      <c r="AK495" s="1338"/>
      <c r="AZ495" s="3"/>
      <c r="BA495" s="3"/>
      <c r="BB495" s="3"/>
      <c r="BC495" s="3"/>
    </row>
    <row r="496" spans="1:55" ht="13" customHeight="1">
      <c r="B496" s="411"/>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3" customHeight="1">
      <c r="A497" s="2" t="s">
        <v>908</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3" customHeight="1">
      <c r="B498" s="427"/>
      <c r="C498" s="411"/>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3"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340" t="s">
        <v>1330</v>
      </c>
      <c r="AD499" s="1341"/>
      <c r="AE499" s="1341"/>
      <c r="AF499" s="1341"/>
      <c r="AG499" s="1341"/>
      <c r="AH499" s="1341"/>
      <c r="AI499" s="1341"/>
      <c r="AJ499" s="1341"/>
      <c r="AK499" s="1342"/>
      <c r="AZ499" s="3"/>
      <c r="BA499" s="3"/>
      <c r="BB499" s="3"/>
      <c r="BC499" s="3"/>
      <c r="BD499" s="3"/>
      <c r="BE499" s="3"/>
      <c r="BF499" s="3"/>
      <c r="BG499" s="3"/>
      <c r="BH499" s="3"/>
      <c r="BI499" s="3"/>
      <c r="BJ499" s="3"/>
      <c r="BK499" s="3"/>
      <c r="BL499" s="3"/>
      <c r="BM499" s="3"/>
      <c r="BN499" s="3"/>
    </row>
    <row r="500" spans="1:66" ht="13"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340" t="s">
        <v>1331</v>
      </c>
      <c r="AD500" s="1341"/>
      <c r="AE500" s="1341"/>
      <c r="AF500" s="1341"/>
      <c r="AG500" s="42" t="s">
        <v>1332</v>
      </c>
      <c r="AH500" s="1341" t="s">
        <v>1333</v>
      </c>
      <c r="AI500" s="1341"/>
      <c r="AJ500" s="1341"/>
      <c r="AK500" s="1342"/>
      <c r="AZ500" s="3"/>
      <c r="BA500" s="3"/>
      <c r="BB500" s="3"/>
      <c r="BC500" s="3"/>
      <c r="BD500" s="3"/>
      <c r="BE500" s="3"/>
      <c r="BF500" s="3"/>
      <c r="BG500" s="3"/>
      <c r="BH500" s="3"/>
      <c r="BI500" s="3"/>
      <c r="BJ500" s="3"/>
      <c r="BK500" s="3"/>
      <c r="BL500" s="3"/>
      <c r="BM500" s="3"/>
      <c r="BN500" s="3"/>
    </row>
    <row r="501" spans="1:66" ht="13" customHeight="1">
      <c r="B501" s="1348" t="s">
        <v>1334</v>
      </c>
      <c r="C501" s="1349"/>
      <c r="D501" s="1349"/>
      <c r="E501" s="1349"/>
      <c r="F501" s="1349"/>
      <c r="G501" s="1349"/>
      <c r="H501" s="1350"/>
      <c r="I501" s="34" t="s">
        <v>1335</v>
      </c>
      <c r="J501" s="34"/>
      <c r="K501" s="34"/>
      <c r="L501" s="34"/>
      <c r="M501" s="34"/>
      <c r="N501" s="34"/>
      <c r="O501" s="34"/>
      <c r="P501" s="34"/>
      <c r="Q501" s="34"/>
      <c r="R501" s="34"/>
      <c r="S501" s="34"/>
      <c r="T501" s="34"/>
      <c r="U501" s="34"/>
      <c r="V501" s="34"/>
      <c r="W501" s="34"/>
      <c r="AC501" s="1343" t="s">
        <v>807</v>
      </c>
      <c r="AD501" s="1344"/>
      <c r="AE501" s="1344"/>
      <c r="AF501" s="1344"/>
      <c r="AG501" s="12" t="s">
        <v>1332</v>
      </c>
      <c r="AH501" s="1379">
        <v>0</v>
      </c>
      <c r="AI501" s="1379"/>
      <c r="AJ501" s="1379"/>
      <c r="AK501" s="1380"/>
      <c r="AZ501" s="3"/>
      <c r="BA501" s="3"/>
      <c r="BB501" s="3"/>
      <c r="BC501" s="3"/>
      <c r="BD501" s="3"/>
      <c r="BE501" s="3"/>
      <c r="BF501" s="3"/>
      <c r="BG501" s="3"/>
      <c r="BH501" s="3"/>
      <c r="BI501" s="3"/>
      <c r="BJ501" s="3"/>
      <c r="BK501" s="3"/>
      <c r="BL501" s="3"/>
      <c r="BM501" s="3"/>
      <c r="BN501" s="3"/>
    </row>
    <row r="502" spans="1:66" ht="13" customHeight="1">
      <c r="B502" s="1351"/>
      <c r="C502" s="1352"/>
      <c r="D502" s="1352"/>
      <c r="E502" s="1352"/>
      <c r="F502" s="1352"/>
      <c r="G502" s="1352"/>
      <c r="H502" s="1353"/>
      <c r="I502" s="40" t="s">
        <v>1336</v>
      </c>
      <c r="J502" s="40"/>
      <c r="K502" s="40"/>
      <c r="L502" s="40"/>
      <c r="M502" s="40"/>
      <c r="N502" s="40"/>
      <c r="O502" s="40"/>
      <c r="P502" s="40"/>
      <c r="Q502" s="40"/>
      <c r="R502" s="40"/>
      <c r="S502" s="40"/>
      <c r="T502" s="40"/>
      <c r="U502" s="40"/>
      <c r="V502" s="40"/>
      <c r="W502" s="40"/>
      <c r="X502" s="40"/>
      <c r="Y502" s="40"/>
      <c r="Z502" s="40"/>
      <c r="AA502" s="40"/>
      <c r="AB502" s="40"/>
      <c r="AC502" s="1343">
        <v>5</v>
      </c>
      <c r="AD502" s="1344"/>
      <c r="AE502" s="1344"/>
      <c r="AF502" s="1344"/>
      <c r="AG502" s="30" t="s">
        <v>1332</v>
      </c>
      <c r="AH502" s="1379">
        <v>2026</v>
      </c>
      <c r="AI502" s="1379"/>
      <c r="AJ502" s="1379"/>
      <c r="AK502" s="1380"/>
      <c r="AZ502" s="3"/>
      <c r="BA502" s="3"/>
      <c r="BB502" s="3"/>
      <c r="BC502" s="3"/>
      <c r="BD502" s="3"/>
      <c r="BE502" s="3"/>
      <c r="BF502" s="3"/>
      <c r="BG502" s="3"/>
      <c r="BH502" s="3"/>
      <c r="BI502" s="3"/>
      <c r="BJ502" s="3"/>
      <c r="BK502" s="3"/>
      <c r="BL502" s="3"/>
      <c r="BM502" s="3"/>
      <c r="BN502" s="3"/>
    </row>
    <row r="503" spans="1:66" ht="13" customHeight="1">
      <c r="B503" s="1348" t="s">
        <v>1337</v>
      </c>
      <c r="C503" s="1349"/>
      <c r="D503" s="1349"/>
      <c r="E503" s="1349"/>
      <c r="F503" s="1349"/>
      <c r="G503" s="1349"/>
      <c r="H503" s="1350"/>
      <c r="I503" s="34" t="s">
        <v>1338</v>
      </c>
      <c r="J503" s="34"/>
      <c r="K503" s="34"/>
      <c r="L503" s="34"/>
      <c r="M503" s="34"/>
      <c r="N503" s="34"/>
      <c r="O503" s="34"/>
      <c r="P503" s="34"/>
      <c r="Q503" s="34"/>
      <c r="R503" s="34"/>
      <c r="S503" s="34"/>
      <c r="T503" s="34"/>
      <c r="U503" s="34"/>
      <c r="V503" s="34"/>
      <c r="W503" s="34"/>
      <c r="AC503" s="1343" t="s">
        <v>807</v>
      </c>
      <c r="AD503" s="1344"/>
      <c r="AE503" s="1344"/>
      <c r="AF503" s="1344"/>
      <c r="AG503" s="12" t="s">
        <v>1332</v>
      </c>
      <c r="AH503" s="1379"/>
      <c r="AI503" s="1379"/>
      <c r="AJ503" s="1379"/>
      <c r="AK503" s="1380"/>
      <c r="AZ503" s="3"/>
      <c r="BA503" s="3"/>
      <c r="BB503" s="3"/>
      <c r="BC503" s="3"/>
      <c r="BD503" s="3"/>
      <c r="BE503" s="3"/>
      <c r="BF503" s="3"/>
      <c r="BG503" s="3"/>
      <c r="BH503" s="3"/>
      <c r="BI503" s="3"/>
      <c r="BJ503" s="3"/>
      <c r="BK503" s="3"/>
      <c r="BL503" s="3"/>
      <c r="BM503" s="3"/>
      <c r="BN503" s="3"/>
    </row>
    <row r="504" spans="1:66" ht="13" customHeight="1">
      <c r="B504" s="1351"/>
      <c r="C504" s="1352"/>
      <c r="D504" s="1352"/>
      <c r="E504" s="1352"/>
      <c r="F504" s="1352"/>
      <c r="G504" s="1352"/>
      <c r="H504" s="1353"/>
      <c r="I504" t="s">
        <v>1339</v>
      </c>
      <c r="AC504" s="1343" t="s">
        <v>807</v>
      </c>
      <c r="AD504" s="1344"/>
      <c r="AE504" s="1344"/>
      <c r="AF504" s="1344"/>
      <c r="AG504" s="12" t="s">
        <v>1332</v>
      </c>
      <c r="AH504" s="1379"/>
      <c r="AI504" s="1379"/>
      <c r="AJ504" s="1379"/>
      <c r="AK504" s="1380"/>
      <c r="AZ504" s="3"/>
      <c r="BA504" s="3"/>
      <c r="BB504" s="3"/>
      <c r="BC504" s="3"/>
      <c r="BD504" s="3"/>
      <c r="BE504" s="3"/>
      <c r="BF504" s="3"/>
      <c r="BG504" s="3"/>
      <c r="BH504" s="3"/>
      <c r="BI504" s="3"/>
      <c r="BJ504" s="3"/>
      <c r="BK504" s="3"/>
      <c r="BL504" s="3"/>
      <c r="BM504" s="3"/>
      <c r="BN504" s="3"/>
    </row>
    <row r="505" spans="1:66" ht="13" customHeight="1">
      <c r="B505" s="1351"/>
      <c r="C505" s="1352"/>
      <c r="D505" s="1352"/>
      <c r="E505" s="1352"/>
      <c r="F505" s="1352"/>
      <c r="G505" s="1352"/>
      <c r="H505" s="1353"/>
      <c r="I505" t="s">
        <v>1340</v>
      </c>
      <c r="AC505" s="1343" t="s">
        <v>807</v>
      </c>
      <c r="AD505" s="1344"/>
      <c r="AE505" s="1344"/>
      <c r="AF505" s="1344"/>
      <c r="AG505" s="12" t="s">
        <v>1332</v>
      </c>
      <c r="AH505" s="1379"/>
      <c r="AI505" s="1379"/>
      <c r="AJ505" s="1379"/>
      <c r="AK505" s="1380"/>
      <c r="AZ505" s="3"/>
      <c r="BA505" s="3"/>
      <c r="BB505" s="3"/>
      <c r="BC505" s="3"/>
      <c r="BD505" s="3"/>
      <c r="BE505" s="3"/>
      <c r="BF505" s="3"/>
      <c r="BG505" s="3"/>
      <c r="BH505" s="3"/>
      <c r="BI505" s="3"/>
      <c r="BJ505" s="3"/>
      <c r="BK505" s="3"/>
      <c r="BL505" s="3"/>
      <c r="BM505" s="3"/>
      <c r="BN505" s="3"/>
    </row>
    <row r="506" spans="1:66" ht="13" customHeight="1">
      <c r="B506" s="1351"/>
      <c r="C506" s="1352"/>
      <c r="D506" s="1352"/>
      <c r="E506" s="1352"/>
      <c r="F506" s="1352"/>
      <c r="G506" s="1352"/>
      <c r="H506" s="1353"/>
      <c r="I506" t="s">
        <v>1341</v>
      </c>
      <c r="AC506" s="1343" t="s">
        <v>807</v>
      </c>
      <c r="AD506" s="1344"/>
      <c r="AE506" s="1344"/>
      <c r="AF506" s="1344"/>
      <c r="AG506" s="12" t="s">
        <v>1332</v>
      </c>
      <c r="AH506" s="1379"/>
      <c r="AI506" s="1379"/>
      <c r="AJ506" s="1379"/>
      <c r="AK506" s="1380"/>
      <c r="AZ506" s="3"/>
      <c r="BA506" s="3"/>
      <c r="BB506" s="3"/>
      <c r="BC506" s="3"/>
      <c r="BD506" s="3"/>
      <c r="BE506" s="3"/>
      <c r="BF506" s="3"/>
      <c r="BG506" s="3"/>
      <c r="BH506" s="3"/>
      <c r="BI506" s="3"/>
      <c r="BJ506" s="3"/>
      <c r="BK506" s="3"/>
      <c r="BL506" s="3"/>
      <c r="BM506" s="3"/>
      <c r="BN506" s="3"/>
    </row>
    <row r="507" spans="1:66" ht="13" customHeight="1">
      <c r="B507" s="1351"/>
      <c r="C507" s="1352"/>
      <c r="D507" s="1352"/>
      <c r="E507" s="1352"/>
      <c r="F507" s="1352"/>
      <c r="G507" s="1352"/>
      <c r="H507" s="1353"/>
      <c r="I507" s="3" t="s">
        <v>1342</v>
      </c>
      <c r="AC507" s="1310">
        <v>5</v>
      </c>
      <c r="AD507" s="1311"/>
      <c r="AE507" s="1311"/>
      <c r="AF507" s="1311"/>
      <c r="AG507" s="12" t="s">
        <v>1332</v>
      </c>
      <c r="AH507" s="1379">
        <v>2026</v>
      </c>
      <c r="AI507" s="1379"/>
      <c r="AJ507" s="1379"/>
      <c r="AK507" s="1380"/>
      <c r="AZ507" s="3"/>
      <c r="BA507" s="3"/>
      <c r="BB507" s="3"/>
      <c r="BC507" s="3"/>
      <c r="BD507" s="3"/>
      <c r="BE507" s="3"/>
      <c r="BF507" s="3"/>
      <c r="BG507" s="3"/>
      <c r="BH507" s="3"/>
      <c r="BI507" s="3"/>
      <c r="BJ507" s="3"/>
      <c r="BK507" s="3"/>
      <c r="BL507" s="3"/>
      <c r="BM507" s="3"/>
      <c r="BN507" s="3"/>
    </row>
    <row r="508" spans="1:66" ht="13" customHeight="1">
      <c r="B508" s="1351"/>
      <c r="C508" s="1352"/>
      <c r="D508" s="1352"/>
      <c r="E508" s="1352"/>
      <c r="F508" s="1352"/>
      <c r="G508" s="1352"/>
      <c r="H508" s="1353"/>
      <c r="I508" s="791" t="s">
        <v>233</v>
      </c>
      <c r="J508" s="40"/>
      <c r="K508" s="40"/>
      <c r="L508" s="1385" t="s">
        <v>1261</v>
      </c>
      <c r="M508" s="1386"/>
      <c r="N508" s="1386"/>
      <c r="O508" s="1386"/>
      <c r="P508" s="1386"/>
      <c r="Q508" s="1386"/>
      <c r="R508" s="1386"/>
      <c r="S508" s="1386"/>
      <c r="T508" s="1386"/>
      <c r="U508" s="1386"/>
      <c r="V508" s="1386"/>
      <c r="W508" s="1386"/>
      <c r="X508" s="1386"/>
      <c r="Y508" s="1386"/>
      <c r="Z508" s="1386"/>
      <c r="AA508" s="1386"/>
      <c r="AB508" s="1387"/>
      <c r="AC508" s="1343" t="s">
        <v>807</v>
      </c>
      <c r="AD508" s="1344"/>
      <c r="AE508" s="1344"/>
      <c r="AF508" s="1344"/>
      <c r="AG508" s="30" t="s">
        <v>1332</v>
      </c>
      <c r="AH508" s="1379"/>
      <c r="AI508" s="1379"/>
      <c r="AJ508" s="1379"/>
      <c r="AK508" s="1380"/>
      <c r="AZ508" s="3"/>
      <c r="BA508" s="3"/>
      <c r="BB508" s="3"/>
      <c r="BC508" s="3"/>
      <c r="BD508" s="3"/>
      <c r="BE508" s="3"/>
      <c r="BF508" s="3"/>
      <c r="BG508" s="3"/>
      <c r="BH508" s="3"/>
      <c r="BI508" s="3"/>
      <c r="BJ508" s="3"/>
      <c r="BK508" s="3"/>
      <c r="BL508" s="3"/>
      <c r="BM508" s="3"/>
      <c r="BN508" s="3"/>
    </row>
    <row r="509" spans="1:66" ht="13" customHeight="1">
      <c r="B509" s="769"/>
      <c r="C509" s="95"/>
      <c r="D509" s="95"/>
      <c r="E509" s="95"/>
      <c r="F509" s="95"/>
      <c r="G509" s="95"/>
      <c r="H509" s="770"/>
      <c r="I509" s="3" t="s">
        <v>1343</v>
      </c>
      <c r="AC509" s="1339" t="s">
        <v>692</v>
      </c>
      <c r="AD509" s="1339"/>
      <c r="AE509" s="1339"/>
      <c r="AF509" s="1339"/>
      <c r="AG509" s="12"/>
      <c r="AH509" s="1357"/>
      <c r="AI509" s="1357"/>
      <c r="AJ509" s="1357"/>
      <c r="AK509" s="1358"/>
      <c r="AZ509" s="3"/>
      <c r="BA509" s="3"/>
      <c r="BB509" s="3"/>
      <c r="BC509" s="3"/>
      <c r="BD509" s="3"/>
      <c r="BE509" s="3"/>
      <c r="BF509" s="3"/>
      <c r="BG509" s="3"/>
      <c r="BH509" s="3"/>
      <c r="BI509" s="3"/>
      <c r="BJ509" s="3"/>
      <c r="BK509" s="3"/>
      <c r="BL509" s="3"/>
      <c r="BM509" s="3"/>
      <c r="BN509" s="3"/>
    </row>
    <row r="510" spans="1:66" ht="13" customHeight="1">
      <c r="B510" s="769"/>
      <c r="C510" s="95"/>
      <c r="D510" s="95"/>
      <c r="E510" s="95"/>
      <c r="F510" s="95"/>
      <c r="G510" s="95"/>
      <c r="H510" s="770"/>
      <c r="I510" t="s">
        <v>1344</v>
      </c>
      <c r="AC510" s="1310"/>
      <c r="AD510" s="1311"/>
      <c r="AE510" s="1311"/>
      <c r="AF510" s="1312"/>
      <c r="AG510" s="12"/>
      <c r="AH510" s="1357"/>
      <c r="AI510" s="1357"/>
      <c r="AJ510" s="1357"/>
      <c r="AK510" s="1358"/>
      <c r="AZ510" s="3"/>
      <c r="BA510" s="3"/>
      <c r="BB510" s="3"/>
      <c r="BC510" s="3"/>
      <c r="BD510" s="3"/>
      <c r="BE510" s="3"/>
      <c r="BF510" s="3"/>
      <c r="BG510" s="3"/>
      <c r="BH510" s="3"/>
      <c r="BI510" s="3"/>
      <c r="BJ510" s="3"/>
      <c r="BK510" s="3"/>
      <c r="BL510" s="3"/>
      <c r="BM510" s="3"/>
      <c r="BN510" s="3"/>
    </row>
    <row r="511" spans="1:66" ht="13" customHeight="1">
      <c r="B511" s="769"/>
      <c r="C511" s="95"/>
      <c r="D511" s="95"/>
      <c r="E511" s="95"/>
      <c r="F511" s="95"/>
      <c r="G511" s="95"/>
      <c r="H511" s="770"/>
      <c r="I511" t="s">
        <v>1345</v>
      </c>
      <c r="AC511" s="1148"/>
      <c r="AD511" s="1150"/>
      <c r="AE511" s="1150"/>
      <c r="AF511" s="1149"/>
      <c r="AG511" s="12"/>
      <c r="AH511" s="1"/>
      <c r="AI511" s="1"/>
      <c r="AJ511" s="1"/>
      <c r="AK511" s="899"/>
      <c r="AZ511" s="3"/>
      <c r="BA511" s="3"/>
      <c r="BB511" s="3"/>
      <c r="BC511" s="3"/>
      <c r="BD511" s="3"/>
      <c r="BE511" s="3"/>
      <c r="BF511" s="3"/>
      <c r="BG511" s="3"/>
      <c r="BH511" s="3"/>
      <c r="BI511" s="3"/>
      <c r="BJ511" s="3"/>
      <c r="BK511" s="3"/>
      <c r="BL511" s="3"/>
      <c r="BM511" s="3"/>
      <c r="BN511" s="3"/>
    </row>
    <row r="512" spans="1:66" ht="13" customHeight="1">
      <c r="B512" s="769"/>
      <c r="C512" s="95"/>
      <c r="D512" s="95"/>
      <c r="E512" s="95"/>
      <c r="F512" s="95"/>
      <c r="G512" s="95"/>
      <c r="H512" s="770"/>
      <c r="I512" s="792" t="s">
        <v>1346</v>
      </c>
      <c r="J512" s="40"/>
      <c r="K512" s="40"/>
      <c r="L512" s="40"/>
      <c r="M512" s="40"/>
      <c r="N512" s="40"/>
      <c r="O512" s="40"/>
      <c r="P512" s="40"/>
      <c r="Q512" s="40"/>
      <c r="R512" s="40"/>
      <c r="S512" s="40"/>
      <c r="T512" s="40"/>
      <c r="U512" s="40"/>
      <c r="V512" s="40"/>
      <c r="W512" s="40"/>
      <c r="X512" s="40"/>
      <c r="Y512" s="40"/>
      <c r="Z512" s="40"/>
      <c r="AA512" s="40"/>
      <c r="AB512" s="40"/>
      <c r="AC512" s="1402"/>
      <c r="AD512" s="1403"/>
      <c r="AE512" s="1403"/>
      <c r="AF512" s="1404"/>
      <c r="AG512" s="30"/>
      <c r="AH512" s="1529"/>
      <c r="AI512" s="1529"/>
      <c r="AJ512" s="1529"/>
      <c r="AK512" s="1530"/>
      <c r="AZ512" s="3"/>
      <c r="BA512" s="3"/>
      <c r="BB512" s="3"/>
      <c r="BC512" s="3"/>
      <c r="BD512" s="3"/>
      <c r="BE512" s="3"/>
      <c r="BF512" s="3"/>
      <c r="BG512" s="3"/>
      <c r="BH512" s="3"/>
      <c r="BI512" s="3"/>
      <c r="BJ512" s="3"/>
      <c r="BK512" s="3"/>
      <c r="BL512" s="3"/>
      <c r="BM512" s="3"/>
      <c r="BN512" s="3" t="s">
        <v>998</v>
      </c>
    </row>
    <row r="513" spans="2:66" ht="13" customHeight="1">
      <c r="B513" s="769"/>
      <c r="C513" s="95"/>
      <c r="D513" s="95"/>
      <c r="E513" s="95"/>
      <c r="F513" s="95"/>
      <c r="G513" s="95"/>
      <c r="H513" s="770"/>
      <c r="I513" s="3"/>
      <c r="L513" s="7"/>
      <c r="M513" s="7"/>
      <c r="N513" s="7"/>
      <c r="O513" s="7"/>
      <c r="P513" s="7"/>
      <c r="Q513" s="7"/>
      <c r="R513" s="7"/>
      <c r="S513" s="7"/>
      <c r="T513" s="7"/>
      <c r="U513" s="7"/>
      <c r="V513" s="7"/>
      <c r="W513" s="7"/>
      <c r="X513" s="900"/>
      <c r="Y513" s="900"/>
      <c r="Z513" s="900"/>
      <c r="AA513" s="900"/>
      <c r="AB513" s="905"/>
      <c r="AC513" s="1624" t="s">
        <v>1331</v>
      </c>
      <c r="AD513" s="1383"/>
      <c r="AE513" s="1383"/>
      <c r="AF513" s="1383"/>
      <c r="AG513" s="30" t="s">
        <v>1332</v>
      </c>
      <c r="AH513" s="1383" t="s">
        <v>1333</v>
      </c>
      <c r="AI513" s="1383"/>
      <c r="AJ513" s="1383"/>
      <c r="AK513" s="1384"/>
      <c r="AZ513" s="3"/>
      <c r="BA513" s="3"/>
      <c r="BB513" s="3"/>
      <c r="BC513" s="3"/>
      <c r="BD513" s="3"/>
      <c r="BE513" s="3"/>
      <c r="BF513" s="3"/>
      <c r="BG513" s="3"/>
      <c r="BH513" s="3"/>
      <c r="BI513" s="3"/>
      <c r="BJ513" s="3"/>
      <c r="BK513" s="3"/>
      <c r="BL513" s="3"/>
      <c r="BM513" s="3"/>
      <c r="BN513" s="3" t="s">
        <v>1347</v>
      </c>
    </row>
    <row r="514" spans="2:66" ht="13" customHeight="1">
      <c r="B514" s="1348" t="s">
        <v>1348</v>
      </c>
      <c r="C514" s="1349"/>
      <c r="D514" s="1349"/>
      <c r="E514" s="1349"/>
      <c r="F514" s="1349"/>
      <c r="G514" s="1349"/>
      <c r="H514" s="1350"/>
      <c r="I514" s="34" t="s">
        <v>1349</v>
      </c>
      <c r="J514" s="34"/>
      <c r="K514" s="34"/>
      <c r="L514" s="34"/>
      <c r="M514" s="34"/>
      <c r="N514" s="34"/>
      <c r="O514" s="34"/>
      <c r="P514" s="34"/>
      <c r="Q514" s="34"/>
      <c r="R514" s="34"/>
      <c r="S514" s="34"/>
      <c r="T514" s="34"/>
      <c r="U514" s="34"/>
      <c r="V514" s="34"/>
      <c r="W514" s="34"/>
      <c r="AC514" s="1343">
        <v>8</v>
      </c>
      <c r="AD514" s="1344"/>
      <c r="AE514" s="1344"/>
      <c r="AF514" s="1344"/>
      <c r="AG514" s="12" t="s">
        <v>1332</v>
      </c>
      <c r="AH514" s="1379">
        <v>2025</v>
      </c>
      <c r="AI514" s="1379"/>
      <c r="AJ514" s="1379"/>
      <c r="AK514" s="1380"/>
      <c r="AZ514" s="3"/>
      <c r="BA514" s="3"/>
      <c r="BB514" s="3"/>
      <c r="BC514" s="3"/>
      <c r="BD514" s="3"/>
      <c r="BE514" s="3"/>
      <c r="BF514" s="3"/>
      <c r="BG514" s="3"/>
      <c r="BH514" s="3"/>
      <c r="BI514" s="3"/>
      <c r="BJ514" s="3"/>
      <c r="BK514" s="3"/>
      <c r="BL514" s="3"/>
      <c r="BM514" s="3"/>
      <c r="BN514" s="3" t="s">
        <v>1350</v>
      </c>
    </row>
    <row r="515" spans="2:66" ht="13" customHeight="1">
      <c r="B515" s="1351"/>
      <c r="C515" s="1352"/>
      <c r="D515" s="1352"/>
      <c r="E515" s="1352"/>
      <c r="F515" s="1352"/>
      <c r="G515" s="1352"/>
      <c r="H515" s="1353"/>
      <c r="I515" t="s">
        <v>1351</v>
      </c>
      <c r="AC515" s="1343">
        <v>9</v>
      </c>
      <c r="AD515" s="1344"/>
      <c r="AE515" s="1344"/>
      <c r="AF515" s="1344"/>
      <c r="AG515" s="12" t="s">
        <v>1332</v>
      </c>
      <c r="AH515" s="1379">
        <v>2025</v>
      </c>
      <c r="AI515" s="1379"/>
      <c r="AJ515" s="1379"/>
      <c r="AK515" s="1380"/>
      <c r="AZ515" s="3"/>
      <c r="BA515" s="3"/>
      <c r="BB515" s="3"/>
      <c r="BC515" s="3"/>
      <c r="BD515" s="3"/>
      <c r="BE515" s="3"/>
      <c r="BF515" s="3"/>
      <c r="BG515" s="3"/>
      <c r="BH515" s="3"/>
      <c r="BI515" s="3"/>
      <c r="BJ515" s="3"/>
      <c r="BK515" s="3"/>
      <c r="BL515" s="3"/>
      <c r="BM515" s="3"/>
      <c r="BN515" s="3" t="s">
        <v>1352</v>
      </c>
    </row>
    <row r="516" spans="2:66" ht="13" customHeight="1">
      <c r="B516" s="1351"/>
      <c r="C516" s="1352"/>
      <c r="D516" s="1352"/>
      <c r="E516" s="1352"/>
      <c r="F516" s="1352"/>
      <c r="G516" s="1352"/>
      <c r="H516" s="1353"/>
      <c r="I516" s="40" t="s">
        <v>1353</v>
      </c>
      <c r="J516" s="40"/>
      <c r="K516" s="40"/>
      <c r="L516" s="40"/>
      <c r="M516" s="40"/>
      <c r="N516" s="40"/>
      <c r="O516" s="40"/>
      <c r="P516" s="40"/>
      <c r="Q516" s="40"/>
      <c r="R516" s="40"/>
      <c r="S516" s="40"/>
      <c r="T516" s="40"/>
      <c r="U516" s="40"/>
      <c r="V516" s="40"/>
      <c r="W516" s="40"/>
      <c r="X516" s="40"/>
      <c r="Y516" s="40"/>
      <c r="Z516" s="40"/>
      <c r="AA516" s="40"/>
      <c r="AB516" s="40"/>
      <c r="AC516" s="1343">
        <v>5</v>
      </c>
      <c r="AD516" s="1344"/>
      <c r="AE516" s="1344"/>
      <c r="AF516" s="1344"/>
      <c r="AG516" s="30" t="s">
        <v>1332</v>
      </c>
      <c r="AH516" s="1379">
        <v>2026</v>
      </c>
      <c r="AI516" s="1379"/>
      <c r="AJ516" s="1379"/>
      <c r="AK516" s="1380"/>
      <c r="AZ516" s="3"/>
      <c r="BA516" s="3"/>
      <c r="BB516" s="3"/>
      <c r="BC516" s="3"/>
      <c r="BD516" s="3"/>
      <c r="BE516" s="3"/>
      <c r="BF516" s="3"/>
      <c r="BG516" s="3"/>
      <c r="BH516" s="3"/>
      <c r="BI516" s="3"/>
      <c r="BJ516" s="3"/>
      <c r="BK516" s="3"/>
      <c r="BL516" s="3"/>
      <c r="BM516" s="3"/>
      <c r="BN516" s="3" t="s">
        <v>1354</v>
      </c>
    </row>
    <row r="517" spans="2:66" ht="13" customHeight="1">
      <c r="B517" s="1348" t="s">
        <v>1355</v>
      </c>
      <c r="C517" s="1349"/>
      <c r="D517" s="1349"/>
      <c r="E517" s="1349"/>
      <c r="F517" s="1349"/>
      <c r="G517" s="1349"/>
      <c r="H517" s="1350"/>
      <c r="I517" s="34" t="s">
        <v>1349</v>
      </c>
      <c r="J517" s="34"/>
      <c r="K517" s="34"/>
      <c r="L517" s="34"/>
      <c r="M517" s="34"/>
      <c r="N517" s="34"/>
      <c r="O517" s="34"/>
      <c r="P517" s="34"/>
      <c r="Q517" s="34"/>
      <c r="R517" s="34"/>
      <c r="S517" s="34"/>
      <c r="T517" s="34"/>
      <c r="U517" s="34"/>
      <c r="V517" s="34"/>
      <c r="W517" s="34"/>
      <c r="X517" s="34"/>
      <c r="Y517" s="34"/>
      <c r="Z517" s="34"/>
      <c r="AA517" s="34"/>
      <c r="AB517" s="34"/>
      <c r="AC517" s="1310">
        <v>8</v>
      </c>
      <c r="AD517" s="1311"/>
      <c r="AE517" s="1311"/>
      <c r="AF517" s="1311"/>
      <c r="AG517" s="94" t="s">
        <v>1332</v>
      </c>
      <c r="AH517" s="1379">
        <v>2025</v>
      </c>
      <c r="AI517" s="1379"/>
      <c r="AJ517" s="1379"/>
      <c r="AK517" s="1380"/>
      <c r="AZ517" s="3"/>
      <c r="BB517" s="3"/>
      <c r="BC517" s="3"/>
      <c r="BD517" s="3"/>
      <c r="BE517" s="3"/>
      <c r="BF517" s="3"/>
      <c r="BG517" s="3"/>
      <c r="BH517" s="3"/>
      <c r="BI517" s="3"/>
      <c r="BJ517" s="3"/>
      <c r="BK517" s="3"/>
      <c r="BL517" s="3"/>
      <c r="BM517" s="3"/>
      <c r="BN517" s="3" t="s">
        <v>1356</v>
      </c>
    </row>
    <row r="518" spans="2:66" ht="13" customHeight="1">
      <c r="B518" s="1351"/>
      <c r="C518" s="1352"/>
      <c r="D518" s="1352"/>
      <c r="E518" s="1352"/>
      <c r="F518" s="1352"/>
      <c r="G518" s="1352"/>
      <c r="H518" s="1353"/>
      <c r="I518" t="s">
        <v>1351</v>
      </c>
      <c r="AC518" s="1343">
        <v>9</v>
      </c>
      <c r="AD518" s="1344"/>
      <c r="AE518" s="1344"/>
      <c r="AF518" s="1344"/>
      <c r="AG518" s="12" t="s">
        <v>1332</v>
      </c>
      <c r="AH518" s="1379">
        <v>2025</v>
      </c>
      <c r="AI518" s="1379"/>
      <c r="AJ518" s="1379"/>
      <c r="AK518" s="1380"/>
      <c r="BB518" s="3"/>
      <c r="BC518" s="3"/>
      <c r="BD518" s="3"/>
      <c r="BE518" s="3"/>
      <c r="BF518" s="3"/>
      <c r="BG518" s="3"/>
      <c r="BH518" s="3"/>
      <c r="BI518" s="3"/>
      <c r="BJ518" s="3"/>
      <c r="BK518" s="3"/>
      <c r="BL518" s="3"/>
      <c r="BM518" s="3"/>
      <c r="BN518" s="3" t="s">
        <v>1357</v>
      </c>
    </row>
    <row r="519" spans="2:66" ht="13" customHeight="1">
      <c r="B519" s="1354"/>
      <c r="C519" s="1355"/>
      <c r="D519" s="1355"/>
      <c r="E519" s="1355"/>
      <c r="F519" s="1355"/>
      <c r="G519" s="1355"/>
      <c r="H519" s="1356"/>
      <c r="I519" s="40" t="s">
        <v>1353</v>
      </c>
      <c r="J519" s="40"/>
      <c r="K519" s="40"/>
      <c r="L519" s="40"/>
      <c r="M519" s="40"/>
      <c r="N519" s="40"/>
      <c r="O519" s="40"/>
      <c r="P519" s="40"/>
      <c r="Q519" s="40"/>
      <c r="R519" s="40"/>
      <c r="S519" s="40"/>
      <c r="T519" s="40"/>
      <c r="U519" s="40"/>
      <c r="V519" s="40"/>
      <c r="W519" s="40"/>
      <c r="X519" s="40"/>
      <c r="Y519" s="40"/>
      <c r="Z519" s="40"/>
      <c r="AA519" s="40"/>
      <c r="AB519" s="40"/>
      <c r="AC519" s="1343">
        <v>5</v>
      </c>
      <c r="AD519" s="1344"/>
      <c r="AE519" s="1344"/>
      <c r="AF519" s="1344"/>
      <c r="AG519" s="30" t="s">
        <v>1332</v>
      </c>
      <c r="AH519" s="1379">
        <v>2028</v>
      </c>
      <c r="AI519" s="1379"/>
      <c r="AJ519" s="1379"/>
      <c r="AK519" s="1380"/>
      <c r="BB519" s="3"/>
      <c r="BC519" s="3"/>
      <c r="BD519" s="3"/>
      <c r="BE519" s="3"/>
      <c r="BF519" s="3"/>
      <c r="BG519" s="3"/>
      <c r="BH519" s="3"/>
      <c r="BI519" s="3"/>
      <c r="BJ519" s="3"/>
      <c r="BK519" s="3"/>
      <c r="BL519" s="3"/>
      <c r="BM519" s="3"/>
      <c r="BN519" s="3" t="s">
        <v>1358</v>
      </c>
    </row>
    <row r="520" spans="2:66" ht="13" customHeight="1">
      <c r="B520" s="1348" t="s">
        <v>1359</v>
      </c>
      <c r="C520" s="1349"/>
      <c r="D520" s="1349"/>
      <c r="E520" s="1349"/>
      <c r="F520" s="1349"/>
      <c r="G520" s="1349"/>
      <c r="H520" s="1350"/>
      <c r="I520" s="33" t="s">
        <v>1360</v>
      </c>
      <c r="J520" s="34"/>
      <c r="K520" s="34"/>
      <c r="L520" s="34"/>
      <c r="M520" s="34"/>
      <c r="N520" s="34"/>
      <c r="O520" s="1385" t="s">
        <v>1261</v>
      </c>
      <c r="P520" s="1386"/>
      <c r="Q520" s="1386"/>
      <c r="R520" s="1386"/>
      <c r="S520" s="1386"/>
      <c r="T520" s="1386"/>
      <c r="U520" s="1386"/>
      <c r="V520" s="1386"/>
      <c r="W520" s="1386"/>
      <c r="X520" s="1386"/>
      <c r="Y520" s="1386"/>
      <c r="Z520" s="1386"/>
      <c r="AA520" s="1386"/>
      <c r="AB520" s="50"/>
      <c r="AC520" s="1310" t="s">
        <v>807</v>
      </c>
      <c r="AD520" s="1311"/>
      <c r="AE520" s="1311"/>
      <c r="AF520" s="1311"/>
      <c r="AG520" s="94" t="s">
        <v>1332</v>
      </c>
      <c r="AH520" s="1379"/>
      <c r="AI520" s="1379"/>
      <c r="AJ520" s="1379"/>
      <c r="AK520" s="1380"/>
      <c r="AZ520" s="3"/>
      <c r="BB520" s="3"/>
      <c r="BC520" s="3"/>
      <c r="BD520" s="3"/>
      <c r="BE520" s="3"/>
      <c r="BF520" s="3"/>
      <c r="BG520" s="3"/>
      <c r="BH520" s="3"/>
      <c r="BI520" s="3"/>
      <c r="BJ520" s="3"/>
      <c r="BK520" s="3"/>
      <c r="BL520" s="3"/>
      <c r="BM520" s="3"/>
      <c r="BN520" s="3" t="s">
        <v>1361</v>
      </c>
    </row>
    <row r="521" spans="2:66" ht="13" customHeight="1">
      <c r="B521" s="1351"/>
      <c r="C521" s="1352"/>
      <c r="D521" s="1352"/>
      <c r="E521" s="1352"/>
      <c r="F521" s="1352"/>
      <c r="G521" s="1352"/>
      <c r="H521" s="1353"/>
      <c r="I521" s="82" t="s">
        <v>44</v>
      </c>
      <c r="AB521" s="56"/>
      <c r="AC521" s="1343" t="s">
        <v>807</v>
      </c>
      <c r="AD521" s="1344"/>
      <c r="AE521" s="1344"/>
      <c r="AF521" s="1344"/>
      <c r="AG521" s="12" t="s">
        <v>1332</v>
      </c>
      <c r="AH521" s="1379"/>
      <c r="AI521" s="1379"/>
      <c r="AJ521" s="1379"/>
      <c r="AK521" s="1380"/>
      <c r="AZ521" s="3"/>
      <c r="BB521" s="3"/>
      <c r="BC521" s="3"/>
      <c r="BD521" s="3"/>
      <c r="BE521" s="3"/>
      <c r="BF521" s="3"/>
      <c r="BG521" s="3"/>
      <c r="BH521" s="3"/>
      <c r="BI521" s="3"/>
      <c r="BJ521" s="3"/>
      <c r="BK521" s="3"/>
      <c r="BL521" s="3"/>
      <c r="BM521" s="3"/>
      <c r="BN521" s="3" t="s">
        <v>1362</v>
      </c>
    </row>
    <row r="522" spans="2:66" ht="13" customHeight="1">
      <c r="B522" s="1351"/>
      <c r="C522" s="1352"/>
      <c r="D522" s="1352"/>
      <c r="E522" s="1352"/>
      <c r="F522" s="1352"/>
      <c r="G522" s="1352"/>
      <c r="H522" s="1353"/>
      <c r="I522" s="39" t="s">
        <v>1363</v>
      </c>
      <c r="J522" s="40"/>
      <c r="K522" s="40"/>
      <c r="L522" s="40"/>
      <c r="M522" s="40"/>
      <c r="N522" s="40"/>
      <c r="O522" s="40"/>
      <c r="P522" s="40"/>
      <c r="Q522" s="40"/>
      <c r="R522" s="40"/>
      <c r="S522" s="40"/>
      <c r="T522" s="40"/>
      <c r="U522" s="40"/>
      <c r="V522" s="40"/>
      <c r="W522" s="40"/>
      <c r="X522" s="40"/>
      <c r="Y522" s="40"/>
      <c r="Z522" s="40"/>
      <c r="AA522" s="40"/>
      <c r="AB522" s="41"/>
      <c r="AC522" s="1343" t="s">
        <v>807</v>
      </c>
      <c r="AD522" s="1344"/>
      <c r="AE522" s="1344"/>
      <c r="AF522" s="1344"/>
      <c r="AG522" s="30" t="s">
        <v>1332</v>
      </c>
      <c r="AH522" s="1379"/>
      <c r="AI522" s="1379"/>
      <c r="AJ522" s="1379"/>
      <c r="AK522" s="1380"/>
      <c r="AZ522" s="3"/>
      <c r="BA522" s="3"/>
      <c r="BB522" s="3"/>
      <c r="BC522" s="3"/>
      <c r="BD522" s="3"/>
      <c r="BE522" s="3"/>
      <c r="BF522" s="3"/>
      <c r="BG522" s="3"/>
      <c r="BH522" s="3"/>
      <c r="BI522" s="3"/>
      <c r="BJ522" s="3"/>
      <c r="BK522" s="3"/>
      <c r="BL522" s="3"/>
      <c r="BM522" s="3"/>
      <c r="BN522" s="3" t="s">
        <v>1364</v>
      </c>
    </row>
    <row r="523" spans="2:66" ht="13" customHeight="1">
      <c r="B523" s="1351"/>
      <c r="C523" s="1352"/>
      <c r="D523" s="1352"/>
      <c r="E523" s="1352"/>
      <c r="F523" s="1352"/>
      <c r="G523" s="1352"/>
      <c r="H523" s="1353"/>
      <c r="I523" s="34" t="s">
        <v>1365</v>
      </c>
      <c r="J523" s="34"/>
      <c r="K523" s="34"/>
      <c r="L523" s="34"/>
      <c r="M523" s="34"/>
      <c r="N523" s="34"/>
      <c r="O523" s="1385" t="s">
        <v>1261</v>
      </c>
      <c r="P523" s="1386"/>
      <c r="Q523" s="1386"/>
      <c r="R523" s="1386"/>
      <c r="S523" s="1386"/>
      <c r="T523" s="1386"/>
      <c r="U523" s="1386"/>
      <c r="V523" s="1386"/>
      <c r="W523" s="1386"/>
      <c r="X523" s="1386"/>
      <c r="Y523" s="1386"/>
      <c r="Z523" s="1386"/>
      <c r="AA523" s="1386"/>
      <c r="AC523" s="1343" t="s">
        <v>807</v>
      </c>
      <c r="AD523" s="1344"/>
      <c r="AE523" s="1344"/>
      <c r="AF523" s="1344"/>
      <c r="AG523" s="12" t="s">
        <v>1332</v>
      </c>
      <c r="AH523" s="1379"/>
      <c r="AI523" s="1379"/>
      <c r="AJ523" s="1379"/>
      <c r="AK523" s="1380"/>
      <c r="AZ523" s="3"/>
      <c r="BA523" s="3"/>
      <c r="BB523" s="3"/>
      <c r="BC523" s="3"/>
      <c r="BD523" s="3"/>
      <c r="BE523" s="3"/>
      <c r="BF523" s="3"/>
      <c r="BG523" s="3"/>
      <c r="BH523" s="3"/>
      <c r="BI523" s="3"/>
      <c r="BJ523" s="3"/>
      <c r="BK523" s="3"/>
      <c r="BL523" s="3"/>
      <c r="BM523" s="3"/>
      <c r="BN523" s="3" t="s">
        <v>1366</v>
      </c>
    </row>
    <row r="524" spans="2:66" ht="13" customHeight="1">
      <c r="B524" s="1351"/>
      <c r="C524" s="1352"/>
      <c r="D524" s="1352"/>
      <c r="E524" s="1352"/>
      <c r="F524" s="1352"/>
      <c r="G524" s="1352"/>
      <c r="H524" s="1353"/>
      <c r="I524" t="s">
        <v>44</v>
      </c>
      <c r="AC524" s="1343" t="s">
        <v>807</v>
      </c>
      <c r="AD524" s="1344"/>
      <c r="AE524" s="1344"/>
      <c r="AF524" s="1344"/>
      <c r="AG524" s="12" t="s">
        <v>1332</v>
      </c>
      <c r="AH524" s="1379"/>
      <c r="AI524" s="1379"/>
      <c r="AJ524" s="1379"/>
      <c r="AK524" s="1380"/>
      <c r="AZ524" s="3"/>
      <c r="BA524" s="3"/>
      <c r="BB524" s="3"/>
      <c r="BC524" s="3"/>
      <c r="BD524" s="3"/>
      <c r="BE524" s="3"/>
      <c r="BF524" s="3"/>
      <c r="BG524" s="3"/>
      <c r="BH524" s="3"/>
      <c r="BI524" s="3"/>
      <c r="BJ524" s="3"/>
      <c r="BK524" s="3"/>
      <c r="BL524" s="3"/>
      <c r="BM524" s="3"/>
      <c r="BN524" s="3" t="s">
        <v>1367</v>
      </c>
    </row>
    <row r="525" spans="2:66" ht="13" customHeight="1">
      <c r="B525" s="1351"/>
      <c r="C525" s="1352"/>
      <c r="D525" s="1352"/>
      <c r="E525" s="1352"/>
      <c r="F525" s="1352"/>
      <c r="G525" s="1352"/>
      <c r="H525" s="1353"/>
      <c r="I525" s="40" t="s">
        <v>1363</v>
      </c>
      <c r="J525" s="40"/>
      <c r="K525" s="40"/>
      <c r="L525" s="40"/>
      <c r="M525" s="40"/>
      <c r="N525" s="40"/>
      <c r="O525" s="40"/>
      <c r="P525" s="40"/>
      <c r="Q525" s="40"/>
      <c r="R525" s="40"/>
      <c r="S525" s="40"/>
      <c r="T525" s="40"/>
      <c r="U525" s="40"/>
      <c r="V525" s="40"/>
      <c r="W525" s="40"/>
      <c r="X525" s="40"/>
      <c r="Y525" s="40"/>
      <c r="Z525" s="40"/>
      <c r="AA525" s="40"/>
      <c r="AB525" s="40"/>
      <c r="AC525" s="1343" t="s">
        <v>807</v>
      </c>
      <c r="AD525" s="1344"/>
      <c r="AE525" s="1344"/>
      <c r="AF525" s="1344"/>
      <c r="AG525" s="30" t="s">
        <v>1332</v>
      </c>
      <c r="AH525" s="1379"/>
      <c r="AI525" s="1379"/>
      <c r="AJ525" s="1379"/>
      <c r="AK525" s="1380"/>
      <c r="AZ525" s="3"/>
      <c r="BA525" s="3"/>
      <c r="BB525" s="3"/>
      <c r="BC525" s="3"/>
      <c r="BD525" s="3"/>
      <c r="BE525" s="3"/>
      <c r="BF525" s="3"/>
      <c r="BG525" s="3"/>
      <c r="BH525" s="3"/>
      <c r="BI525" s="3"/>
      <c r="BJ525" s="3"/>
      <c r="BK525" s="3"/>
      <c r="BL525" s="3"/>
      <c r="BM525" s="3"/>
      <c r="BN525" s="3" t="s">
        <v>1368</v>
      </c>
    </row>
    <row r="526" spans="2:66" ht="13" customHeight="1">
      <c r="B526" s="1351"/>
      <c r="C526" s="1352"/>
      <c r="D526" s="1352"/>
      <c r="E526" s="1352"/>
      <c r="F526" s="1352"/>
      <c r="G526" s="1352"/>
      <c r="H526" s="1353"/>
      <c r="I526" s="34" t="s">
        <v>1365</v>
      </c>
      <c r="J526" s="34"/>
      <c r="K526" s="34"/>
      <c r="L526" s="34"/>
      <c r="M526" s="34"/>
      <c r="N526" s="34"/>
      <c r="O526" s="1385" t="s">
        <v>1261</v>
      </c>
      <c r="P526" s="1386"/>
      <c r="Q526" s="1386"/>
      <c r="R526" s="1386"/>
      <c r="S526" s="1386"/>
      <c r="T526" s="1386"/>
      <c r="U526" s="1386"/>
      <c r="V526" s="1386"/>
      <c r="W526" s="1386"/>
      <c r="X526" s="1386"/>
      <c r="Y526" s="1386"/>
      <c r="Z526" s="1386"/>
      <c r="AA526" s="1386"/>
      <c r="AC526" s="1343" t="s">
        <v>807</v>
      </c>
      <c r="AD526" s="1344"/>
      <c r="AE526" s="1344"/>
      <c r="AF526" s="1344"/>
      <c r="AG526" s="12" t="s">
        <v>1332</v>
      </c>
      <c r="AH526" s="1379"/>
      <c r="AI526" s="1379"/>
      <c r="AJ526" s="1379"/>
      <c r="AK526" s="1380"/>
      <c r="AZ526" s="3"/>
      <c r="BA526" s="3"/>
      <c r="BB526" s="3"/>
      <c r="BC526" s="3"/>
      <c r="BD526" s="3"/>
      <c r="BE526" s="3"/>
      <c r="BF526" s="3"/>
      <c r="BG526" s="3"/>
      <c r="BH526" s="3"/>
      <c r="BI526" s="3"/>
      <c r="BJ526" s="3"/>
      <c r="BK526" s="3"/>
      <c r="BL526" s="3"/>
      <c r="BM526" s="3"/>
      <c r="BN526" s="3" t="s">
        <v>1369</v>
      </c>
    </row>
    <row r="527" spans="2:66" ht="13" customHeight="1">
      <c r="B527" s="1351"/>
      <c r="C527" s="1352"/>
      <c r="D527" s="1352"/>
      <c r="E527" s="1352"/>
      <c r="F527" s="1352"/>
      <c r="G527" s="1352"/>
      <c r="H527" s="1353"/>
      <c r="I527" t="s">
        <v>44</v>
      </c>
      <c r="AC527" s="1343" t="s">
        <v>807</v>
      </c>
      <c r="AD527" s="1344"/>
      <c r="AE527" s="1344"/>
      <c r="AF527" s="1344"/>
      <c r="AG527" s="12" t="s">
        <v>1332</v>
      </c>
      <c r="AH527" s="1379"/>
      <c r="AI527" s="1379"/>
      <c r="AJ527" s="1379"/>
      <c r="AK527" s="1380"/>
      <c r="AZ527" s="3"/>
      <c r="BA527" s="3"/>
      <c r="BB527" s="3"/>
      <c r="BC527" s="3"/>
      <c r="BD527" s="3"/>
      <c r="BE527" s="3"/>
      <c r="BF527" s="3"/>
      <c r="BG527" s="3"/>
      <c r="BH527" s="3"/>
      <c r="BI527" s="3"/>
      <c r="BJ527" s="3"/>
      <c r="BK527" s="3"/>
      <c r="BL527" s="3"/>
      <c r="BM527" s="3"/>
      <c r="BN527" s="3" t="s">
        <v>1370</v>
      </c>
    </row>
    <row r="528" spans="2:66" ht="13" customHeight="1">
      <c r="B528" s="1351"/>
      <c r="C528" s="1352"/>
      <c r="D528" s="1352"/>
      <c r="E528" s="1352"/>
      <c r="F528" s="1352"/>
      <c r="G528" s="1352"/>
      <c r="H528" s="1353"/>
      <c r="I528" s="40" t="s">
        <v>1363</v>
      </c>
      <c r="J528" s="40"/>
      <c r="K528" s="40"/>
      <c r="L528" s="40"/>
      <c r="M528" s="40"/>
      <c r="N528" s="40"/>
      <c r="O528" s="40"/>
      <c r="P528" s="40"/>
      <c r="Q528" s="40"/>
      <c r="R528" s="40"/>
      <c r="S528" s="40"/>
      <c r="T528" s="40"/>
      <c r="U528" s="40"/>
      <c r="V528" s="40"/>
      <c r="W528" s="40"/>
      <c r="X528" s="40"/>
      <c r="Y528" s="40"/>
      <c r="Z528" s="40"/>
      <c r="AA528" s="40"/>
      <c r="AB528" s="40"/>
      <c r="AC528" s="1343" t="s">
        <v>807</v>
      </c>
      <c r="AD528" s="1344"/>
      <c r="AE528" s="1344"/>
      <c r="AF528" s="1344"/>
      <c r="AG528" s="30" t="s">
        <v>1332</v>
      </c>
      <c r="AH528" s="1379"/>
      <c r="AI528" s="1379"/>
      <c r="AJ528" s="1379"/>
      <c r="AK528" s="1380"/>
      <c r="AZ528" s="3"/>
      <c r="BA528" s="3"/>
      <c r="BB528" s="3"/>
      <c r="BC528" s="3"/>
      <c r="BD528" s="3"/>
      <c r="BE528" s="3"/>
      <c r="BF528" s="3"/>
      <c r="BG528" s="3"/>
      <c r="BH528" s="3"/>
      <c r="BI528" s="3"/>
      <c r="BJ528" s="3"/>
      <c r="BK528" s="3"/>
      <c r="BL528" s="3"/>
      <c r="BM528" s="3"/>
      <c r="BN528" s="3" t="s">
        <v>1371</v>
      </c>
    </row>
    <row r="529" spans="1:66" ht="13" customHeight="1">
      <c r="B529" s="1351"/>
      <c r="C529" s="1352"/>
      <c r="D529" s="1352"/>
      <c r="E529" s="1352"/>
      <c r="F529" s="1352"/>
      <c r="G529" s="1352"/>
      <c r="H529" s="1353"/>
      <c r="I529" s="34" t="s">
        <v>1365</v>
      </c>
      <c r="J529" s="34"/>
      <c r="K529" s="34"/>
      <c r="L529" s="34"/>
      <c r="M529" s="34"/>
      <c r="N529" s="34"/>
      <c r="O529" s="1385" t="s">
        <v>1261</v>
      </c>
      <c r="P529" s="1386"/>
      <c r="Q529" s="1386"/>
      <c r="R529" s="1386"/>
      <c r="S529" s="1386"/>
      <c r="T529" s="1386"/>
      <c r="U529" s="1386"/>
      <c r="V529" s="1386"/>
      <c r="W529" s="1386"/>
      <c r="X529" s="1386"/>
      <c r="Y529" s="1386"/>
      <c r="Z529" s="1386"/>
      <c r="AA529" s="1386"/>
      <c r="AC529" s="1343" t="s">
        <v>807</v>
      </c>
      <c r="AD529" s="1344"/>
      <c r="AE529" s="1344"/>
      <c r="AF529" s="1344"/>
      <c r="AG529" s="12" t="s">
        <v>1332</v>
      </c>
      <c r="AH529" s="1379"/>
      <c r="AI529" s="1379"/>
      <c r="AJ529" s="1379"/>
      <c r="AK529" s="1380"/>
      <c r="AZ529" s="3"/>
      <c r="BA529" s="3"/>
      <c r="BB529" s="3"/>
      <c r="BC529" s="3"/>
      <c r="BD529" s="3"/>
      <c r="BE529" s="3"/>
      <c r="BF529" s="3"/>
      <c r="BG529" s="3"/>
      <c r="BH529" s="3"/>
      <c r="BI529" s="3"/>
      <c r="BJ529" s="3"/>
      <c r="BK529" s="3"/>
      <c r="BL529" s="3"/>
      <c r="BM529" s="3"/>
      <c r="BN529" s="3" t="s">
        <v>1372</v>
      </c>
    </row>
    <row r="530" spans="1:66" ht="13" customHeight="1">
      <c r="B530" s="1351"/>
      <c r="C530" s="1352"/>
      <c r="D530" s="1352"/>
      <c r="E530" s="1352"/>
      <c r="F530" s="1352"/>
      <c r="G530" s="1352"/>
      <c r="H530" s="1353"/>
      <c r="I530" t="s">
        <v>44</v>
      </c>
      <c r="AC530" s="1343" t="s">
        <v>807</v>
      </c>
      <c r="AD530" s="1344"/>
      <c r="AE530" s="1344"/>
      <c r="AF530" s="1344"/>
      <c r="AG530" s="12" t="s">
        <v>1332</v>
      </c>
      <c r="AH530" s="1379"/>
      <c r="AI530" s="1379"/>
      <c r="AJ530" s="1379"/>
      <c r="AK530" s="1380"/>
      <c r="AZ530" s="3"/>
      <c r="BA530" s="3"/>
      <c r="BB530" s="3"/>
      <c r="BC530" s="3"/>
      <c r="BD530" s="3"/>
      <c r="BE530" s="3"/>
      <c r="BF530" s="3"/>
      <c r="BG530" s="3"/>
      <c r="BH530" s="3"/>
      <c r="BI530" s="3"/>
      <c r="BJ530" s="3"/>
      <c r="BK530" s="3"/>
      <c r="BL530" s="3"/>
      <c r="BM530" s="3"/>
      <c r="BN530" s="3" t="s">
        <v>1373</v>
      </c>
    </row>
    <row r="531" spans="1:66" ht="13" customHeight="1">
      <c r="B531" s="1351"/>
      <c r="C531" s="1352"/>
      <c r="D531" s="1352"/>
      <c r="E531" s="1352"/>
      <c r="F531" s="1352"/>
      <c r="G531" s="1352"/>
      <c r="H531" s="1353"/>
      <c r="I531" s="40" t="s">
        <v>1363</v>
      </c>
      <c r="J531" s="40"/>
      <c r="K531" s="40"/>
      <c r="L531" s="40"/>
      <c r="M531" s="40"/>
      <c r="N531" s="40"/>
      <c r="O531" s="40"/>
      <c r="P531" s="40"/>
      <c r="Q531" s="40"/>
      <c r="R531" s="40"/>
      <c r="S531" s="40"/>
      <c r="T531" s="40"/>
      <c r="U531" s="40"/>
      <c r="V531" s="40"/>
      <c r="W531" s="40"/>
      <c r="X531" s="40"/>
      <c r="Y531" s="40"/>
      <c r="Z531" s="40"/>
      <c r="AA531" s="40"/>
      <c r="AB531" s="40"/>
      <c r="AC531" s="1343" t="s">
        <v>807</v>
      </c>
      <c r="AD531" s="1344"/>
      <c r="AE531" s="1344"/>
      <c r="AF531" s="1344"/>
      <c r="AG531" s="30" t="s">
        <v>1332</v>
      </c>
      <c r="AH531" s="1379"/>
      <c r="AI531" s="1379"/>
      <c r="AJ531" s="1379"/>
      <c r="AK531" s="1380"/>
      <c r="AZ531" s="3"/>
      <c r="BA531" s="3"/>
      <c r="BB531" s="3"/>
      <c r="BC531" s="3"/>
      <c r="BD531" s="3"/>
      <c r="BE531" s="3"/>
      <c r="BF531" s="3"/>
      <c r="BG531" s="3"/>
      <c r="BH531" s="3"/>
      <c r="BI531" s="3"/>
      <c r="BJ531" s="3"/>
      <c r="BK531" s="3"/>
      <c r="BL531" s="3"/>
      <c r="BM531" s="3"/>
      <c r="BN531" s="3" t="s">
        <v>1374</v>
      </c>
    </row>
    <row r="532" spans="1:66" ht="13" customHeight="1">
      <c r="B532" s="1351"/>
      <c r="C532" s="1352"/>
      <c r="D532" s="1352"/>
      <c r="E532" s="1352"/>
      <c r="F532" s="1352"/>
      <c r="G532" s="1352"/>
      <c r="H532" s="1353"/>
      <c r="I532" s="34" t="s">
        <v>1365</v>
      </c>
      <c r="J532" s="34"/>
      <c r="K532" s="34"/>
      <c r="L532" s="34"/>
      <c r="M532" s="34"/>
      <c r="N532" s="34"/>
      <c r="O532" s="1385" t="s">
        <v>1261</v>
      </c>
      <c r="P532" s="1386"/>
      <c r="Q532" s="1386"/>
      <c r="R532" s="1386"/>
      <c r="S532" s="1386"/>
      <c r="T532" s="1386"/>
      <c r="U532" s="1386"/>
      <c r="V532" s="1386"/>
      <c r="W532" s="1386"/>
      <c r="X532" s="1386"/>
      <c r="Y532" s="1386"/>
      <c r="Z532" s="1386"/>
      <c r="AA532" s="1386"/>
      <c r="AC532" s="1343" t="s">
        <v>807</v>
      </c>
      <c r="AD532" s="1344"/>
      <c r="AE532" s="1344"/>
      <c r="AF532" s="1344"/>
      <c r="AG532" s="12" t="s">
        <v>1332</v>
      </c>
      <c r="AH532" s="1379"/>
      <c r="AI532" s="1379"/>
      <c r="AJ532" s="1379"/>
      <c r="AK532" s="1380"/>
      <c r="AZ532" s="3"/>
      <c r="BA532" s="3"/>
      <c r="BB532" s="3"/>
      <c r="BC532" s="3"/>
      <c r="BD532" s="3"/>
      <c r="BE532" s="3"/>
      <c r="BF532" s="3"/>
      <c r="BG532" s="3"/>
      <c r="BH532" s="3"/>
      <c r="BI532" s="3"/>
      <c r="BJ532" s="3"/>
      <c r="BK532" s="3"/>
      <c r="BL532" s="3"/>
      <c r="BM532" s="3"/>
      <c r="BN532" s="3" t="s">
        <v>1375</v>
      </c>
    </row>
    <row r="533" spans="1:66" ht="13" customHeight="1">
      <c r="B533" s="1351"/>
      <c r="C533" s="1352"/>
      <c r="D533" s="1352"/>
      <c r="E533" s="1352"/>
      <c r="F533" s="1352"/>
      <c r="G533" s="1352"/>
      <c r="H533" s="1353"/>
      <c r="I533" t="s">
        <v>44</v>
      </c>
      <c r="AC533" s="1343" t="s">
        <v>807</v>
      </c>
      <c r="AD533" s="1344"/>
      <c r="AE533" s="1344"/>
      <c r="AF533" s="1344"/>
      <c r="AG533" s="30" t="s">
        <v>1332</v>
      </c>
      <c r="AH533" s="1379"/>
      <c r="AI533" s="1379"/>
      <c r="AJ533" s="1379"/>
      <c r="AK533" s="1380"/>
      <c r="AZ533" s="3"/>
      <c r="BA533" s="3"/>
      <c r="BB533" s="3"/>
      <c r="BC533" s="3"/>
      <c r="BD533" s="3"/>
      <c r="BE533" s="3"/>
      <c r="BF533" s="3"/>
      <c r="BG533" s="3"/>
      <c r="BH533" s="3"/>
      <c r="BI533" s="3"/>
      <c r="BJ533" s="3"/>
      <c r="BK533" s="3"/>
      <c r="BL533" s="3"/>
      <c r="BM533" s="3"/>
      <c r="BN533" s="3" t="s">
        <v>1376</v>
      </c>
    </row>
    <row r="534" spans="1:66" ht="13" customHeight="1">
      <c r="B534" s="1351"/>
      <c r="C534" s="1352"/>
      <c r="D534" s="1352"/>
      <c r="E534" s="1352"/>
      <c r="F534" s="1352"/>
      <c r="G534" s="1352"/>
      <c r="H534" s="1353"/>
      <c r="I534" s="40" t="s">
        <v>1363</v>
      </c>
      <c r="J534" s="40"/>
      <c r="K534" s="40"/>
      <c r="L534" s="40"/>
      <c r="M534" s="40"/>
      <c r="N534" s="40"/>
      <c r="O534" s="40"/>
      <c r="P534" s="40"/>
      <c r="Q534" s="40"/>
      <c r="R534" s="40"/>
      <c r="S534" s="40"/>
      <c r="T534" s="40"/>
      <c r="U534" s="40"/>
      <c r="V534" s="40"/>
      <c r="W534" s="40"/>
      <c r="X534" s="40"/>
      <c r="Y534" s="40"/>
      <c r="Z534" s="40"/>
      <c r="AA534" s="40"/>
      <c r="AB534" s="40"/>
      <c r="AC534" s="1343" t="s">
        <v>807</v>
      </c>
      <c r="AD534" s="1344"/>
      <c r="AE534" s="1344"/>
      <c r="AF534" s="1344"/>
      <c r="AG534" s="12" t="s">
        <v>1332</v>
      </c>
      <c r="AH534" s="1379"/>
      <c r="AI534" s="1379"/>
      <c r="AJ534" s="1379"/>
      <c r="AK534" s="1380"/>
      <c r="AZ534" s="3"/>
      <c r="BA534" s="3"/>
      <c r="BB534" s="3"/>
      <c r="BC534" s="3"/>
      <c r="BD534" s="3"/>
      <c r="BE534" s="3"/>
      <c r="BF534" s="3"/>
      <c r="BG534" s="3"/>
      <c r="BH534" s="3"/>
      <c r="BI534" s="3"/>
      <c r="BJ534" s="3"/>
      <c r="BK534" s="3"/>
      <c r="BL534" s="3"/>
      <c r="BM534" s="3"/>
      <c r="BN534" s="3" t="s">
        <v>1377</v>
      </c>
    </row>
    <row r="535" spans="1:66" ht="13" customHeight="1">
      <c r="B535" s="1351"/>
      <c r="C535" s="1352"/>
      <c r="D535" s="1352"/>
      <c r="E535" s="1352"/>
      <c r="F535" s="1352"/>
      <c r="G535" s="1352"/>
      <c r="H535" s="1353"/>
      <c r="I535" s="34" t="s">
        <v>1365</v>
      </c>
      <c r="J535" s="34"/>
      <c r="K535" s="34"/>
      <c r="L535" s="34"/>
      <c r="M535" s="34"/>
      <c r="N535" s="34"/>
      <c r="O535" s="1385" t="s">
        <v>1261</v>
      </c>
      <c r="P535" s="1386"/>
      <c r="Q535" s="1386"/>
      <c r="R535" s="1386"/>
      <c r="S535" s="1386"/>
      <c r="T535" s="1386"/>
      <c r="U535" s="1386"/>
      <c r="V535" s="1386"/>
      <c r="W535" s="1386"/>
      <c r="X535" s="1386"/>
      <c r="Y535" s="1386"/>
      <c r="Z535" s="1386"/>
      <c r="AA535" s="1386"/>
      <c r="AC535" s="1343" t="s">
        <v>807</v>
      </c>
      <c r="AD535" s="1344"/>
      <c r="AE535" s="1344"/>
      <c r="AF535" s="1344"/>
      <c r="AG535" s="30" t="s">
        <v>1332</v>
      </c>
      <c r="AH535" s="1379"/>
      <c r="AI535" s="1379"/>
      <c r="AJ535" s="1379"/>
      <c r="AK535" s="1380"/>
      <c r="AZ535" s="3"/>
      <c r="BA535" s="3"/>
      <c r="BB535" s="3"/>
      <c r="BC535" s="3"/>
      <c r="BD535" s="3"/>
      <c r="BE535" s="3"/>
      <c r="BF535" s="3"/>
      <c r="BG535" s="3"/>
      <c r="BH535" s="3"/>
      <c r="BI535" s="3"/>
      <c r="BJ535" s="3"/>
      <c r="BK535" s="3"/>
      <c r="BL535" s="3"/>
      <c r="BM535" s="3"/>
      <c r="BN535" s="3" t="s">
        <v>1378</v>
      </c>
    </row>
    <row r="536" spans="1:66" ht="13" customHeight="1">
      <c r="B536" s="1351"/>
      <c r="C536" s="1352"/>
      <c r="D536" s="1352"/>
      <c r="E536" s="1352"/>
      <c r="F536" s="1352"/>
      <c r="G536" s="1352"/>
      <c r="H536" s="1353"/>
      <c r="I536" t="s">
        <v>44</v>
      </c>
      <c r="AC536" s="1343" t="s">
        <v>807</v>
      </c>
      <c r="AD536" s="1344"/>
      <c r="AE536" s="1344"/>
      <c r="AF536" s="1344"/>
      <c r="AG536" s="12" t="s">
        <v>1332</v>
      </c>
      <c r="AH536" s="1379"/>
      <c r="AI536" s="1379"/>
      <c r="AJ536" s="1379"/>
      <c r="AK536" s="1380"/>
      <c r="AZ536" s="3"/>
      <c r="BA536" s="3"/>
      <c r="BB536" s="3"/>
      <c r="BC536" s="3"/>
      <c r="BD536" s="3"/>
      <c r="BE536" s="3"/>
      <c r="BF536" s="3"/>
      <c r="BG536" s="3"/>
      <c r="BH536" s="3"/>
      <c r="BI536" s="3"/>
      <c r="BJ536" s="3"/>
      <c r="BK536" s="3"/>
      <c r="BL536" s="3"/>
      <c r="BM536" s="3"/>
      <c r="BN536" s="3" t="s">
        <v>1379</v>
      </c>
    </row>
    <row r="537" spans="1:66" ht="13" customHeight="1">
      <c r="B537" s="1351"/>
      <c r="C537" s="1352"/>
      <c r="D537" s="1352"/>
      <c r="E537" s="1352"/>
      <c r="F537" s="1352"/>
      <c r="G537" s="1352"/>
      <c r="H537" s="1353"/>
      <c r="I537" s="40" t="s">
        <v>1363</v>
      </c>
      <c r="J537" s="40"/>
      <c r="K537" s="40"/>
      <c r="L537" s="40"/>
      <c r="M537" s="40"/>
      <c r="N537" s="40"/>
      <c r="O537" s="40"/>
      <c r="P537" s="40"/>
      <c r="Q537" s="40"/>
      <c r="R537" s="40"/>
      <c r="S537" s="40"/>
      <c r="T537" s="40"/>
      <c r="U537" s="40"/>
      <c r="V537" s="40"/>
      <c r="W537" s="40"/>
      <c r="X537" s="40"/>
      <c r="Y537" s="40"/>
      <c r="Z537" s="40"/>
      <c r="AA537" s="40"/>
      <c r="AB537" s="40"/>
      <c r="AC537" s="1343" t="s">
        <v>807</v>
      </c>
      <c r="AD537" s="1344"/>
      <c r="AE537" s="1344"/>
      <c r="AF537" s="1344"/>
      <c r="AG537" s="30" t="s">
        <v>1332</v>
      </c>
      <c r="AH537" s="1379"/>
      <c r="AI537" s="1379"/>
      <c r="AJ537" s="1379"/>
      <c r="AK537" s="1380"/>
      <c r="AZ537" s="3"/>
      <c r="BA537" s="3"/>
      <c r="BB537" s="3"/>
      <c r="BC537" s="3"/>
      <c r="BD537" s="3"/>
      <c r="BE537" s="3"/>
      <c r="BF537" s="3"/>
      <c r="BG537" s="3"/>
      <c r="BH537" s="3"/>
      <c r="BI537" s="3"/>
      <c r="BJ537" s="3"/>
      <c r="BK537" s="3"/>
      <c r="BL537" s="3"/>
      <c r="BM537" s="3"/>
      <c r="BN537" s="3" t="s">
        <v>1380</v>
      </c>
    </row>
    <row r="538" spans="1:66" ht="13" customHeight="1">
      <c r="B538" s="1351"/>
      <c r="C538" s="1352"/>
      <c r="D538" s="1352"/>
      <c r="E538" s="1352"/>
      <c r="F538" s="1352"/>
      <c r="G538" s="1352"/>
      <c r="H538" s="1353"/>
      <c r="I538" s="34" t="s">
        <v>1381</v>
      </c>
      <c r="J538" s="34"/>
      <c r="K538" s="34"/>
      <c r="L538" s="34"/>
      <c r="M538" s="34"/>
      <c r="N538" s="34"/>
      <c r="O538" s="34"/>
      <c r="P538" s="34"/>
      <c r="Q538" s="34"/>
      <c r="R538" s="34"/>
      <c r="S538" s="34"/>
      <c r="T538" s="34"/>
      <c r="U538" s="34"/>
      <c r="V538" s="34"/>
      <c r="W538" s="34"/>
      <c r="AC538" s="1343">
        <v>5</v>
      </c>
      <c r="AD538" s="1344"/>
      <c r="AE538" s="1344"/>
      <c r="AF538" s="1344"/>
      <c r="AG538" s="30" t="s">
        <v>1332</v>
      </c>
      <c r="AH538" s="1379">
        <v>2026</v>
      </c>
      <c r="AI538" s="1379"/>
      <c r="AJ538" s="1379"/>
      <c r="AK538" s="1380"/>
      <c r="AZ538" s="3"/>
      <c r="BA538" s="3"/>
      <c r="BB538" s="3"/>
      <c r="BC538" s="3"/>
      <c r="BD538" s="3"/>
      <c r="BE538" s="3"/>
      <c r="BF538" s="3"/>
      <c r="BG538" s="3"/>
      <c r="BH538" s="3"/>
      <c r="BI538" s="3"/>
      <c r="BJ538" s="3"/>
      <c r="BK538" s="3"/>
      <c r="BL538" s="3"/>
      <c r="BM538" s="3"/>
      <c r="BN538" s="3"/>
    </row>
    <row r="539" spans="1:66" ht="13" customHeight="1">
      <c r="B539" s="1351"/>
      <c r="C539" s="1352"/>
      <c r="D539" s="1352"/>
      <c r="E539" s="1352"/>
      <c r="F539" s="1352"/>
      <c r="G539" s="1352"/>
      <c r="H539" s="1353"/>
      <c r="I539" t="s">
        <v>1382</v>
      </c>
      <c r="AC539" s="1343">
        <v>5</v>
      </c>
      <c r="AD539" s="1344"/>
      <c r="AE539" s="1344"/>
      <c r="AF539" s="1344"/>
      <c r="AG539" s="12" t="s">
        <v>1332</v>
      </c>
      <c r="AH539" s="1379">
        <v>2026</v>
      </c>
      <c r="AI539" s="1379"/>
      <c r="AJ539" s="1379"/>
      <c r="AK539" s="1380"/>
      <c r="AZ539" s="3"/>
      <c r="BA539" s="3"/>
      <c r="BB539" s="3"/>
      <c r="BC539" s="3"/>
      <c r="BD539" s="3"/>
      <c r="BE539" s="3"/>
      <c r="BF539" s="3"/>
      <c r="BG539" s="3"/>
      <c r="BH539" s="3"/>
      <c r="BI539" s="3"/>
      <c r="BJ539" s="3"/>
      <c r="BK539" s="3"/>
      <c r="BL539" s="3"/>
      <c r="BM539" s="3"/>
      <c r="BN539" s="3"/>
    </row>
    <row r="540" spans="1:66" ht="13" customHeight="1">
      <c r="B540" s="1351"/>
      <c r="C540" s="1352"/>
      <c r="D540" s="1352"/>
      <c r="E540" s="1352"/>
      <c r="F540" s="1352"/>
      <c r="G540" s="1352"/>
      <c r="H540" s="1353"/>
      <c r="I540" t="s">
        <v>1383</v>
      </c>
      <c r="AC540" s="1343">
        <v>1</v>
      </c>
      <c r="AD540" s="1344"/>
      <c r="AE540" s="1344"/>
      <c r="AF540" s="1344"/>
      <c r="AG540" s="30" t="s">
        <v>1332</v>
      </c>
      <c r="AH540" s="1379">
        <v>2028</v>
      </c>
      <c r="AI540" s="1379"/>
      <c r="AJ540" s="1379"/>
      <c r="AK540" s="1380"/>
      <c r="AZ540" s="3"/>
      <c r="BA540" s="3"/>
      <c r="BB540" s="3"/>
      <c r="BC540" s="3"/>
      <c r="BD540" s="3"/>
      <c r="BE540" s="3"/>
      <c r="BF540" s="3"/>
      <c r="BG540" s="3"/>
      <c r="BH540" s="3"/>
      <c r="BI540" s="3"/>
      <c r="BJ540" s="3"/>
      <c r="BK540" s="3"/>
      <c r="BL540" s="3"/>
      <c r="BM540" s="3"/>
      <c r="BN540" s="3"/>
    </row>
    <row r="541" spans="1:66" ht="13" customHeight="1">
      <c r="B541" s="1351"/>
      <c r="C541" s="1352"/>
      <c r="D541" s="1352"/>
      <c r="E541" s="1352"/>
      <c r="F541" s="1352"/>
      <c r="G541" s="1352"/>
      <c r="H541" s="1353"/>
      <c r="I541" t="s">
        <v>1384</v>
      </c>
      <c r="AC541" s="1343">
        <v>1</v>
      </c>
      <c r="AD541" s="1344"/>
      <c r="AE541" s="1344"/>
      <c r="AF541" s="1344"/>
      <c r="AG541" s="30" t="s">
        <v>1332</v>
      </c>
      <c r="AH541" s="1379">
        <v>2028</v>
      </c>
      <c r="AI541" s="1379"/>
      <c r="AJ541" s="1379"/>
      <c r="AK541" s="1380"/>
      <c r="AZ541" s="3"/>
      <c r="BA541" s="3"/>
      <c r="BB541" s="3"/>
      <c r="BC541" s="3"/>
      <c r="BD541" s="3"/>
      <c r="BE541" s="3"/>
      <c r="BF541" s="3"/>
      <c r="BG541" s="3"/>
      <c r="BH541" s="3"/>
      <c r="BI541" s="3"/>
      <c r="BJ541" s="3"/>
      <c r="BK541" s="3"/>
      <c r="BL541" s="3"/>
      <c r="BM541" s="3"/>
      <c r="BN541" s="3"/>
    </row>
    <row r="542" spans="1:66" ht="13" customHeight="1">
      <c r="B542" s="1354"/>
      <c r="C542" s="1355"/>
      <c r="D542" s="1355"/>
      <c r="E542" s="1355"/>
      <c r="F542" s="1355"/>
      <c r="G542" s="1355"/>
      <c r="H542" s="1356"/>
      <c r="I542" s="40" t="s">
        <v>1385</v>
      </c>
      <c r="J542" s="40"/>
      <c r="K542" s="40"/>
      <c r="L542" s="40"/>
      <c r="M542" s="40"/>
      <c r="N542" s="40"/>
      <c r="O542" s="40"/>
      <c r="P542" s="40"/>
      <c r="Q542" s="40"/>
      <c r="R542" s="40"/>
      <c r="S542" s="40"/>
      <c r="T542" s="40"/>
      <c r="U542" s="40"/>
      <c r="V542" s="40"/>
      <c r="W542" s="40"/>
      <c r="X542" s="40"/>
      <c r="Y542" s="40"/>
      <c r="Z542" s="40"/>
      <c r="AA542" s="40"/>
      <c r="AB542" s="40"/>
      <c r="AC542" s="1343">
        <v>3</v>
      </c>
      <c r="AD542" s="1344"/>
      <c r="AE542" s="1344"/>
      <c r="AF542" s="1344"/>
      <c r="AG542" s="30" t="s">
        <v>1332</v>
      </c>
      <c r="AH542" s="1379">
        <v>2028</v>
      </c>
      <c r="AI542" s="1379"/>
      <c r="AJ542" s="1379"/>
      <c r="AK542" s="1380"/>
      <c r="BB542" s="3"/>
      <c r="BC542" s="3"/>
      <c r="BD542" s="3"/>
      <c r="BE542" s="3"/>
      <c r="BF542" s="3"/>
      <c r="BG542" s="3"/>
      <c r="BH542" s="3" t="s">
        <v>18</v>
      </c>
      <c r="BI542" s="3" t="str">
        <f>N649</f>
        <v>Yes</v>
      </c>
      <c r="BJ542" s="3"/>
      <c r="BK542" s="3"/>
      <c r="BL542" s="3"/>
      <c r="BM542" s="3"/>
      <c r="BN542" s="3"/>
    </row>
    <row r="543" spans="1:66" ht="13" customHeight="1">
      <c r="B543" s="431"/>
      <c r="C543" s="95"/>
      <c r="D543" s="95"/>
      <c r="E543" s="95"/>
      <c r="F543" s="95"/>
      <c r="G543" s="95"/>
      <c r="H543" s="95"/>
      <c r="AB543" s="95"/>
      <c r="AU543" s="794"/>
      <c r="AV543" s="794"/>
      <c r="AW543" s="794"/>
      <c r="AX543" s="794"/>
      <c r="AY543" s="794"/>
      <c r="BB543" s="3"/>
      <c r="BC543" s="3"/>
      <c r="BD543" s="3"/>
      <c r="BE543" s="3"/>
      <c r="BF543" s="3"/>
      <c r="BG543" s="3"/>
      <c r="BH543" s="3" t="s">
        <v>31</v>
      </c>
      <c r="BI543" s="3" t="str">
        <f>AG649</f>
        <v>Yes</v>
      </c>
      <c r="BJ543" s="3"/>
      <c r="BK543" s="3"/>
      <c r="BL543" s="3"/>
      <c r="BM543" s="3"/>
      <c r="BN543" s="3"/>
    </row>
    <row r="544" spans="1:66" ht="13" customHeight="1">
      <c r="A544" s="1231" t="s">
        <v>1386</v>
      </c>
      <c r="B544" s="1231"/>
      <c r="C544" s="1231"/>
      <c r="D544" s="1231"/>
      <c r="E544" s="1231"/>
      <c r="F544" s="1231"/>
      <c r="G544" s="1231"/>
      <c r="H544" s="1231"/>
      <c r="I544" s="1231"/>
      <c r="J544" s="1231"/>
      <c r="K544" s="1231"/>
      <c r="L544" s="1231"/>
      <c r="M544" s="1231"/>
      <c r="N544" s="1231"/>
      <c r="O544" s="1231"/>
      <c r="P544" s="1231"/>
      <c r="Q544" s="1231"/>
      <c r="R544" s="1231"/>
      <c r="S544" s="1231"/>
      <c r="T544" s="1231"/>
      <c r="U544" s="1231"/>
      <c r="V544" s="1231"/>
      <c r="W544" s="1231"/>
      <c r="X544" s="1231"/>
      <c r="Y544" s="1231"/>
      <c r="Z544" s="1231"/>
      <c r="AA544" s="1231"/>
      <c r="AB544" s="1231"/>
      <c r="AC544" s="1231"/>
      <c r="AD544" s="1231"/>
      <c r="AE544" s="1231"/>
      <c r="AF544" s="1231"/>
      <c r="AG544" s="1231"/>
      <c r="AH544" s="1231"/>
      <c r="AI544" s="1231"/>
      <c r="AJ544" s="1231"/>
      <c r="AK544" s="1231"/>
      <c r="AL544" s="1231"/>
      <c r="AM544" s="1231"/>
      <c r="AN544" s="1231"/>
      <c r="AO544" s="1231"/>
      <c r="AP544" s="1231"/>
      <c r="AQ544" s="1231"/>
      <c r="AR544" s="1231"/>
      <c r="AS544" s="1231"/>
      <c r="AT544" s="1231"/>
      <c r="AU544" s="794"/>
      <c r="AV544" s="794"/>
      <c r="AW544" s="794"/>
      <c r="AX544" s="794"/>
      <c r="AY544" s="794"/>
      <c r="BB544" s="3"/>
      <c r="BC544" s="3"/>
      <c r="BD544" s="3"/>
      <c r="BE544" s="3"/>
      <c r="BF544" s="3"/>
      <c r="BG544" s="3"/>
      <c r="BH544" s="3"/>
      <c r="BI544" s="3"/>
      <c r="BJ544" s="3"/>
      <c r="BK544" s="3"/>
      <c r="BL544" s="3"/>
      <c r="BM544" s="3"/>
      <c r="BN544" s="3"/>
    </row>
    <row r="545" spans="1:61" ht="13" customHeight="1">
      <c r="A545" s="1231"/>
      <c r="B545" s="1231"/>
      <c r="C545" s="1231"/>
      <c r="D545" s="1231"/>
      <c r="E545" s="1231"/>
      <c r="F545" s="1231"/>
      <c r="G545" s="1231"/>
      <c r="H545" s="1231"/>
      <c r="I545" s="1231"/>
      <c r="J545" s="1231"/>
      <c r="K545" s="1231"/>
      <c r="L545" s="1231"/>
      <c r="M545" s="1231"/>
      <c r="N545" s="1231"/>
      <c r="O545" s="1231"/>
      <c r="P545" s="1231"/>
      <c r="Q545" s="1231"/>
      <c r="R545" s="1231"/>
      <c r="S545" s="1231"/>
      <c r="T545" s="1231"/>
      <c r="U545" s="1231"/>
      <c r="V545" s="1231"/>
      <c r="W545" s="1231"/>
      <c r="X545" s="1231"/>
      <c r="Y545" s="1231"/>
      <c r="Z545" s="1231"/>
      <c r="AA545" s="1231"/>
      <c r="AB545" s="1231"/>
      <c r="AC545" s="1231"/>
      <c r="AD545" s="1231"/>
      <c r="AE545" s="1231"/>
      <c r="AF545" s="1231"/>
      <c r="AG545" s="1231"/>
      <c r="AH545" s="1231"/>
      <c r="AI545" s="1231"/>
      <c r="AJ545" s="1231"/>
      <c r="AK545" s="1231"/>
      <c r="AL545" s="1231"/>
      <c r="AM545" s="1231"/>
      <c r="AN545" s="1231"/>
      <c r="AO545" s="1231"/>
      <c r="AP545" s="1231"/>
      <c r="AQ545" s="1231"/>
      <c r="AR545" s="1231"/>
      <c r="AS545" s="1231"/>
      <c r="AT545" s="1231"/>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867</v>
      </c>
      <c r="B547" s="2"/>
      <c r="C547" s="2" t="s">
        <v>172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1387</v>
      </c>
      <c r="AC549" s="73"/>
      <c r="BB549" s="3"/>
      <c r="BC549" s="3"/>
      <c r="BD549" s="3"/>
      <c r="BE549" s="3"/>
      <c r="BF549" s="3"/>
      <c r="BG549" s="3"/>
      <c r="BH549" s="3"/>
      <c r="BI549" s="3"/>
    </row>
    <row r="550" spans="1:61" ht="13" customHeight="1">
      <c r="B550" s="411"/>
      <c r="BB550" s="3"/>
      <c r="BC550" s="3"/>
      <c r="BD550" s="3"/>
      <c r="BE550" s="3"/>
      <c r="BF550" s="3"/>
      <c r="BG550" s="3"/>
      <c r="BH550" s="3" t="s">
        <v>39</v>
      </c>
      <c r="BI550" s="3" t="str">
        <f>N657</f>
        <v>Yes</v>
      </c>
    </row>
    <row r="551" spans="1:61" ht="13" customHeight="1">
      <c r="B551" s="1348" t="s">
        <v>1388</v>
      </c>
      <c r="C551" s="1349"/>
      <c r="D551" s="1349"/>
      <c r="E551" s="1349"/>
      <c r="F551" s="1349"/>
      <c r="G551" s="1349"/>
      <c r="H551" s="1349"/>
      <c r="I551" s="1349"/>
      <c r="J551" s="1349"/>
      <c r="K551" s="1349"/>
      <c r="L551" s="1350"/>
      <c r="M551" s="1348" t="s">
        <v>1389</v>
      </c>
      <c r="N551" s="1349"/>
      <c r="O551" s="1349"/>
      <c r="P551" s="1350"/>
      <c r="Q551" s="1348" t="s">
        <v>1390</v>
      </c>
      <c r="R551" s="1349"/>
      <c r="S551" s="1350"/>
      <c r="T551" s="1348" t="s">
        <v>1391</v>
      </c>
      <c r="U551" s="1349"/>
      <c r="V551" s="1350"/>
      <c r="W551" s="1348" t="s">
        <v>1392</v>
      </c>
      <c r="X551" s="1349"/>
      <c r="Y551" s="1350"/>
      <c r="Z551" s="1348" t="s">
        <v>1393</v>
      </c>
      <c r="AA551" s="1349"/>
      <c r="AB551" s="1349"/>
      <c r="AC551" s="1349"/>
      <c r="AD551" s="1350"/>
      <c r="AE551" s="1348" t="s">
        <v>1394</v>
      </c>
      <c r="AF551" s="1349"/>
      <c r="AG551" s="1349"/>
      <c r="AH551" s="1350"/>
      <c r="AI551" s="1348" t="s">
        <v>1395</v>
      </c>
      <c r="AJ551" s="1349"/>
      <c r="AK551" s="1349"/>
      <c r="AL551" s="1350"/>
      <c r="AM551" s="1348" t="s">
        <v>1396</v>
      </c>
      <c r="AN551" s="1349"/>
      <c r="AO551" s="1349"/>
      <c r="AP551" s="1349"/>
      <c r="AQ551" s="1349"/>
      <c r="AR551" s="1349"/>
      <c r="AS551" s="1350"/>
      <c r="BB551" s="3"/>
      <c r="BC551" s="3"/>
      <c r="BD551" s="3"/>
      <c r="BE551" s="3"/>
      <c r="BF551" s="3"/>
      <c r="BG551" s="3"/>
      <c r="BH551" s="3" t="s">
        <v>82</v>
      </c>
      <c r="BI551" s="3" t="str">
        <f>AG657</f>
        <v>Yes</v>
      </c>
    </row>
    <row r="552" spans="1:61" ht="13" customHeight="1">
      <c r="B552" s="1351"/>
      <c r="C552" s="1352"/>
      <c r="D552" s="1352"/>
      <c r="E552" s="1352"/>
      <c r="F552" s="1352"/>
      <c r="G552" s="1352"/>
      <c r="H552" s="1352"/>
      <c r="I552" s="1352"/>
      <c r="J552" s="1352"/>
      <c r="K552" s="1352"/>
      <c r="L552" s="1353"/>
      <c r="M552" s="1351"/>
      <c r="N552" s="1352"/>
      <c r="O552" s="1352"/>
      <c r="P552" s="1353"/>
      <c r="Q552" s="1351"/>
      <c r="R552" s="1352"/>
      <c r="S552" s="1353"/>
      <c r="T552" s="1351"/>
      <c r="U552" s="1352"/>
      <c r="V552" s="1353"/>
      <c r="W552" s="1351"/>
      <c r="X552" s="1352"/>
      <c r="Y552" s="1353"/>
      <c r="Z552" s="1351"/>
      <c r="AA552" s="1352"/>
      <c r="AB552" s="1352"/>
      <c r="AC552" s="1352"/>
      <c r="AD552" s="1353"/>
      <c r="AE552" s="1351"/>
      <c r="AF552" s="1352"/>
      <c r="AG552" s="1352"/>
      <c r="AH552" s="1353"/>
      <c r="AI552" s="1351"/>
      <c r="AJ552" s="1352"/>
      <c r="AK552" s="1352"/>
      <c r="AL552" s="1353"/>
      <c r="AM552" s="1351"/>
      <c r="AN552" s="1352"/>
      <c r="AO552" s="1352"/>
      <c r="AP552" s="1352"/>
      <c r="AQ552" s="1352"/>
      <c r="AR552" s="1352"/>
      <c r="AS552" s="1353"/>
      <c r="AU552" s="1035"/>
      <c r="BB552" s="3"/>
      <c r="BC552" s="3"/>
      <c r="BD552" s="3"/>
      <c r="BE552" s="3"/>
      <c r="BF552" s="3"/>
      <c r="BG552" s="3"/>
      <c r="BH552" s="3"/>
      <c r="BI552" s="3"/>
    </row>
    <row r="553" spans="1:61" ht="13" customHeight="1">
      <c r="B553" s="1354"/>
      <c r="C553" s="1355"/>
      <c r="D553" s="1355"/>
      <c r="E553" s="1355"/>
      <c r="F553" s="1355"/>
      <c r="G553" s="1355"/>
      <c r="H553" s="1355"/>
      <c r="I553" s="1355"/>
      <c r="J553" s="1355"/>
      <c r="K553" s="1355"/>
      <c r="L553" s="1356"/>
      <c r="M553" s="1354"/>
      <c r="N553" s="1355"/>
      <c r="O553" s="1355"/>
      <c r="P553" s="1356"/>
      <c r="Q553" s="1354"/>
      <c r="R553" s="1355"/>
      <c r="S553" s="1356"/>
      <c r="T553" s="1354"/>
      <c r="U553" s="1355"/>
      <c r="V553" s="1356"/>
      <c r="W553" s="1354"/>
      <c r="X553" s="1355"/>
      <c r="Y553" s="1356"/>
      <c r="Z553" s="1354"/>
      <c r="AA553" s="1355"/>
      <c r="AB553" s="1355"/>
      <c r="AC553" s="1355"/>
      <c r="AD553" s="1356"/>
      <c r="AE553" s="1354"/>
      <c r="AF553" s="1355"/>
      <c r="AG553" s="1355"/>
      <c r="AH553" s="1356"/>
      <c r="AI553" s="1354"/>
      <c r="AJ553" s="1355"/>
      <c r="AK553" s="1355"/>
      <c r="AL553" s="1356"/>
      <c r="AM553" s="1354"/>
      <c r="AN553" s="1355"/>
      <c r="AO553" s="1355"/>
      <c r="AP553" s="1355"/>
      <c r="AQ553" s="1355"/>
      <c r="AR553" s="1355"/>
      <c r="AS553" s="1356"/>
      <c r="AU553" s="1035"/>
      <c r="BB553" s="3"/>
      <c r="BC553" s="3"/>
      <c r="BD553" s="3"/>
      <c r="BE553" s="3"/>
      <c r="BF553" s="3"/>
      <c r="BG553" s="3"/>
      <c r="BH553" s="3"/>
      <c r="BI553" s="3"/>
    </row>
    <row r="554" spans="1:61" ht="13" customHeight="1">
      <c r="B554" s="43" t="s">
        <v>18</v>
      </c>
      <c r="C554" s="1391" t="s">
        <v>2752</v>
      </c>
      <c r="D554" s="1391"/>
      <c r="E554" s="1391"/>
      <c r="F554" s="1391"/>
      <c r="G554" s="1391"/>
      <c r="H554" s="1391"/>
      <c r="I554" s="1391"/>
      <c r="J554" s="1391"/>
      <c r="K554" s="1391"/>
      <c r="L554" s="1391"/>
      <c r="M554" s="1391" t="s">
        <v>1371</v>
      </c>
      <c r="N554" s="1391"/>
      <c r="O554" s="1391"/>
      <c r="P554" s="1391"/>
      <c r="Q554" s="1377">
        <v>25</v>
      </c>
      <c r="R554" s="1377"/>
      <c r="S554" s="1378"/>
      <c r="T554" s="1376">
        <f>+Q554</f>
        <v>25</v>
      </c>
      <c r="U554" s="1377"/>
      <c r="V554" s="1378"/>
      <c r="W554" s="1373">
        <v>6.6900000000000001E-2</v>
      </c>
      <c r="X554" s="1374"/>
      <c r="Y554" s="1375"/>
      <c r="Z554" s="1382" t="s">
        <v>1397</v>
      </c>
      <c r="AA554" s="1382"/>
      <c r="AB554" s="1382"/>
      <c r="AC554" s="1382"/>
      <c r="AD554" s="1382"/>
      <c r="AE554" s="1364">
        <v>1</v>
      </c>
      <c r="AF554" s="1365"/>
      <c r="AG554" s="1365"/>
      <c r="AH554" s="1366"/>
      <c r="AI554" s="1388"/>
      <c r="AJ554" s="1389"/>
      <c r="AK554" s="1389"/>
      <c r="AL554" s="1390"/>
      <c r="AM554" s="1417">
        <v>14756537</v>
      </c>
      <c r="AN554" s="1418"/>
      <c r="AO554" s="1418"/>
      <c r="AP554" s="1418"/>
      <c r="AQ554" s="1418"/>
      <c r="AR554" s="1418"/>
      <c r="AS554" s="1419"/>
      <c r="AT554" s="1036"/>
      <c r="AU554" s="1035"/>
      <c r="BB554" s="3"/>
      <c r="BC554" s="3"/>
      <c r="BD554" s="3"/>
      <c r="BE554" s="3"/>
      <c r="BF554" s="3"/>
      <c r="BG554" s="3"/>
      <c r="BH554" s="3"/>
      <c r="BI554" s="3"/>
    </row>
    <row r="555" spans="1:61" ht="13" customHeight="1">
      <c r="B555" s="44" t="s">
        <v>31</v>
      </c>
      <c r="C555" s="1392" t="s">
        <v>2753</v>
      </c>
      <c r="D555" s="1392"/>
      <c r="E555" s="1392"/>
      <c r="F555" s="1392"/>
      <c r="G555" s="1392"/>
      <c r="H555" s="1392"/>
      <c r="I555" s="1392"/>
      <c r="J555" s="1392"/>
      <c r="K555" s="1392"/>
      <c r="L555" s="1392"/>
      <c r="M555" s="1391" t="s">
        <v>1372</v>
      </c>
      <c r="N555" s="1391"/>
      <c r="O555" s="1391"/>
      <c r="P555" s="1391"/>
      <c r="Q555" s="1376">
        <v>25</v>
      </c>
      <c r="R555" s="1377"/>
      <c r="S555" s="1378"/>
      <c r="T555" s="1376">
        <f t="shared" ref="T555:T558" si="0">+Q555</f>
        <v>25</v>
      </c>
      <c r="U555" s="1377"/>
      <c r="V555" s="1378"/>
      <c r="W555" s="1373">
        <v>6.6900000000000001E-2</v>
      </c>
      <c r="X555" s="1374"/>
      <c r="Y555" s="1375"/>
      <c r="Z555" s="1382" t="s">
        <v>1397</v>
      </c>
      <c r="AA555" s="1382"/>
      <c r="AB555" s="1382"/>
      <c r="AC555" s="1382"/>
      <c r="AD555" s="1382"/>
      <c r="AE555" s="1364">
        <v>3</v>
      </c>
      <c r="AF555" s="1365"/>
      <c r="AG555" s="1365"/>
      <c r="AH555" s="1366"/>
      <c r="AI555" s="1388"/>
      <c r="AJ555" s="1389"/>
      <c r="AK555" s="1389"/>
      <c r="AL555" s="1390"/>
      <c r="AM555" s="1417">
        <v>1313198</v>
      </c>
      <c r="AN555" s="1418"/>
      <c r="AO555" s="1418"/>
      <c r="AP555" s="1418"/>
      <c r="AQ555" s="1418"/>
      <c r="AR555" s="1418"/>
      <c r="AS555" s="1419"/>
      <c r="AT555" s="1036" t="str">
        <f>IF(AND(NOT(C554=""),C555="",NOT(C556="")),"!","")</f>
        <v/>
      </c>
      <c r="AU555" s="1035"/>
      <c r="BB555" s="3"/>
      <c r="BC555" s="3"/>
      <c r="BD555" s="3"/>
      <c r="BE555" s="3"/>
      <c r="BF555" s="3"/>
      <c r="BG555" s="3"/>
      <c r="BH555" s="3"/>
      <c r="BI555" s="3"/>
    </row>
    <row r="556" spans="1:61" ht="13" customHeight="1">
      <c r="B556" s="44" t="s">
        <v>39</v>
      </c>
      <c r="C556" s="1392" t="s">
        <v>2754</v>
      </c>
      <c r="D556" s="1392"/>
      <c r="E556" s="1392"/>
      <c r="F556" s="1392"/>
      <c r="G556" s="1392"/>
      <c r="H556" s="1392"/>
      <c r="I556" s="1392"/>
      <c r="J556" s="1392"/>
      <c r="K556" s="1392"/>
      <c r="L556" s="1392"/>
      <c r="M556" s="1391" t="s">
        <v>1370</v>
      </c>
      <c r="N556" s="1391"/>
      <c r="O556" s="1391"/>
      <c r="P556" s="1391"/>
      <c r="Q556" s="1376">
        <v>25</v>
      </c>
      <c r="R556" s="1377"/>
      <c r="S556" s="1378"/>
      <c r="T556" s="1376">
        <f t="shared" si="0"/>
        <v>25</v>
      </c>
      <c r="U556" s="1377"/>
      <c r="V556" s="1378"/>
      <c r="W556" s="1373">
        <v>6.6900000000000001E-2</v>
      </c>
      <c r="X556" s="1374"/>
      <c r="Y556" s="1375"/>
      <c r="Z556" s="1382" t="s">
        <v>1397</v>
      </c>
      <c r="AA556" s="1382"/>
      <c r="AB556" s="1382"/>
      <c r="AC556" s="1382"/>
      <c r="AD556" s="1382"/>
      <c r="AE556" s="1364">
        <v>2</v>
      </c>
      <c r="AF556" s="1365"/>
      <c r="AG556" s="1365"/>
      <c r="AH556" s="1366"/>
      <c r="AI556" s="1388"/>
      <c r="AJ556" s="1389"/>
      <c r="AK556" s="1389"/>
      <c r="AL556" s="1390"/>
      <c r="AM556" s="1417">
        <v>11184073</v>
      </c>
      <c r="AN556" s="1418"/>
      <c r="AO556" s="1418"/>
      <c r="AP556" s="1418"/>
      <c r="AQ556" s="1418"/>
      <c r="AR556" s="1418"/>
      <c r="AS556" s="1419"/>
      <c r="AT556" s="1036" t="str">
        <f>IF(AND(NOT(C555=""),C556="",NOT(C557="")),"!","")</f>
        <v/>
      </c>
      <c r="AU556" s="1035"/>
      <c r="BB556" s="3"/>
      <c r="BC556" s="3"/>
      <c r="BD556" s="3"/>
      <c r="BE556" s="3"/>
      <c r="BF556" s="3"/>
      <c r="BG556" s="3"/>
      <c r="BH556" s="3"/>
      <c r="BI556" s="3"/>
    </row>
    <row r="557" spans="1:61" ht="13" customHeight="1">
      <c r="B557" s="44" t="s">
        <v>82</v>
      </c>
      <c r="C557" s="1392" t="s">
        <v>1399</v>
      </c>
      <c r="D557" s="1392"/>
      <c r="E557" s="1392"/>
      <c r="F557" s="1392"/>
      <c r="G557" s="1392"/>
      <c r="H557" s="1392"/>
      <c r="I557" s="1392"/>
      <c r="J557" s="1392"/>
      <c r="K557" s="1392"/>
      <c r="L557" s="1392"/>
      <c r="M557" s="1391" t="s">
        <v>1368</v>
      </c>
      <c r="N557" s="1391"/>
      <c r="O557" s="1391"/>
      <c r="P557" s="1391"/>
      <c r="Q557" s="1376">
        <v>25</v>
      </c>
      <c r="R557" s="1377"/>
      <c r="S557" s="1378"/>
      <c r="T557" s="1376">
        <f t="shared" si="0"/>
        <v>25</v>
      </c>
      <c r="U557" s="1377"/>
      <c r="V557" s="1378"/>
      <c r="W557" s="1373">
        <v>4.8300000000000003E-2</v>
      </c>
      <c r="X557" s="1374"/>
      <c r="Y557" s="1375"/>
      <c r="Z557" s="1382" t="s">
        <v>1400</v>
      </c>
      <c r="AA557" s="1382"/>
      <c r="AB557" s="1382"/>
      <c r="AC557" s="1382"/>
      <c r="AD557" s="1382"/>
      <c r="AE557" s="1364">
        <v>6</v>
      </c>
      <c r="AF557" s="1365"/>
      <c r="AG557" s="1365"/>
      <c r="AH557" s="1366"/>
      <c r="AI557" s="1388"/>
      <c r="AJ557" s="1389"/>
      <c r="AK557" s="1389"/>
      <c r="AL557" s="1390"/>
      <c r="AM557" s="1417">
        <v>10246570</v>
      </c>
      <c r="AN557" s="1418"/>
      <c r="AO557" s="1418"/>
      <c r="AP557" s="1418"/>
      <c r="AQ557" s="1418"/>
      <c r="AR557" s="1418"/>
      <c r="AS557" s="1419"/>
      <c r="AT557" s="1036" t="str">
        <f>IF(AND(NOT(C556=""),C557="",NOT(C558="")),"!","")</f>
        <v/>
      </c>
      <c r="AU557" s="1035"/>
      <c r="BB557" s="3"/>
      <c r="BC557" s="3"/>
      <c r="BD557" s="3"/>
      <c r="BE557" s="3"/>
      <c r="BF557" s="3"/>
      <c r="BG557" s="3"/>
      <c r="BH557" s="3"/>
      <c r="BI557" s="3"/>
    </row>
    <row r="558" spans="1:61" ht="13" customHeight="1">
      <c r="B558" s="44" t="s">
        <v>86</v>
      </c>
      <c r="C558" s="1392" t="s">
        <v>1401</v>
      </c>
      <c r="D558" s="1392"/>
      <c r="E558" s="1392"/>
      <c r="F558" s="1392"/>
      <c r="G558" s="1392"/>
      <c r="H558" s="1392"/>
      <c r="I558" s="1392"/>
      <c r="J558" s="1392"/>
      <c r="K558" s="1392"/>
      <c r="L558" s="1392"/>
      <c r="M558" s="1391" t="s">
        <v>1367</v>
      </c>
      <c r="N558" s="1391"/>
      <c r="O558" s="1391"/>
      <c r="P558" s="1391"/>
      <c r="Q558" s="1376">
        <v>25</v>
      </c>
      <c r="R558" s="1377"/>
      <c r="S558" s="1378"/>
      <c r="T558" s="1376">
        <f t="shared" si="0"/>
        <v>25</v>
      </c>
      <c r="U558" s="1377"/>
      <c r="V558" s="1378"/>
      <c r="W558" s="1373">
        <f>+W557</f>
        <v>4.8300000000000003E-2</v>
      </c>
      <c r="X558" s="1374"/>
      <c r="Y558" s="1375"/>
      <c r="Z558" s="1382" t="s">
        <v>1400</v>
      </c>
      <c r="AA558" s="1382"/>
      <c r="AB558" s="1382"/>
      <c r="AC558" s="1382"/>
      <c r="AD558" s="1382"/>
      <c r="AE558" s="1364">
        <v>4</v>
      </c>
      <c r="AF558" s="1365"/>
      <c r="AG558" s="1365"/>
      <c r="AH558" s="1366"/>
      <c r="AI558" s="1388"/>
      <c r="AJ558" s="1389"/>
      <c r="AK558" s="1389"/>
      <c r="AL558" s="1390"/>
      <c r="AM558" s="1417">
        <v>9993700</v>
      </c>
      <c r="AN558" s="1418"/>
      <c r="AO558" s="1418"/>
      <c r="AP558" s="1418"/>
      <c r="AQ558" s="1418"/>
      <c r="AR558" s="1418"/>
      <c r="AS558" s="1419"/>
      <c r="AT558" s="1036" t="str">
        <f t="shared" ref="AT558:AT565" si="1">IF(AND(NOT(C557=""),C558="",NOT(C559="")),"!","")</f>
        <v/>
      </c>
      <c r="AU558" s="1035"/>
      <c r="BB558" s="3"/>
      <c r="BC558" s="3"/>
      <c r="BD558" s="3"/>
      <c r="BE558" s="3"/>
      <c r="BF558" s="3"/>
      <c r="BG558" s="3"/>
      <c r="BH558" s="3" t="s">
        <v>86</v>
      </c>
      <c r="BI558" s="3" t="str">
        <f>N665</f>
        <v>Yes</v>
      </c>
    </row>
    <row r="559" spans="1:61" ht="13" customHeight="1">
      <c r="B559" s="44" t="s">
        <v>1402</v>
      </c>
      <c r="C559" s="1392" t="s">
        <v>1404</v>
      </c>
      <c r="D559" s="1392"/>
      <c r="E559" s="1392"/>
      <c r="F559" s="1392"/>
      <c r="G559" s="1392"/>
      <c r="H559" s="1392"/>
      <c r="I559" s="1392"/>
      <c r="J559" s="1392"/>
      <c r="K559" s="1392"/>
      <c r="L559" s="1392"/>
      <c r="M559" s="1391" t="s">
        <v>1367</v>
      </c>
      <c r="N559" s="1391"/>
      <c r="O559" s="1391"/>
      <c r="P559" s="1391"/>
      <c r="Q559" s="1376">
        <v>25</v>
      </c>
      <c r="R559" s="1377"/>
      <c r="S559" s="1378"/>
      <c r="T559" s="1376">
        <f t="shared" ref="T559" si="2">+Q559</f>
        <v>25</v>
      </c>
      <c r="U559" s="1377"/>
      <c r="V559" s="1378"/>
      <c r="W559" s="1373">
        <f>+W558</f>
        <v>4.8300000000000003E-2</v>
      </c>
      <c r="X559" s="1374"/>
      <c r="Y559" s="1375"/>
      <c r="Z559" s="1382" t="s">
        <v>1400</v>
      </c>
      <c r="AA559" s="1382"/>
      <c r="AB559" s="1382"/>
      <c r="AC559" s="1382"/>
      <c r="AD559" s="1382"/>
      <c r="AE559" s="1364">
        <v>5</v>
      </c>
      <c r="AF559" s="1365"/>
      <c r="AG559" s="1365"/>
      <c r="AH559" s="1366"/>
      <c r="AI559" s="1388"/>
      <c r="AJ559" s="1389"/>
      <c r="AK559" s="1389"/>
      <c r="AL559" s="1390"/>
      <c r="AM559" s="1417">
        <v>2365172</v>
      </c>
      <c r="AN559" s="1418"/>
      <c r="AO559" s="1418"/>
      <c r="AP559" s="1418"/>
      <c r="AQ559" s="1418"/>
      <c r="AR559" s="1418"/>
      <c r="AS559" s="1419"/>
      <c r="AT559" s="1036" t="str">
        <f t="shared" si="1"/>
        <v/>
      </c>
      <c r="AU559" s="1035"/>
      <c r="BB559" s="3"/>
      <c r="BC559" s="3"/>
      <c r="BD559" s="3"/>
      <c r="BE559" s="3"/>
      <c r="BF559" s="3"/>
      <c r="BG559" s="3"/>
      <c r="BH559" s="3" t="s">
        <v>1402</v>
      </c>
      <c r="BI559" s="3" t="str">
        <f>AG665</f>
        <v>Yes</v>
      </c>
    </row>
    <row r="560" spans="1:61" ht="13" customHeight="1">
      <c r="B560" s="44" t="s">
        <v>1403</v>
      </c>
      <c r="C560" s="1392" t="s">
        <v>1407</v>
      </c>
      <c r="D560" s="1392"/>
      <c r="E560" s="1392"/>
      <c r="F560" s="1392"/>
      <c r="G560" s="1392"/>
      <c r="H560" s="1392"/>
      <c r="I560" s="1392"/>
      <c r="J560" s="1392"/>
      <c r="K560" s="1392"/>
      <c r="L560" s="1392"/>
      <c r="M560" s="1391" t="s">
        <v>1350</v>
      </c>
      <c r="N560" s="1391"/>
      <c r="O560" s="1391"/>
      <c r="P560" s="1391"/>
      <c r="Q560" s="1376"/>
      <c r="R560" s="1377"/>
      <c r="S560" s="1378"/>
      <c r="T560" s="1376"/>
      <c r="U560" s="1377"/>
      <c r="V560" s="1378"/>
      <c r="W560" s="1373"/>
      <c r="X560" s="1374"/>
      <c r="Y560" s="1375"/>
      <c r="Z560" s="1382" t="s">
        <v>807</v>
      </c>
      <c r="AA560" s="1382"/>
      <c r="AB560" s="1382"/>
      <c r="AC560" s="1382"/>
      <c r="AD560" s="1382"/>
      <c r="AE560" s="1364"/>
      <c r="AF560" s="1365"/>
      <c r="AG560" s="1365"/>
      <c r="AH560" s="1366"/>
      <c r="AI560" s="1388"/>
      <c r="AJ560" s="1389"/>
      <c r="AK560" s="1389"/>
      <c r="AL560" s="1390"/>
      <c r="AM560" s="1417">
        <v>2613788</v>
      </c>
      <c r="AN560" s="1418"/>
      <c r="AO560" s="1418"/>
      <c r="AP560" s="1418"/>
      <c r="AQ560" s="1418"/>
      <c r="AR560" s="1418"/>
      <c r="AS560" s="1419"/>
      <c r="AT560" s="1036" t="str">
        <f t="shared" si="1"/>
        <v/>
      </c>
      <c r="AU560" s="1035"/>
      <c r="BB560" s="3"/>
      <c r="BC560" s="3"/>
      <c r="BD560" s="3"/>
      <c r="BE560" s="3"/>
      <c r="BF560" s="3"/>
      <c r="BG560" s="3"/>
      <c r="BH560" s="3"/>
      <c r="BI560" s="3"/>
    </row>
    <row r="561" spans="1:61" ht="13" customHeight="1">
      <c r="B561" s="44" t="s">
        <v>1405</v>
      </c>
      <c r="C561" s="1392" t="s">
        <v>1409</v>
      </c>
      <c r="D561" s="1392"/>
      <c r="E561" s="1392"/>
      <c r="F561" s="1392"/>
      <c r="G561" s="1392"/>
      <c r="H561" s="1392"/>
      <c r="I561" s="1392"/>
      <c r="J561" s="1392"/>
      <c r="K561" s="1392"/>
      <c r="L561" s="1392"/>
      <c r="M561" s="1391" t="s">
        <v>1352</v>
      </c>
      <c r="N561" s="1391"/>
      <c r="O561" s="1391"/>
      <c r="P561" s="1391"/>
      <c r="Q561" s="1376"/>
      <c r="R561" s="1377"/>
      <c r="S561" s="1378"/>
      <c r="T561" s="1376"/>
      <c r="U561" s="1377"/>
      <c r="V561" s="1378"/>
      <c r="W561" s="1373"/>
      <c r="X561" s="1374"/>
      <c r="Y561" s="1375"/>
      <c r="Z561" s="1382" t="s">
        <v>807</v>
      </c>
      <c r="AA561" s="1382"/>
      <c r="AB561" s="1382"/>
      <c r="AC561" s="1382"/>
      <c r="AD561" s="1382"/>
      <c r="AE561" s="1364"/>
      <c r="AF561" s="1365"/>
      <c r="AG561" s="1365"/>
      <c r="AH561" s="1366"/>
      <c r="AI561" s="1388"/>
      <c r="AJ561" s="1389"/>
      <c r="AK561" s="1389"/>
      <c r="AL561" s="1390"/>
      <c r="AM561" s="1417">
        <v>2244241</v>
      </c>
      <c r="AN561" s="1418"/>
      <c r="AO561" s="1418"/>
      <c r="AP561" s="1418"/>
      <c r="AQ561" s="1418"/>
      <c r="AR561" s="1418"/>
      <c r="AS561" s="1419"/>
      <c r="AT561" s="1036" t="str">
        <f t="shared" si="1"/>
        <v/>
      </c>
      <c r="AU561" s="1035"/>
      <c r="BB561" s="3"/>
      <c r="BC561" s="3"/>
      <c r="BD561" s="3"/>
      <c r="BE561" s="3"/>
      <c r="BF561" s="3"/>
      <c r="BG561" s="3"/>
      <c r="BH561" s="3"/>
      <c r="BI561" s="3"/>
    </row>
    <row r="562" spans="1:61" ht="13" customHeight="1">
      <c r="B562" s="44" t="s">
        <v>1406</v>
      </c>
      <c r="C562" s="1392" t="s">
        <v>1411</v>
      </c>
      <c r="D562" s="1392"/>
      <c r="E562" s="1392"/>
      <c r="F562" s="1392"/>
      <c r="G562" s="1392"/>
      <c r="H562" s="1392"/>
      <c r="I562" s="1392"/>
      <c r="J562" s="1392"/>
      <c r="K562" s="1392"/>
      <c r="L562" s="1392"/>
      <c r="M562" s="1391" t="s">
        <v>1358</v>
      </c>
      <c r="N562" s="1391"/>
      <c r="O562" s="1391"/>
      <c r="P562" s="1391"/>
      <c r="Q562" s="1376"/>
      <c r="R562" s="1377"/>
      <c r="S562" s="1378"/>
      <c r="T562" s="1376"/>
      <c r="U562" s="1377"/>
      <c r="V562" s="1378"/>
      <c r="W562" s="1373"/>
      <c r="X562" s="1374"/>
      <c r="Y562" s="1375"/>
      <c r="Z562" s="1382" t="s">
        <v>807</v>
      </c>
      <c r="AA562" s="1382"/>
      <c r="AB562" s="1382"/>
      <c r="AC562" s="1382"/>
      <c r="AD562" s="1382"/>
      <c r="AE562" s="1364"/>
      <c r="AF562" s="1365"/>
      <c r="AG562" s="1365"/>
      <c r="AH562" s="1366"/>
      <c r="AI562" s="1388"/>
      <c r="AJ562" s="1389"/>
      <c r="AK562" s="1389"/>
      <c r="AL562" s="1390"/>
      <c r="AM562" s="1417">
        <v>2027870</v>
      </c>
      <c r="AN562" s="1418"/>
      <c r="AO562" s="1418"/>
      <c r="AP562" s="1418"/>
      <c r="AQ562" s="1418"/>
      <c r="AR562" s="1418"/>
      <c r="AS562" s="1419"/>
      <c r="AT562" s="1036" t="str">
        <f t="shared" si="1"/>
        <v/>
      </c>
      <c r="AU562" s="1035"/>
      <c r="BB562" s="3"/>
      <c r="BC562" s="3"/>
      <c r="BD562" s="3"/>
      <c r="BE562" s="3"/>
      <c r="BF562" s="3"/>
      <c r="BG562" s="3"/>
      <c r="BH562" s="3"/>
      <c r="BI562" s="3"/>
    </row>
    <row r="563" spans="1:61" ht="13" customHeight="1">
      <c r="B563" s="44" t="s">
        <v>1408</v>
      </c>
      <c r="C563" s="1392"/>
      <c r="D563" s="1392"/>
      <c r="E563" s="1392"/>
      <c r="F563" s="1392"/>
      <c r="G563" s="1392"/>
      <c r="H563" s="1392"/>
      <c r="I563" s="1392"/>
      <c r="J563" s="1392"/>
      <c r="K563" s="1392"/>
      <c r="L563" s="1392"/>
      <c r="M563" s="1391" t="s">
        <v>998</v>
      </c>
      <c r="N563" s="1391"/>
      <c r="O563" s="1391"/>
      <c r="P563" s="1391"/>
      <c r="Q563" s="1376"/>
      <c r="R563" s="1377"/>
      <c r="S563" s="1378"/>
      <c r="T563" s="1376"/>
      <c r="U563" s="1377"/>
      <c r="V563" s="1378"/>
      <c r="W563" s="1373"/>
      <c r="X563" s="1374"/>
      <c r="Y563" s="1375"/>
      <c r="Z563" s="1382" t="s">
        <v>998</v>
      </c>
      <c r="AA563" s="1382"/>
      <c r="AB563" s="1382"/>
      <c r="AC563" s="1382"/>
      <c r="AD563" s="1382"/>
      <c r="AE563" s="1364"/>
      <c r="AF563" s="1365"/>
      <c r="AG563" s="1365"/>
      <c r="AH563" s="1366"/>
      <c r="AI563" s="1388"/>
      <c r="AJ563" s="1389"/>
      <c r="AK563" s="1389"/>
      <c r="AL563" s="1390"/>
      <c r="AM563" s="1417"/>
      <c r="AN563" s="1418"/>
      <c r="AO563" s="1418"/>
      <c r="AP563" s="1418"/>
      <c r="AQ563" s="1418"/>
      <c r="AR563" s="1418"/>
      <c r="AS563" s="1419"/>
      <c r="AT563" s="1036" t="str">
        <f t="shared" si="1"/>
        <v/>
      </c>
      <c r="BB563" s="3"/>
      <c r="BC563" s="3"/>
      <c r="BD563" s="3"/>
      <c r="BE563" s="3"/>
      <c r="BF563" s="3"/>
      <c r="BG563" s="3"/>
      <c r="BH563" s="3"/>
      <c r="BI563" s="3"/>
    </row>
    <row r="564" spans="1:61" ht="13" customHeight="1">
      <c r="B564" s="44" t="s">
        <v>1410</v>
      </c>
      <c r="C564" s="1392"/>
      <c r="D564" s="1392"/>
      <c r="E564" s="1392"/>
      <c r="F564" s="1392"/>
      <c r="G564" s="1392"/>
      <c r="H564" s="1392"/>
      <c r="I564" s="1392"/>
      <c r="J564" s="1392"/>
      <c r="K564" s="1392"/>
      <c r="L564" s="1392"/>
      <c r="M564" s="1391" t="s">
        <v>998</v>
      </c>
      <c r="N564" s="1391"/>
      <c r="O564" s="1391"/>
      <c r="P564" s="1391"/>
      <c r="Q564" s="1376"/>
      <c r="R564" s="1377"/>
      <c r="S564" s="1378"/>
      <c r="T564" s="1376"/>
      <c r="U564" s="1377"/>
      <c r="V564" s="1378"/>
      <c r="W564" s="1373"/>
      <c r="X564" s="1374"/>
      <c r="Y564" s="1375"/>
      <c r="Z564" s="1382" t="s">
        <v>998</v>
      </c>
      <c r="AA564" s="1382"/>
      <c r="AB564" s="1382"/>
      <c r="AC564" s="1382"/>
      <c r="AD564" s="1382"/>
      <c r="AE564" s="1364"/>
      <c r="AF564" s="1365"/>
      <c r="AG564" s="1365"/>
      <c r="AH564" s="1366"/>
      <c r="AI564" s="1388"/>
      <c r="AJ564" s="1389"/>
      <c r="AK564" s="1389"/>
      <c r="AL564" s="1390"/>
      <c r="AM564" s="1417"/>
      <c r="AN564" s="1418"/>
      <c r="AO564" s="1418"/>
      <c r="AP564" s="1418"/>
      <c r="AQ564" s="1418"/>
      <c r="AR564" s="1418"/>
      <c r="AS564" s="1419"/>
      <c r="AT564" s="1036" t="str">
        <f t="shared" si="1"/>
        <v/>
      </c>
      <c r="BB564" s="3"/>
      <c r="BC564" s="3"/>
      <c r="BD564" s="3"/>
      <c r="BE564" s="3"/>
      <c r="BF564" s="3"/>
      <c r="BG564" s="3"/>
      <c r="BH564" s="3"/>
      <c r="BI564" s="3"/>
    </row>
    <row r="565" spans="1:61" ht="13" customHeight="1">
      <c r="B565" s="44" t="s">
        <v>1412</v>
      </c>
      <c r="C565" s="1392"/>
      <c r="D565" s="1392"/>
      <c r="E565" s="1392"/>
      <c r="F565" s="1392"/>
      <c r="G565" s="1392"/>
      <c r="H565" s="1392"/>
      <c r="I565" s="1392"/>
      <c r="J565" s="1392"/>
      <c r="K565" s="1392"/>
      <c r="L565" s="1392"/>
      <c r="M565" s="1391" t="s">
        <v>998</v>
      </c>
      <c r="N565" s="1391"/>
      <c r="O565" s="1391"/>
      <c r="P565" s="1391"/>
      <c r="Q565" s="1376"/>
      <c r="R565" s="1377"/>
      <c r="S565" s="1378"/>
      <c r="T565" s="1376"/>
      <c r="U565" s="1377"/>
      <c r="V565" s="1378"/>
      <c r="W565" s="1373"/>
      <c r="X565" s="1374"/>
      <c r="Y565" s="1375"/>
      <c r="Z565" s="1382" t="s">
        <v>998</v>
      </c>
      <c r="AA565" s="1382"/>
      <c r="AB565" s="1382"/>
      <c r="AC565" s="1382"/>
      <c r="AD565" s="1382"/>
      <c r="AE565" s="1364"/>
      <c r="AF565" s="1365"/>
      <c r="AG565" s="1365"/>
      <c r="AH565" s="1366"/>
      <c r="AI565" s="1388"/>
      <c r="AJ565" s="1389"/>
      <c r="AK565" s="1389"/>
      <c r="AL565" s="1390"/>
      <c r="AM565" s="1417"/>
      <c r="AN565" s="1418"/>
      <c r="AO565" s="1418"/>
      <c r="AP565" s="1418"/>
      <c r="AQ565" s="1418"/>
      <c r="AR565" s="1418"/>
      <c r="AS565" s="1419"/>
      <c r="AT565" s="1036" t="str">
        <f t="shared" si="1"/>
        <v/>
      </c>
      <c r="BB565" s="3"/>
      <c r="BC565" s="3"/>
      <c r="BD565" s="3"/>
      <c r="BE565" s="3"/>
      <c r="BF565" s="3"/>
      <c r="BG565" s="3"/>
      <c r="BH565" s="3"/>
      <c r="BI565" s="3"/>
    </row>
    <row r="566" spans="1:61" ht="13" customHeight="1">
      <c r="B566" s="1360" t="s">
        <v>1413</v>
      </c>
      <c r="C566" s="1361"/>
      <c r="D566" s="1361"/>
      <c r="E566" s="1361"/>
      <c r="F566" s="1361"/>
      <c r="G566" s="1361"/>
      <c r="H566" s="1361"/>
      <c r="I566" s="1361"/>
      <c r="J566" s="1361"/>
      <c r="K566" s="1361"/>
      <c r="L566" s="1361"/>
      <c r="M566" s="1361"/>
      <c r="N566" s="1361"/>
      <c r="O566" s="1361"/>
      <c r="P566" s="1361"/>
      <c r="Q566" s="1361"/>
      <c r="R566" s="1361"/>
      <c r="S566" s="1361"/>
      <c r="T566" s="1361"/>
      <c r="U566" s="1362"/>
      <c r="V566" s="1361"/>
      <c r="W566" s="1361"/>
      <c r="X566" s="1361"/>
      <c r="Y566" s="1361"/>
      <c r="Z566" s="1361"/>
      <c r="AA566" s="1361"/>
      <c r="AB566" s="1361"/>
      <c r="AC566" s="1361"/>
      <c r="AD566" s="1361"/>
      <c r="AE566" s="1361"/>
      <c r="AF566" s="1361"/>
      <c r="AG566" s="1361"/>
      <c r="AH566" s="1361"/>
      <c r="AI566" s="1361"/>
      <c r="AJ566" s="1361"/>
      <c r="AK566" s="1361"/>
      <c r="AL566" s="1363"/>
      <c r="AM566" s="1424">
        <f>SUM(AM554:AS565)</f>
        <v>56745149</v>
      </c>
      <c r="AN566" s="1425"/>
      <c r="AO566" s="1425"/>
      <c r="AP566" s="1425"/>
      <c r="AQ566" s="1425"/>
      <c r="AR566" s="1425"/>
      <c r="AS566" s="1426"/>
      <c r="BB566" s="3"/>
      <c r="BC566" s="3"/>
      <c r="BD566" s="3"/>
      <c r="BE566" s="3"/>
      <c r="BF566" s="3"/>
      <c r="BG566" s="3"/>
      <c r="BH566" s="3" t="s">
        <v>1403</v>
      </c>
      <c r="BI566" s="3" t="str">
        <f>N673</f>
        <v>Yes</v>
      </c>
    </row>
    <row r="567" spans="1:61" ht="13"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1405</v>
      </c>
      <c r="BI567" s="3">
        <f>AG673</f>
        <v>0</v>
      </c>
    </row>
    <row r="568" spans="1:61" ht="13" customHeight="1">
      <c r="A568" s="47" t="s">
        <v>18</v>
      </c>
      <c r="B568" t="s">
        <v>1414</v>
      </c>
      <c r="G568" s="1435" t="str">
        <f>C554</f>
        <v>Tax-Exempt Bonds</v>
      </c>
      <c r="H568" s="1435"/>
      <c r="I568" s="1435"/>
      <c r="J568" s="1435"/>
      <c r="K568" s="1435"/>
      <c r="L568" s="1435"/>
      <c r="M568" s="1435"/>
      <c r="N568" s="1435"/>
      <c r="O568" s="1435"/>
      <c r="P568" s="1435"/>
      <c r="Q568" s="1435"/>
      <c r="R568" s="1435"/>
      <c r="S568" s="7"/>
      <c r="T568" s="47" t="s">
        <v>31</v>
      </c>
      <c r="U568" t="s">
        <v>1414</v>
      </c>
      <c r="Z568" s="1435" t="str">
        <f>C555</f>
        <v>Recycled Bonds</v>
      </c>
      <c r="AA568" s="1435"/>
      <c r="AB568" s="1435"/>
      <c r="AC568" s="1435"/>
      <c r="AD568" s="1435"/>
      <c r="AE568" s="1435"/>
      <c r="AF568" s="1435"/>
      <c r="AG568" s="1435"/>
      <c r="AH568" s="1435"/>
      <c r="AI568" s="1435"/>
      <c r="AJ568" s="1435"/>
      <c r="AK568" s="1435"/>
      <c r="BB568" s="3"/>
      <c r="BC568" s="3"/>
      <c r="BD568" s="3"/>
      <c r="BE568" s="3"/>
      <c r="BF568" s="3"/>
      <c r="BG568" s="3"/>
      <c r="BH568" s="3"/>
      <c r="BI568" s="3"/>
    </row>
    <row r="569" spans="1:61" ht="13" customHeight="1">
      <c r="A569" s="19"/>
      <c r="B569" t="s">
        <v>1060</v>
      </c>
      <c r="G569" s="1359" t="s">
        <v>1415</v>
      </c>
      <c r="H569" s="1359"/>
      <c r="I569" s="1359"/>
      <c r="J569" s="1359"/>
      <c r="K569" s="1359"/>
      <c r="L569" s="1359"/>
      <c r="M569" s="1359"/>
      <c r="N569" s="1359"/>
      <c r="O569" s="1359"/>
      <c r="P569" s="1359"/>
      <c r="Q569" s="1359"/>
      <c r="R569" s="1359"/>
      <c r="S569" s="7"/>
      <c r="T569" s="19"/>
      <c r="U569" t="s">
        <v>1060</v>
      </c>
      <c r="Z569" s="1359" t="s">
        <v>1415</v>
      </c>
      <c r="AA569" s="1359"/>
      <c r="AB569" s="1359"/>
      <c r="AC569" s="1359"/>
      <c r="AD569" s="1359"/>
      <c r="AE569" s="1359"/>
      <c r="AF569" s="1359"/>
      <c r="AG569" s="1359"/>
      <c r="AH569" s="1359"/>
      <c r="AI569" s="1359"/>
      <c r="AJ569" s="1359"/>
      <c r="AK569" s="1359"/>
      <c r="BB569" s="3"/>
      <c r="BC569" s="3"/>
      <c r="BD569" s="3"/>
      <c r="BE569" s="3"/>
      <c r="BF569" s="3"/>
      <c r="BG569" s="3"/>
      <c r="BH569" s="3"/>
      <c r="BI569" s="3"/>
    </row>
    <row r="570" spans="1:61" ht="13" customHeight="1">
      <c r="A570" s="19"/>
      <c r="B570" t="s">
        <v>927</v>
      </c>
      <c r="G570" s="1359" t="s">
        <v>1416</v>
      </c>
      <c r="H570" s="1359"/>
      <c r="I570" s="1359"/>
      <c r="J570" s="1359"/>
      <c r="K570" s="1359"/>
      <c r="L570" s="1359"/>
      <c r="M570" s="1359"/>
      <c r="N570" s="1359"/>
      <c r="O570" s="1359"/>
      <c r="P570" s="1359"/>
      <c r="Q570" s="1359"/>
      <c r="R570" s="1359"/>
      <c r="T570" s="19"/>
      <c r="U570" t="s">
        <v>927</v>
      </c>
      <c r="Z570" s="1326" t="s">
        <v>1416</v>
      </c>
      <c r="AA570" s="1326"/>
      <c r="AB570" s="1326"/>
      <c r="AC570" s="1326"/>
      <c r="AD570" s="1326"/>
      <c r="AE570" s="1326"/>
      <c r="AF570" s="1326"/>
      <c r="AG570" s="1326"/>
      <c r="AH570" s="1326"/>
      <c r="AI570" s="1326"/>
      <c r="AJ570" s="1326"/>
      <c r="AK570" s="1326"/>
      <c r="BB570" s="3"/>
      <c r="BC570" s="3"/>
      <c r="BD570" s="3"/>
      <c r="BE570" s="3"/>
      <c r="BF570" s="3"/>
      <c r="BG570" s="3"/>
      <c r="BH570" s="3"/>
      <c r="BI570" s="3"/>
    </row>
    <row r="571" spans="1:61" ht="13" customHeight="1">
      <c r="A571" s="19"/>
      <c r="B571" t="s">
        <v>1417</v>
      </c>
      <c r="G571" s="1359" t="s">
        <v>1418</v>
      </c>
      <c r="H571" s="1359"/>
      <c r="I571" s="1359"/>
      <c r="J571" s="1359"/>
      <c r="K571" s="1359"/>
      <c r="L571" s="1359"/>
      <c r="M571" s="1359"/>
      <c r="N571" s="1359"/>
      <c r="O571" s="1359"/>
      <c r="P571" s="1359"/>
      <c r="Q571" s="1359"/>
      <c r="R571" s="1359"/>
      <c r="S571" s="7"/>
      <c r="T571" s="19"/>
      <c r="U571" t="s">
        <v>1417</v>
      </c>
      <c r="Z571" s="1326" t="s">
        <v>1418</v>
      </c>
      <c r="AA571" s="1326"/>
      <c r="AB571" s="1326"/>
      <c r="AC571" s="1326"/>
      <c r="AD571" s="1326"/>
      <c r="AE571" s="1326"/>
      <c r="AF571" s="1326"/>
      <c r="AG571" s="1326"/>
      <c r="AH571" s="1326"/>
      <c r="AI571" s="1326"/>
      <c r="AJ571" s="1326"/>
      <c r="AK571" s="1326"/>
      <c r="BB571" s="3"/>
      <c r="BC571" s="3"/>
      <c r="BD571" s="3"/>
      <c r="BE571" s="3"/>
      <c r="BF571" s="3"/>
      <c r="BG571" s="3"/>
      <c r="BH571" s="3"/>
      <c r="BI571" s="3"/>
    </row>
    <row r="572" spans="1:61" ht="13" customHeight="1">
      <c r="A572" s="19"/>
      <c r="B572" t="s">
        <v>821</v>
      </c>
      <c r="G572" s="1439" t="s">
        <v>1419</v>
      </c>
      <c r="H572" s="1439"/>
      <c r="I572" s="1439"/>
      <c r="J572" s="1439"/>
      <c r="K572" s="1439"/>
      <c r="L572" s="1439"/>
      <c r="O572" s="922" t="s">
        <v>1069</v>
      </c>
      <c r="P572" s="1423"/>
      <c r="Q572" s="1423"/>
      <c r="R572" s="1423"/>
      <c r="S572" s="9"/>
      <c r="T572" s="19"/>
      <c r="U572" t="s">
        <v>821</v>
      </c>
      <c r="Z572" s="1439" t="s">
        <v>1419</v>
      </c>
      <c r="AA572" s="1439"/>
      <c r="AB572" s="1439"/>
      <c r="AC572" s="1439"/>
      <c r="AD572" s="1439"/>
      <c r="AE572" s="1439"/>
      <c r="AH572" s="922" t="s">
        <v>1069</v>
      </c>
      <c r="AI572" s="1423"/>
      <c r="AJ572" s="1423"/>
      <c r="AK572" s="1423"/>
      <c r="BB572" s="3"/>
      <c r="BC572" s="3"/>
      <c r="BD572" s="3"/>
      <c r="BE572" s="3"/>
      <c r="BF572" s="3"/>
      <c r="BG572" s="3"/>
      <c r="BH572" s="3"/>
      <c r="BI572" s="3"/>
    </row>
    <row r="573" spans="1:61" ht="13" customHeight="1">
      <c r="A573" s="19"/>
      <c r="B573" t="s">
        <v>1420</v>
      </c>
      <c r="H573" s="1359" t="s">
        <v>1421</v>
      </c>
      <c r="I573" s="1359"/>
      <c r="J573" s="1359"/>
      <c r="K573" s="1359"/>
      <c r="L573" s="1359"/>
      <c r="M573" s="1359"/>
      <c r="N573" s="1359"/>
      <c r="O573" s="1359"/>
      <c r="P573" s="1359"/>
      <c r="Q573" s="1359"/>
      <c r="R573" s="1359"/>
      <c r="S573" s="7"/>
      <c r="T573" s="19"/>
      <c r="U573" t="s">
        <v>1420</v>
      </c>
      <c r="AA573" s="1472" t="s">
        <v>1421</v>
      </c>
      <c r="AB573" s="1359"/>
      <c r="AC573" s="1359"/>
      <c r="AD573" s="1359"/>
      <c r="AE573" s="1359"/>
      <c r="AF573" s="1359"/>
      <c r="AG573" s="1359"/>
      <c r="AH573" s="1359"/>
      <c r="AI573" s="1359"/>
      <c r="AJ573" s="1359"/>
      <c r="AK573" s="1359"/>
      <c r="BB573" s="3"/>
      <c r="BC573" s="3"/>
      <c r="BD573" s="3"/>
      <c r="BE573" s="3"/>
      <c r="BF573" s="3"/>
      <c r="BG573" s="3"/>
      <c r="BH573" s="3"/>
      <c r="BI573" s="3"/>
    </row>
    <row r="574" spans="1:61" ht="13" customHeight="1">
      <c r="A574" s="19"/>
      <c r="B574" s="224" t="s">
        <v>1422</v>
      </c>
      <c r="H574" s="7"/>
      <c r="I574" s="7"/>
      <c r="J574" s="7"/>
      <c r="K574" s="7"/>
      <c r="L574" s="7"/>
      <c r="M574" s="1541" t="s">
        <v>1423</v>
      </c>
      <c r="N574" s="1541"/>
      <c r="O574" s="1541"/>
      <c r="P574" s="1541"/>
      <c r="Q574" s="1541"/>
      <c r="R574" s="1541"/>
      <c r="S574" s="7"/>
      <c r="T574" s="19"/>
      <c r="U574" s="224" t="s">
        <v>1422</v>
      </c>
      <c r="AA574" s="7"/>
      <c r="AB574" s="7"/>
      <c r="AC574" s="7"/>
      <c r="AD574" s="7"/>
      <c r="AE574" s="7"/>
      <c r="AF574" s="1541" t="s">
        <v>1423</v>
      </c>
      <c r="AG574" s="1541"/>
      <c r="AH574" s="1541"/>
      <c r="AI574" s="1541"/>
      <c r="AJ574" s="1541"/>
      <c r="AK574" s="1541"/>
      <c r="BB574" s="3"/>
      <c r="BC574" s="3"/>
      <c r="BD574" s="3"/>
      <c r="BE574" s="3"/>
      <c r="BF574" s="3"/>
      <c r="BG574" s="3"/>
      <c r="BH574" s="3"/>
      <c r="BI574" s="3"/>
    </row>
    <row r="575" spans="1:61" ht="13" customHeight="1">
      <c r="A575" s="19"/>
      <c r="B575" t="s">
        <v>1424</v>
      </c>
      <c r="N575" s="1367" t="s">
        <v>842</v>
      </c>
      <c r="O575" s="1367"/>
      <c r="T575" s="19"/>
      <c r="U575" t="s">
        <v>1424</v>
      </c>
      <c r="AG575" s="1367" t="s">
        <v>842</v>
      </c>
      <c r="AH575" s="1367"/>
      <c r="BB575" s="3"/>
      <c r="BC575" s="3"/>
      <c r="BD575" s="3"/>
      <c r="BE575" s="3"/>
      <c r="BF575" s="3"/>
      <c r="BG575" s="3"/>
      <c r="BH575" s="3"/>
      <c r="BI575" s="3"/>
    </row>
    <row r="576" spans="1:61" ht="13" customHeight="1">
      <c r="A576" s="19"/>
      <c r="T576" s="19"/>
      <c r="BB576" s="3"/>
      <c r="BC576" s="3"/>
      <c r="BD576" s="3"/>
      <c r="BE576" s="3"/>
      <c r="BF576" s="3"/>
      <c r="BG576" s="3"/>
      <c r="BH576" s="3"/>
      <c r="BI576" s="3"/>
    </row>
    <row r="577" spans="1:55" ht="13" customHeight="1">
      <c r="A577" s="47" t="s">
        <v>39</v>
      </c>
      <c r="B577" t="s">
        <v>1414</v>
      </c>
      <c r="G577" s="1435" t="str">
        <f>C556</f>
        <v>Taxable Tail</v>
      </c>
      <c r="H577" s="1435"/>
      <c r="I577" s="1435"/>
      <c r="J577" s="1435"/>
      <c r="K577" s="1435"/>
      <c r="L577" s="1435"/>
      <c r="M577" s="1435"/>
      <c r="N577" s="1435"/>
      <c r="O577" s="1435"/>
      <c r="P577" s="1435"/>
      <c r="Q577" s="1435"/>
      <c r="R577" s="1435"/>
      <c r="T577" s="47" t="s">
        <v>82</v>
      </c>
      <c r="U577" t="s">
        <v>1414</v>
      </c>
      <c r="Z577" s="1435" t="str">
        <f>C557</f>
        <v>Seller Carryback Loan</v>
      </c>
      <c r="AA577" s="1435"/>
      <c r="AB577" s="1435"/>
      <c r="AC577" s="1435"/>
      <c r="AD577" s="1435"/>
      <c r="AE577" s="1435"/>
      <c r="AF577" s="1435"/>
      <c r="AG577" s="1435"/>
      <c r="AH577" s="1435"/>
      <c r="AI577" s="1435"/>
      <c r="AJ577" s="1435"/>
      <c r="AK577" s="1435"/>
      <c r="BB577" s="3"/>
      <c r="BC577" s="3"/>
    </row>
    <row r="578" spans="1:55" ht="13" customHeight="1">
      <c r="A578" s="19"/>
      <c r="B578" t="s">
        <v>1060</v>
      </c>
      <c r="G578" s="1359" t="s">
        <v>1415</v>
      </c>
      <c r="H578" s="1359"/>
      <c r="I578" s="1359"/>
      <c r="J578" s="1359"/>
      <c r="K578" s="1359"/>
      <c r="L578" s="1359"/>
      <c r="M578" s="1359"/>
      <c r="N578" s="1359"/>
      <c r="O578" s="1359"/>
      <c r="P578" s="1359"/>
      <c r="Q578" s="1359"/>
      <c r="R578" s="1359"/>
      <c r="T578" s="19"/>
      <c r="U578" t="s">
        <v>1060</v>
      </c>
      <c r="Z578" s="1359" t="s">
        <v>1229</v>
      </c>
      <c r="AA578" s="1359"/>
      <c r="AB578" s="1359"/>
      <c r="AC578" s="1359"/>
      <c r="AD578" s="1359"/>
      <c r="AE578" s="1359"/>
      <c r="AF578" s="1359"/>
      <c r="AG578" s="1359"/>
      <c r="AH578" s="1359"/>
      <c r="AI578" s="1359"/>
      <c r="AJ578" s="1359"/>
      <c r="AK578" s="1359"/>
      <c r="BB578" s="3"/>
      <c r="BC578" s="3"/>
    </row>
    <row r="579" spans="1:55" ht="13" customHeight="1">
      <c r="A579" s="19"/>
      <c r="B579" t="s">
        <v>927</v>
      </c>
      <c r="G579" s="1326" t="s">
        <v>1416</v>
      </c>
      <c r="H579" s="1326"/>
      <c r="I579" s="1326"/>
      <c r="J579" s="1326"/>
      <c r="K579" s="1326"/>
      <c r="L579" s="1326"/>
      <c r="M579" s="1326"/>
      <c r="N579" s="1326"/>
      <c r="O579" s="1326"/>
      <c r="P579" s="1326"/>
      <c r="Q579" s="1326"/>
      <c r="R579" s="1326"/>
      <c r="T579" s="19"/>
      <c r="U579" t="s">
        <v>927</v>
      </c>
      <c r="Z579" s="1326" t="s">
        <v>1116</v>
      </c>
      <c r="AA579" s="1326"/>
      <c r="AB579" s="1326"/>
      <c r="AC579" s="1326"/>
      <c r="AD579" s="1326"/>
      <c r="AE579" s="1326"/>
      <c r="AF579" s="1326"/>
      <c r="AG579" s="1326"/>
      <c r="AH579" s="1326"/>
      <c r="AI579" s="1326"/>
      <c r="AJ579" s="1326"/>
      <c r="AK579" s="1326"/>
      <c r="BB579" s="3"/>
      <c r="BC579" s="3"/>
    </row>
    <row r="580" spans="1:55" ht="13" customHeight="1">
      <c r="A580" s="19"/>
      <c r="B580" t="s">
        <v>1417</v>
      </c>
      <c r="G580" s="1326" t="s">
        <v>1418</v>
      </c>
      <c r="H580" s="1326"/>
      <c r="I580" s="1326"/>
      <c r="J580" s="1326"/>
      <c r="K580" s="1326"/>
      <c r="L580" s="1326"/>
      <c r="M580" s="1326"/>
      <c r="N580" s="1326"/>
      <c r="O580" s="1326"/>
      <c r="P580" s="1326"/>
      <c r="Q580" s="1326"/>
      <c r="R580" s="1326"/>
      <c r="T580" s="19"/>
      <c r="U580" t="s">
        <v>1417</v>
      </c>
      <c r="Z580" s="1326" t="s">
        <v>1066</v>
      </c>
      <c r="AA580" s="1326"/>
      <c r="AB580" s="1326"/>
      <c r="AC580" s="1326"/>
      <c r="AD580" s="1326"/>
      <c r="AE580" s="1326"/>
      <c r="AF580" s="1326"/>
      <c r="AG580" s="1326"/>
      <c r="AH580" s="1326"/>
      <c r="AI580" s="1326"/>
      <c r="AJ580" s="1326"/>
      <c r="AK580" s="1326"/>
      <c r="BB580" s="3"/>
      <c r="BC580" s="3"/>
    </row>
    <row r="581" spans="1:55" ht="13" customHeight="1">
      <c r="A581" s="19"/>
      <c r="B581" t="s">
        <v>821</v>
      </c>
      <c r="G581" s="1439" t="s">
        <v>1419</v>
      </c>
      <c r="H581" s="1439"/>
      <c r="I581" s="1439"/>
      <c r="J581" s="1439"/>
      <c r="K581" s="1439"/>
      <c r="L581" s="1439"/>
      <c r="O581" s="922" t="s">
        <v>1069</v>
      </c>
      <c r="P581" s="1423"/>
      <c r="Q581" s="1423"/>
      <c r="R581" s="1423"/>
      <c r="T581" s="19"/>
      <c r="U581" t="s">
        <v>821</v>
      </c>
      <c r="Z581" s="1439" t="s">
        <v>1425</v>
      </c>
      <c r="AA581" s="1439"/>
      <c r="AB581" s="1439"/>
      <c r="AC581" s="1439"/>
      <c r="AD581" s="1439"/>
      <c r="AE581" s="1439"/>
      <c r="AH581" s="922" t="s">
        <v>1069</v>
      </c>
      <c r="AI581" s="1423"/>
      <c r="AJ581" s="1423"/>
      <c r="AK581" s="1423"/>
      <c r="BB581" s="3"/>
      <c r="BC581" s="3"/>
    </row>
    <row r="582" spans="1:55" ht="13" customHeight="1">
      <c r="A582" s="19"/>
      <c r="B582" t="s">
        <v>1420</v>
      </c>
      <c r="H582" s="1472" t="s">
        <v>1421</v>
      </c>
      <c r="I582" s="1359"/>
      <c r="J582" s="1359"/>
      <c r="K582" s="1359"/>
      <c r="L582" s="1359"/>
      <c r="M582" s="1359"/>
      <c r="N582" s="1359"/>
      <c r="O582" s="1359"/>
      <c r="P582" s="1359"/>
      <c r="Q582" s="1359"/>
      <c r="R582" s="1359"/>
      <c r="T582" s="19"/>
      <c r="U582" t="s">
        <v>1420</v>
      </c>
      <c r="AA582" s="1359" t="s">
        <v>1426</v>
      </c>
      <c r="AB582" s="1359"/>
      <c r="AC582" s="1359"/>
      <c r="AD582" s="1359"/>
      <c r="AE582" s="1359"/>
      <c r="AF582" s="1359"/>
      <c r="AG582" s="1359"/>
      <c r="AH582" s="1359"/>
      <c r="AI582" s="1359"/>
      <c r="AJ582" s="1359"/>
      <c r="AK582" s="1359"/>
      <c r="BB582" s="3"/>
      <c r="BC582" s="3"/>
    </row>
    <row r="583" spans="1:55" ht="13" customHeight="1">
      <c r="A583" s="19"/>
      <c r="B583" t="s">
        <v>1424</v>
      </c>
      <c r="N583" s="1367" t="s">
        <v>842</v>
      </c>
      <c r="O583" s="1367"/>
      <c r="T583" s="19"/>
      <c r="U583" t="s">
        <v>1424</v>
      </c>
      <c r="AG583" s="1367" t="s">
        <v>842</v>
      </c>
      <c r="AH583" s="1367"/>
      <c r="BB583" s="3"/>
      <c r="BC583" s="3"/>
    </row>
    <row r="584" spans="1:55" ht="13" customHeight="1">
      <c r="A584" s="19"/>
      <c r="T584" s="19"/>
      <c r="BB584" s="3"/>
      <c r="BC584" s="3"/>
    </row>
    <row r="585" spans="1:55" ht="13" customHeight="1">
      <c r="A585" s="47" t="s">
        <v>86</v>
      </c>
      <c r="B585" t="s">
        <v>1414</v>
      </c>
      <c r="G585" s="1435" t="str">
        <f>C558</f>
        <v>Assumed HCD MHP</v>
      </c>
      <c r="H585" s="1435"/>
      <c r="I585" s="1435"/>
      <c r="J585" s="1435"/>
      <c r="K585" s="1435"/>
      <c r="L585" s="1435"/>
      <c r="M585" s="1435"/>
      <c r="N585" s="1435"/>
      <c r="O585" s="1435"/>
      <c r="P585" s="1435"/>
      <c r="Q585" s="1435"/>
      <c r="R585" s="1435"/>
      <c r="T585" s="47" t="s">
        <v>1402</v>
      </c>
      <c r="U585" t="s">
        <v>1414</v>
      </c>
      <c r="Z585" s="1435" t="str">
        <f>C559</f>
        <v>Assumed County HOME</v>
      </c>
      <c r="AA585" s="1435"/>
      <c r="AB585" s="1435"/>
      <c r="AC585" s="1435"/>
      <c r="AD585" s="1435"/>
      <c r="AE585" s="1435"/>
      <c r="AF585" s="1435"/>
      <c r="AG585" s="1435"/>
      <c r="AH585" s="1435"/>
      <c r="AI585" s="1435"/>
      <c r="AJ585" s="1435"/>
      <c r="AK585" s="1435"/>
      <c r="BB585" s="3"/>
      <c r="BC585" s="3"/>
    </row>
    <row r="586" spans="1:55" ht="13" customHeight="1">
      <c r="A586" s="19"/>
      <c r="B586" t="s">
        <v>1060</v>
      </c>
      <c r="G586" s="1359" t="s">
        <v>1427</v>
      </c>
      <c r="H586" s="1359"/>
      <c r="I586" s="1359"/>
      <c r="J586" s="1359"/>
      <c r="K586" s="1359"/>
      <c r="L586" s="1359"/>
      <c r="M586" s="1359"/>
      <c r="N586" s="1359"/>
      <c r="O586" s="1359"/>
      <c r="P586" s="1359"/>
      <c r="Q586" s="1359"/>
      <c r="R586" s="1359"/>
      <c r="T586" s="19"/>
      <c r="U586" t="s">
        <v>1060</v>
      </c>
      <c r="Z586" s="1359" t="s">
        <v>1431</v>
      </c>
      <c r="AA586" s="1359"/>
      <c r="AB586" s="1359"/>
      <c r="AC586" s="1359"/>
      <c r="AD586" s="1359"/>
      <c r="AE586" s="1359"/>
      <c r="AF586" s="1359"/>
      <c r="AG586" s="1359"/>
      <c r="AH586" s="1359"/>
      <c r="AI586" s="1359"/>
      <c r="AJ586" s="1359"/>
      <c r="AK586" s="1359"/>
      <c r="BB586" s="3"/>
      <c r="BC586" s="3"/>
    </row>
    <row r="587" spans="1:55" ht="13" customHeight="1">
      <c r="A587" s="19"/>
      <c r="B587" t="s">
        <v>927</v>
      </c>
      <c r="G587" s="1359" t="s">
        <v>1428</v>
      </c>
      <c r="H587" s="1359"/>
      <c r="I587" s="1359"/>
      <c r="J587" s="1359"/>
      <c r="K587" s="1359"/>
      <c r="L587" s="1359"/>
      <c r="M587" s="1359"/>
      <c r="N587" s="1359"/>
      <c r="O587" s="1359"/>
      <c r="P587" s="1359"/>
      <c r="Q587" s="1359"/>
      <c r="R587" s="1359"/>
      <c r="T587" s="19"/>
      <c r="U587" t="s">
        <v>927</v>
      </c>
      <c r="Z587" s="1326" t="s">
        <v>1432</v>
      </c>
      <c r="AA587" s="1326"/>
      <c r="AB587" s="1326"/>
      <c r="AC587" s="1326"/>
      <c r="AD587" s="1326"/>
      <c r="AE587" s="1326"/>
      <c r="AF587" s="1326"/>
      <c r="AG587" s="1326"/>
      <c r="AH587" s="1326"/>
      <c r="AI587" s="1326"/>
      <c r="AJ587" s="1326"/>
      <c r="AK587" s="1326"/>
      <c r="BB587" s="3"/>
      <c r="BC587" s="3"/>
    </row>
    <row r="588" spans="1:55" ht="13" customHeight="1">
      <c r="A588" s="19"/>
      <c r="B588" t="s">
        <v>1417</v>
      </c>
      <c r="G588" s="1359" t="s">
        <v>1429</v>
      </c>
      <c r="H588" s="1359"/>
      <c r="I588" s="1359"/>
      <c r="J588" s="1359"/>
      <c r="K588" s="1359"/>
      <c r="L588" s="1359"/>
      <c r="M588" s="1359"/>
      <c r="N588" s="1359"/>
      <c r="O588" s="1359"/>
      <c r="P588" s="1359"/>
      <c r="Q588" s="1359"/>
      <c r="R588" s="1359"/>
      <c r="T588" s="19"/>
      <c r="U588" t="s">
        <v>1417</v>
      </c>
      <c r="Z588" s="1326" t="s">
        <v>1433</v>
      </c>
      <c r="AA588" s="1326"/>
      <c r="AB588" s="1326"/>
      <c r="AC588" s="1326"/>
      <c r="AD588" s="1326"/>
      <c r="AE588" s="1326"/>
      <c r="AF588" s="1326"/>
      <c r="AG588" s="1326"/>
      <c r="AH588" s="1326"/>
      <c r="AI588" s="1326"/>
      <c r="AJ588" s="1326"/>
      <c r="AK588" s="1326"/>
    </row>
    <row r="589" spans="1:55" ht="13" customHeight="1">
      <c r="A589" s="19"/>
      <c r="B589" t="s">
        <v>821</v>
      </c>
      <c r="G589" s="1439" t="s">
        <v>1430</v>
      </c>
      <c r="H589" s="1439"/>
      <c r="I589" s="1439"/>
      <c r="J589" s="1439"/>
      <c r="K589" s="1439"/>
      <c r="L589" s="1439"/>
      <c r="O589" s="922" t="s">
        <v>1069</v>
      </c>
      <c r="P589" s="1423"/>
      <c r="Q589" s="1423"/>
      <c r="R589" s="1423"/>
      <c r="T589" s="19"/>
      <c r="U589" t="s">
        <v>821</v>
      </c>
      <c r="Z589" s="1439" t="s">
        <v>1434</v>
      </c>
      <c r="AA589" s="1439"/>
      <c r="AB589" s="1439"/>
      <c r="AC589" s="1439"/>
      <c r="AD589" s="1439"/>
      <c r="AE589" s="1439"/>
      <c r="AH589" s="922" t="s">
        <v>1069</v>
      </c>
      <c r="AI589" s="1423"/>
      <c r="AJ589" s="1423"/>
      <c r="AK589" s="1423"/>
      <c r="AZ589" s="3"/>
      <c r="BA589" s="3"/>
      <c r="BB589" s="3"/>
      <c r="BC589" s="3"/>
    </row>
    <row r="590" spans="1:55" ht="13" customHeight="1">
      <c r="A590" s="19"/>
      <c r="B590" t="s">
        <v>1420</v>
      </c>
      <c r="H590" s="1359" t="s">
        <v>1426</v>
      </c>
      <c r="I590" s="1359"/>
      <c r="J590" s="1359"/>
      <c r="K590" s="1359"/>
      <c r="L590" s="1359"/>
      <c r="M590" s="1359"/>
      <c r="N590" s="1359"/>
      <c r="O590" s="1359"/>
      <c r="P590" s="1359"/>
      <c r="Q590" s="1359"/>
      <c r="R590" s="1359"/>
      <c r="T590" s="19"/>
      <c r="U590" t="s">
        <v>1420</v>
      </c>
      <c r="AA590" s="1359" t="s">
        <v>1426</v>
      </c>
      <c r="AB590" s="1359"/>
      <c r="AC590" s="1359"/>
      <c r="AD590" s="1359"/>
      <c r="AE590" s="1359"/>
      <c r="AF590" s="1359"/>
      <c r="AG590" s="1359"/>
      <c r="AH590" s="1359"/>
      <c r="AI590" s="1359"/>
      <c r="AJ590" s="1359"/>
      <c r="AK590" s="1359"/>
      <c r="AZ590" s="3"/>
      <c r="BA590" s="3"/>
      <c r="BB590" s="3"/>
      <c r="BC590" s="3"/>
    </row>
    <row r="591" spans="1:55" ht="13" customHeight="1">
      <c r="A591" s="19"/>
      <c r="B591" t="s">
        <v>1424</v>
      </c>
      <c r="N591" s="1367" t="s">
        <v>842</v>
      </c>
      <c r="O591" s="1367"/>
      <c r="T591" s="19"/>
      <c r="U591" t="s">
        <v>1424</v>
      </c>
      <c r="AG591" s="1367" t="s">
        <v>842</v>
      </c>
      <c r="AH591" s="1367"/>
      <c r="AZ591" s="3"/>
      <c r="BA591" s="3"/>
      <c r="BB591" s="3"/>
      <c r="BC591" s="3"/>
    </row>
    <row r="592" spans="1:55" ht="13" customHeight="1">
      <c r="A592" s="19"/>
      <c r="T592" s="19"/>
      <c r="AZ592" s="3"/>
      <c r="BA592" s="3"/>
      <c r="BB592" s="3"/>
      <c r="BC592" s="3"/>
    </row>
    <row r="593" spans="1:55" ht="13" customHeight="1">
      <c r="A593" s="47" t="s">
        <v>1403</v>
      </c>
      <c r="B593" t="s">
        <v>1414</v>
      </c>
      <c r="G593" s="1435" t="str">
        <f>C560</f>
        <v>Costs Deferred Until Conversion</v>
      </c>
      <c r="H593" s="1435"/>
      <c r="I593" s="1435"/>
      <c r="J593" s="1435"/>
      <c r="K593" s="1435"/>
      <c r="L593" s="1435"/>
      <c r="M593" s="1435"/>
      <c r="N593" s="1435"/>
      <c r="O593" s="1435"/>
      <c r="P593" s="1435"/>
      <c r="Q593" s="1435"/>
      <c r="R593" s="1435"/>
      <c r="T593" s="47" t="s">
        <v>1405</v>
      </c>
      <c r="U593" t="s">
        <v>1414</v>
      </c>
      <c r="Z593" s="1435" t="str">
        <f>C561</f>
        <v>Deferred Developer Fee</v>
      </c>
      <c r="AA593" s="1435"/>
      <c r="AB593" s="1435"/>
      <c r="AC593" s="1435"/>
      <c r="AD593" s="1435"/>
      <c r="AE593" s="1435"/>
      <c r="AF593" s="1435"/>
      <c r="AG593" s="1435"/>
      <c r="AH593" s="1435"/>
      <c r="AI593" s="1435"/>
      <c r="AJ593" s="1435"/>
      <c r="AK593" s="1435"/>
      <c r="AZ593" s="3"/>
      <c r="BA593" s="3"/>
      <c r="BB593" s="3"/>
      <c r="BC593" s="3"/>
    </row>
    <row r="594" spans="1:55" s="4" customFormat="1" ht="13" customHeight="1">
      <c r="A594" s="19"/>
      <c r="B594" t="s">
        <v>1060</v>
      </c>
      <c r="C594"/>
      <c r="D594"/>
      <c r="E594"/>
      <c r="F594"/>
      <c r="G594" s="1359" t="s">
        <v>1061</v>
      </c>
      <c r="H594" s="1359"/>
      <c r="I594" s="1359"/>
      <c r="J594" s="1359"/>
      <c r="K594" s="1359"/>
      <c r="L594" s="1359"/>
      <c r="M594" s="1359"/>
      <c r="N594" s="1359"/>
      <c r="O594" s="1359"/>
      <c r="P594" s="1359"/>
      <c r="Q594" s="1359"/>
      <c r="R594" s="1359"/>
      <c r="S594"/>
      <c r="T594" s="19"/>
      <c r="U594" t="s">
        <v>1060</v>
      </c>
      <c r="V594"/>
      <c r="W594"/>
      <c r="X594"/>
      <c r="Y594"/>
      <c r="Z594" s="1359" t="s">
        <v>1061</v>
      </c>
      <c r="AA594" s="1359"/>
      <c r="AB594" s="1359"/>
      <c r="AC594" s="1359"/>
      <c r="AD594" s="1359"/>
      <c r="AE594" s="1359"/>
      <c r="AF594" s="1359"/>
      <c r="AG594" s="1359"/>
      <c r="AH594" s="1359"/>
      <c r="AI594" s="1359"/>
      <c r="AJ594" s="1359"/>
      <c r="AK594" s="1359"/>
      <c r="AL594"/>
      <c r="AM594"/>
      <c r="AN594"/>
      <c r="AO594"/>
      <c r="AP594"/>
      <c r="AQ594"/>
      <c r="AR594"/>
      <c r="AS594"/>
      <c r="AT594"/>
      <c r="AU594"/>
      <c r="AV594"/>
      <c r="AW594"/>
      <c r="AX594"/>
      <c r="AY594"/>
      <c r="AZ594" s="3"/>
      <c r="BA594" s="3"/>
      <c r="BB594" s="3"/>
      <c r="BC594" s="3"/>
    </row>
    <row r="595" spans="1:55" s="4" customFormat="1" ht="13" customHeight="1">
      <c r="A595" s="19"/>
      <c r="B595" t="s">
        <v>927</v>
      </c>
      <c r="C595"/>
      <c r="D595"/>
      <c r="E595"/>
      <c r="F595"/>
      <c r="G595" s="1359" t="s">
        <v>1116</v>
      </c>
      <c r="H595" s="1359"/>
      <c r="I595" s="1359"/>
      <c r="J595" s="1359"/>
      <c r="K595" s="1359"/>
      <c r="L595" s="1359"/>
      <c r="M595" s="1359"/>
      <c r="N595" s="1359"/>
      <c r="O595" s="1359"/>
      <c r="P595" s="1359"/>
      <c r="Q595" s="1359"/>
      <c r="R595" s="1359"/>
      <c r="S595"/>
      <c r="T595" s="19"/>
      <c r="U595" t="s">
        <v>927</v>
      </c>
      <c r="V595"/>
      <c r="W595"/>
      <c r="X595"/>
      <c r="Y595"/>
      <c r="Z595" s="1326" t="s">
        <v>1116</v>
      </c>
      <c r="AA595" s="1326"/>
      <c r="AB595" s="1326"/>
      <c r="AC595" s="1326"/>
      <c r="AD595" s="1326"/>
      <c r="AE595" s="1326"/>
      <c r="AF595" s="1326"/>
      <c r="AG595" s="1326"/>
      <c r="AH595" s="1326"/>
      <c r="AI595" s="1326"/>
      <c r="AJ595" s="1326"/>
      <c r="AK595" s="1326"/>
      <c r="AL595"/>
      <c r="AM595"/>
      <c r="AN595"/>
      <c r="AO595"/>
      <c r="AP595"/>
      <c r="AQ595"/>
      <c r="AR595"/>
      <c r="AS595"/>
      <c r="AT595"/>
      <c r="AU595"/>
      <c r="AV595"/>
      <c r="AW595"/>
      <c r="AX595"/>
      <c r="AY595"/>
      <c r="AZ595" s="3"/>
      <c r="BA595" s="3"/>
      <c r="BB595" s="3"/>
      <c r="BC595" s="3"/>
    </row>
    <row r="596" spans="1:55" s="4" customFormat="1" ht="13" customHeight="1">
      <c r="A596" s="19"/>
      <c r="B596" t="s">
        <v>1417</v>
      </c>
      <c r="C596"/>
      <c r="D596"/>
      <c r="E596"/>
      <c r="F596"/>
      <c r="G596" s="1359" t="s">
        <v>1066</v>
      </c>
      <c r="H596" s="1359"/>
      <c r="I596" s="1359"/>
      <c r="J596" s="1359"/>
      <c r="K596" s="1359"/>
      <c r="L596" s="1359"/>
      <c r="M596" s="1359"/>
      <c r="N596" s="1359"/>
      <c r="O596" s="1359"/>
      <c r="P596" s="1359"/>
      <c r="Q596" s="1359"/>
      <c r="R596" s="1359"/>
      <c r="S596"/>
      <c r="T596" s="19"/>
      <c r="U596" t="s">
        <v>1417</v>
      </c>
      <c r="V596"/>
      <c r="W596"/>
      <c r="X596"/>
      <c r="Y596"/>
      <c r="Z596" s="1326" t="s">
        <v>1066</v>
      </c>
      <c r="AA596" s="1326"/>
      <c r="AB596" s="1326"/>
      <c r="AC596" s="1326"/>
      <c r="AD596" s="1326"/>
      <c r="AE596" s="1326"/>
      <c r="AF596" s="1326"/>
      <c r="AG596" s="1326"/>
      <c r="AH596" s="1326"/>
      <c r="AI596" s="1326"/>
      <c r="AJ596" s="1326"/>
      <c r="AK596" s="1326"/>
      <c r="AL596"/>
      <c r="AM596"/>
      <c r="AN596"/>
      <c r="AO596"/>
      <c r="AP596"/>
      <c r="AQ596"/>
      <c r="AR596"/>
      <c r="AS596"/>
      <c r="AT596"/>
      <c r="AU596"/>
      <c r="AV596"/>
      <c r="AW596"/>
      <c r="AX596"/>
      <c r="AY596"/>
      <c r="AZ596" s="3"/>
      <c r="BA596" s="3"/>
      <c r="BB596" s="3"/>
      <c r="BC596" s="3"/>
    </row>
    <row r="597" spans="1:55" s="4" customFormat="1" ht="13" customHeight="1">
      <c r="A597" s="19"/>
      <c r="B597" t="s">
        <v>821</v>
      </c>
      <c r="C597"/>
      <c r="D597"/>
      <c r="E597"/>
      <c r="F597"/>
      <c r="G597" s="1439" t="s">
        <v>1425</v>
      </c>
      <c r="H597" s="1439"/>
      <c r="I597" s="1439"/>
      <c r="J597" s="1439"/>
      <c r="K597" s="1439"/>
      <c r="L597" s="1439"/>
      <c r="M597"/>
      <c r="N597"/>
      <c r="O597" s="922" t="s">
        <v>1069</v>
      </c>
      <c r="P597" s="1423"/>
      <c r="Q597" s="1423"/>
      <c r="R597" s="1423"/>
      <c r="S597"/>
      <c r="T597" s="19"/>
      <c r="U597" t="s">
        <v>821</v>
      </c>
      <c r="V597"/>
      <c r="W597"/>
      <c r="X597"/>
      <c r="Y597"/>
      <c r="Z597" s="1439" t="s">
        <v>1425</v>
      </c>
      <c r="AA597" s="1439"/>
      <c r="AB597" s="1439"/>
      <c r="AC597" s="1439"/>
      <c r="AD597" s="1439"/>
      <c r="AE597" s="1439"/>
      <c r="AF597"/>
      <c r="AG597"/>
      <c r="AH597" s="922" t="s">
        <v>1069</v>
      </c>
      <c r="AI597" s="1423"/>
      <c r="AJ597" s="1423"/>
      <c r="AK597" s="1423"/>
      <c r="AL597"/>
      <c r="AM597"/>
      <c r="AN597"/>
      <c r="AO597"/>
      <c r="AP597"/>
      <c r="AQ597"/>
      <c r="AR597"/>
      <c r="AS597"/>
      <c r="AT597"/>
      <c r="AU597"/>
      <c r="AV597"/>
      <c r="AW597"/>
      <c r="AX597"/>
      <c r="AY597"/>
      <c r="AZ597" s="3"/>
      <c r="BA597" s="3"/>
      <c r="BB597" s="3"/>
      <c r="BC597" s="3"/>
    </row>
    <row r="598" spans="1:55" s="4" customFormat="1" ht="13" customHeight="1">
      <c r="A598" s="19"/>
      <c r="B598" t="s">
        <v>1420</v>
      </c>
      <c r="C598"/>
      <c r="D598"/>
      <c r="E598"/>
      <c r="F598"/>
      <c r="G598"/>
      <c r="H598" s="1359" t="s">
        <v>1426</v>
      </c>
      <c r="I598" s="1359"/>
      <c r="J598" s="1359"/>
      <c r="K598" s="1359"/>
      <c r="L598" s="1359"/>
      <c r="M598" s="1359"/>
      <c r="N598" s="1359"/>
      <c r="O598" s="1359"/>
      <c r="P598" s="1359"/>
      <c r="Q598" s="1359"/>
      <c r="R598" s="1359"/>
      <c r="S598"/>
      <c r="T598" s="19"/>
      <c r="U598" t="s">
        <v>1420</v>
      </c>
      <c r="V598"/>
      <c r="W598"/>
      <c r="X598"/>
      <c r="Y598"/>
      <c r="Z598"/>
      <c r="AA598" s="1359" t="s">
        <v>1426</v>
      </c>
      <c r="AB598" s="1359"/>
      <c r="AC598" s="1359"/>
      <c r="AD598" s="1359"/>
      <c r="AE598" s="1359"/>
      <c r="AF598" s="1359"/>
      <c r="AG598" s="1359"/>
      <c r="AH598" s="1359"/>
      <c r="AI598" s="1359"/>
      <c r="AJ598" s="1359"/>
      <c r="AK598" s="1359"/>
      <c r="AL598"/>
      <c r="AM598"/>
      <c r="AN598"/>
      <c r="AO598"/>
      <c r="AP598"/>
      <c r="AQ598"/>
      <c r="AR598"/>
      <c r="AS598"/>
      <c r="AT598"/>
      <c r="AU598"/>
      <c r="AV598"/>
      <c r="AW598"/>
      <c r="AX598"/>
      <c r="AY598"/>
      <c r="AZ598" s="3"/>
      <c r="BA598" s="3"/>
      <c r="BB598" s="3"/>
      <c r="BC598" s="3"/>
    </row>
    <row r="599" spans="1:55" ht="13" customHeight="1">
      <c r="A599" s="19"/>
      <c r="B599" t="s">
        <v>1424</v>
      </c>
      <c r="N599" s="1367" t="s">
        <v>842</v>
      </c>
      <c r="O599" s="1367"/>
      <c r="T599" s="19"/>
      <c r="U599" t="s">
        <v>1424</v>
      </c>
      <c r="AG599" s="1367" t="s">
        <v>842</v>
      </c>
      <c r="AH599" s="1367"/>
      <c r="BB599" s="3"/>
      <c r="BC599" s="3"/>
    </row>
    <row r="600" spans="1:55" ht="13" customHeight="1">
      <c r="A600" s="19"/>
      <c r="T600" s="19"/>
      <c r="BB600" s="3"/>
      <c r="BC600" s="3"/>
    </row>
    <row r="601" spans="1:55" ht="13" customHeight="1">
      <c r="A601" s="47" t="s">
        <v>1406</v>
      </c>
      <c r="B601" t="s">
        <v>1414</v>
      </c>
      <c r="G601" s="1435" t="str">
        <f>C562</f>
        <v>Limited Partnership Equity</v>
      </c>
      <c r="H601" s="1435"/>
      <c r="I601" s="1435"/>
      <c r="J601" s="1435"/>
      <c r="K601" s="1435"/>
      <c r="L601" s="1435"/>
      <c r="M601" s="1435"/>
      <c r="N601" s="1435"/>
      <c r="O601" s="1435"/>
      <c r="P601" s="1435"/>
      <c r="Q601" s="1435"/>
      <c r="R601" s="1435"/>
      <c r="T601" s="47" t="s">
        <v>1408</v>
      </c>
      <c r="U601" t="s">
        <v>1414</v>
      </c>
      <c r="Z601" s="1435">
        <f>C563</f>
        <v>0</v>
      </c>
      <c r="AA601" s="1435"/>
      <c r="AB601" s="1435"/>
      <c r="AC601" s="1435"/>
      <c r="AD601" s="1435"/>
      <c r="AE601" s="1435"/>
      <c r="AF601" s="1435"/>
      <c r="AG601" s="1435"/>
      <c r="AH601" s="1435"/>
      <c r="AI601" s="1435"/>
      <c r="AJ601" s="1435"/>
      <c r="AK601" s="1435"/>
      <c r="BB601" s="3"/>
      <c r="BC601" s="3"/>
    </row>
    <row r="602" spans="1:55" ht="13" customHeight="1">
      <c r="A602" s="19"/>
      <c r="B602" t="s">
        <v>1060</v>
      </c>
      <c r="G602" s="1472" t="s">
        <v>1061</v>
      </c>
      <c r="H602" s="1359"/>
      <c r="I602" s="1359"/>
      <c r="J602" s="1359"/>
      <c r="K602" s="1359"/>
      <c r="L602" s="1359"/>
      <c r="M602" s="1359"/>
      <c r="N602" s="1359"/>
      <c r="O602" s="1359"/>
      <c r="P602" s="1359"/>
      <c r="Q602" s="1359"/>
      <c r="R602" s="1359"/>
      <c r="T602" s="19"/>
      <c r="U602" t="s">
        <v>1060</v>
      </c>
      <c r="Z602" s="1359"/>
      <c r="AA602" s="1359"/>
      <c r="AB602" s="1359"/>
      <c r="AC602" s="1359"/>
      <c r="AD602" s="1359"/>
      <c r="AE602" s="1359"/>
      <c r="AF602" s="1359"/>
      <c r="AG602" s="1359"/>
      <c r="AH602" s="1359"/>
      <c r="AI602" s="1359"/>
      <c r="AJ602" s="1359"/>
      <c r="AK602" s="1359"/>
      <c r="AZ602" s="3"/>
      <c r="BA602" s="3"/>
      <c r="BB602" s="3"/>
      <c r="BC602" s="3"/>
    </row>
    <row r="603" spans="1:55" ht="13" customHeight="1">
      <c r="A603" s="19"/>
      <c r="B603" t="s">
        <v>927</v>
      </c>
      <c r="G603" s="1472" t="s">
        <v>1116</v>
      </c>
      <c r="H603" s="1359"/>
      <c r="I603" s="1359"/>
      <c r="J603" s="1359"/>
      <c r="K603" s="1359"/>
      <c r="L603" s="1359"/>
      <c r="M603" s="1359"/>
      <c r="N603" s="1359"/>
      <c r="O603" s="1359"/>
      <c r="P603" s="1359"/>
      <c r="Q603" s="1359"/>
      <c r="R603" s="1359"/>
      <c r="T603" s="19"/>
      <c r="U603" t="s">
        <v>927</v>
      </c>
      <c r="Z603" s="1326"/>
      <c r="AA603" s="1326"/>
      <c r="AB603" s="1326"/>
      <c r="AC603" s="1326"/>
      <c r="AD603" s="1326"/>
      <c r="AE603" s="1326"/>
      <c r="AF603" s="1326"/>
      <c r="AG603" s="1326"/>
      <c r="AH603" s="1326"/>
      <c r="AI603" s="1326"/>
      <c r="AJ603" s="1326"/>
      <c r="AK603" s="1326"/>
      <c r="AZ603" s="3"/>
      <c r="BA603" s="3"/>
      <c r="BB603" s="3"/>
      <c r="BC603" s="3"/>
    </row>
    <row r="604" spans="1:55" ht="13" customHeight="1">
      <c r="A604" s="19"/>
      <c r="B604" t="s">
        <v>1417</v>
      </c>
      <c r="G604" s="1472" t="s">
        <v>1066</v>
      </c>
      <c r="H604" s="1359"/>
      <c r="I604" s="1359"/>
      <c r="J604" s="1359"/>
      <c r="K604" s="1359"/>
      <c r="L604" s="1359"/>
      <c r="M604" s="1359"/>
      <c r="N604" s="1359"/>
      <c r="O604" s="1359"/>
      <c r="P604" s="1359"/>
      <c r="Q604" s="1359"/>
      <c r="R604" s="1359"/>
      <c r="T604" s="19"/>
      <c r="U604" t="s">
        <v>1417</v>
      </c>
      <c r="Z604" s="1326"/>
      <c r="AA604" s="1326"/>
      <c r="AB604" s="1326"/>
      <c r="AC604" s="1326"/>
      <c r="AD604" s="1326"/>
      <c r="AE604" s="1326"/>
      <c r="AF604" s="1326"/>
      <c r="AG604" s="1326"/>
      <c r="AH604" s="1326"/>
      <c r="AI604" s="1326"/>
      <c r="AJ604" s="1326"/>
      <c r="AK604" s="1326"/>
      <c r="AZ604" s="3"/>
      <c r="BA604" s="3"/>
      <c r="BB604" s="3"/>
      <c r="BC604" s="3"/>
    </row>
    <row r="605" spans="1:55" s="4" customFormat="1" ht="13" customHeight="1">
      <c r="A605" s="19"/>
      <c r="B605" t="s">
        <v>821</v>
      </c>
      <c r="C605"/>
      <c r="D605"/>
      <c r="E605"/>
      <c r="F605"/>
      <c r="G605" s="1439" t="s">
        <v>1425</v>
      </c>
      <c r="H605" s="1439"/>
      <c r="I605" s="1439"/>
      <c r="J605" s="1439"/>
      <c r="K605" s="1439"/>
      <c r="L605" s="1439"/>
      <c r="M605"/>
      <c r="N605"/>
      <c r="O605" s="922" t="s">
        <v>1069</v>
      </c>
      <c r="P605" s="1423"/>
      <c r="Q605" s="1423"/>
      <c r="R605" s="1423"/>
      <c r="S605"/>
      <c r="T605" s="19"/>
      <c r="U605" t="s">
        <v>821</v>
      </c>
      <c r="V605"/>
      <c r="W605"/>
      <c r="X605"/>
      <c r="Y605"/>
      <c r="Z605" s="1439"/>
      <c r="AA605" s="1439"/>
      <c r="AB605" s="1439"/>
      <c r="AC605" s="1439"/>
      <c r="AD605" s="1439"/>
      <c r="AE605" s="1439"/>
      <c r="AF605"/>
      <c r="AG605"/>
      <c r="AH605" s="922" t="s">
        <v>1069</v>
      </c>
      <c r="AI605" s="1423"/>
      <c r="AJ605" s="1423"/>
      <c r="AK605" s="1423"/>
      <c r="AL605"/>
      <c r="AM605"/>
      <c r="AN605"/>
      <c r="AO605"/>
      <c r="AP605"/>
      <c r="AQ605"/>
      <c r="AR605"/>
      <c r="AS605"/>
      <c r="AT605"/>
      <c r="AU605"/>
      <c r="AV605"/>
      <c r="AW605"/>
      <c r="AX605"/>
      <c r="AY605"/>
      <c r="AZ605" s="3"/>
      <c r="BA605" s="3"/>
      <c r="BB605" s="3"/>
      <c r="BC605" s="3"/>
    </row>
    <row r="606" spans="1:55" s="4" customFormat="1" ht="13" customHeight="1">
      <c r="A606" s="19"/>
      <c r="B606" t="s">
        <v>1420</v>
      </c>
      <c r="C606"/>
      <c r="D606"/>
      <c r="E606"/>
      <c r="F606"/>
      <c r="G606"/>
      <c r="H606" s="1472" t="s">
        <v>1435</v>
      </c>
      <c r="I606" s="1359"/>
      <c r="J606" s="1359"/>
      <c r="K606" s="1359"/>
      <c r="L606" s="1359"/>
      <c r="M606" s="1359"/>
      <c r="N606" s="1359"/>
      <c r="O606" s="1359"/>
      <c r="P606" s="1359"/>
      <c r="Q606" s="1359"/>
      <c r="R606" s="1359"/>
      <c r="S606"/>
      <c r="T606" s="19"/>
      <c r="U606" t="s">
        <v>1420</v>
      </c>
      <c r="V606"/>
      <c r="W606"/>
      <c r="X606"/>
      <c r="Y606"/>
      <c r="Z606"/>
      <c r="AA606" s="1359"/>
      <c r="AB606" s="1359"/>
      <c r="AC606" s="1359"/>
      <c r="AD606" s="1359"/>
      <c r="AE606" s="1359"/>
      <c r="AF606" s="1359"/>
      <c r="AG606" s="1359"/>
      <c r="AH606" s="1359"/>
      <c r="AI606" s="1359"/>
      <c r="AJ606" s="1359"/>
      <c r="AK606" s="1359"/>
      <c r="AL606"/>
      <c r="AM606"/>
      <c r="AN606"/>
      <c r="AO606"/>
      <c r="AP606"/>
      <c r="AQ606"/>
      <c r="AR606"/>
      <c r="AS606"/>
      <c r="AT606"/>
      <c r="AU606"/>
      <c r="AV606"/>
      <c r="AW606"/>
      <c r="AX606"/>
      <c r="AY606"/>
      <c r="AZ606" s="3"/>
      <c r="BA606" s="3"/>
      <c r="BB606" s="3"/>
      <c r="BC606" s="3"/>
    </row>
    <row r="607" spans="1:55" s="4" customFormat="1" ht="13" customHeight="1">
      <c r="A607" s="19"/>
      <c r="B607" t="s">
        <v>1424</v>
      </c>
      <c r="C607"/>
      <c r="D607"/>
      <c r="E607"/>
      <c r="F607"/>
      <c r="G607"/>
      <c r="H607"/>
      <c r="I607"/>
      <c r="J607"/>
      <c r="K607"/>
      <c r="L607"/>
      <c r="M607"/>
      <c r="N607" s="1367" t="s">
        <v>842</v>
      </c>
      <c r="O607" s="1367"/>
      <c r="P607"/>
      <c r="Q607"/>
      <c r="R607"/>
      <c r="S607"/>
      <c r="T607" s="19"/>
      <c r="U607" t="s">
        <v>1424</v>
      </c>
      <c r="V607"/>
      <c r="W607"/>
      <c r="X607"/>
      <c r="Y607"/>
      <c r="Z607"/>
      <c r="AA607"/>
      <c r="AB607"/>
      <c r="AC607"/>
      <c r="AD607"/>
      <c r="AE607"/>
      <c r="AF607"/>
      <c r="AG607" s="1367"/>
      <c r="AH607" s="1367"/>
      <c r="AI607"/>
      <c r="AJ607"/>
      <c r="AK607"/>
      <c r="AL607"/>
      <c r="AM607"/>
      <c r="AN607"/>
      <c r="AO607"/>
      <c r="AP607"/>
      <c r="AQ607"/>
      <c r="AR607"/>
      <c r="AS607"/>
      <c r="AT607"/>
      <c r="AU607"/>
      <c r="AV607"/>
      <c r="AW607"/>
      <c r="AX607"/>
      <c r="AY607"/>
      <c r="AZ607" s="3"/>
      <c r="BA607" s="3"/>
      <c r="BB607" s="3"/>
      <c r="BC607" s="3"/>
    </row>
    <row r="608" spans="1:55" ht="13" customHeight="1">
      <c r="A608" s="19"/>
      <c r="T608" s="19"/>
      <c r="AZ608" s="3"/>
      <c r="BA608" s="3"/>
      <c r="BB608" s="3"/>
      <c r="BC608" s="3"/>
    </row>
    <row r="609" spans="1:55" ht="13" customHeight="1">
      <c r="A609" s="47" t="s">
        <v>1410</v>
      </c>
      <c r="B609" t="s">
        <v>1414</v>
      </c>
      <c r="G609" s="1435">
        <f>C564</f>
        <v>0</v>
      </c>
      <c r="H609" s="1435"/>
      <c r="I609" s="1435"/>
      <c r="J609" s="1435"/>
      <c r="K609" s="1435"/>
      <c r="L609" s="1435"/>
      <c r="M609" s="1435"/>
      <c r="N609" s="1435"/>
      <c r="O609" s="1435"/>
      <c r="P609" s="1435"/>
      <c r="Q609" s="1435"/>
      <c r="R609" s="1435"/>
      <c r="T609" s="47" t="s">
        <v>1412</v>
      </c>
      <c r="U609" t="s">
        <v>1414</v>
      </c>
      <c r="Z609" s="1435">
        <f>C565</f>
        <v>0</v>
      </c>
      <c r="AA609" s="1435"/>
      <c r="AB609" s="1435"/>
      <c r="AC609" s="1435"/>
      <c r="AD609" s="1435"/>
      <c r="AE609" s="1435"/>
      <c r="AF609" s="1435"/>
      <c r="AG609" s="1435"/>
      <c r="AH609" s="1435"/>
      <c r="AI609" s="1435"/>
      <c r="AJ609" s="1435"/>
      <c r="AK609" s="1435"/>
      <c r="AZ609" s="3"/>
      <c r="BA609" s="3"/>
      <c r="BB609" s="3"/>
      <c r="BC609" s="3"/>
    </row>
    <row r="610" spans="1:55" ht="13" customHeight="1">
      <c r="B610" t="s">
        <v>1060</v>
      </c>
      <c r="G610" s="1359"/>
      <c r="H610" s="1359"/>
      <c r="I610" s="1359"/>
      <c r="J610" s="1359"/>
      <c r="K610" s="1359"/>
      <c r="L610" s="1359"/>
      <c r="M610" s="1359"/>
      <c r="N610" s="1359"/>
      <c r="O610" s="1359"/>
      <c r="P610" s="1359"/>
      <c r="Q610" s="1359"/>
      <c r="R610" s="1359"/>
      <c r="U610" t="s">
        <v>1060</v>
      </c>
      <c r="Z610" s="1359"/>
      <c r="AA610" s="1359"/>
      <c r="AB610" s="1359"/>
      <c r="AC610" s="1359"/>
      <c r="AD610" s="1359"/>
      <c r="AE610" s="1359"/>
      <c r="AF610" s="1359"/>
      <c r="AG610" s="1359"/>
      <c r="AH610" s="1359"/>
      <c r="AI610" s="1359"/>
      <c r="AJ610" s="1359"/>
      <c r="AK610" s="1359"/>
      <c r="AZ610" s="3"/>
      <c r="BA610" s="3"/>
      <c r="BB610" s="3"/>
      <c r="BC610" s="3"/>
    </row>
    <row r="611" spans="1:55" ht="13" customHeight="1">
      <c r="B611" t="s">
        <v>927</v>
      </c>
      <c r="G611" s="1359"/>
      <c r="H611" s="1359"/>
      <c r="I611" s="1359"/>
      <c r="J611" s="1359"/>
      <c r="K611" s="1359"/>
      <c r="L611" s="1359"/>
      <c r="M611" s="1359"/>
      <c r="N611" s="1359"/>
      <c r="O611" s="1359"/>
      <c r="P611" s="1359"/>
      <c r="Q611" s="1359"/>
      <c r="R611" s="1359"/>
      <c r="U611" t="s">
        <v>927</v>
      </c>
      <c r="Z611" s="1326"/>
      <c r="AA611" s="1326"/>
      <c r="AB611" s="1326"/>
      <c r="AC611" s="1326"/>
      <c r="AD611" s="1326"/>
      <c r="AE611" s="1326"/>
      <c r="AF611" s="1326"/>
      <c r="AG611" s="1326"/>
      <c r="AH611" s="1326"/>
      <c r="AI611" s="1326"/>
      <c r="AJ611" s="1326"/>
      <c r="AK611" s="1326"/>
      <c r="AZ611" s="3"/>
      <c r="BA611" s="3"/>
      <c r="BB611" s="3"/>
      <c r="BC611" s="3"/>
    </row>
    <row r="612" spans="1:55" ht="13" customHeight="1">
      <c r="B612" t="s">
        <v>1417</v>
      </c>
      <c r="G612" s="1359"/>
      <c r="H612" s="1359"/>
      <c r="I612" s="1359"/>
      <c r="J612" s="1359"/>
      <c r="K612" s="1359"/>
      <c r="L612" s="1359"/>
      <c r="M612" s="1359"/>
      <c r="N612" s="1359"/>
      <c r="O612" s="1359"/>
      <c r="P612" s="1359"/>
      <c r="Q612" s="1359"/>
      <c r="R612" s="1359"/>
      <c r="U612" t="s">
        <v>1417</v>
      </c>
      <c r="Z612" s="1326"/>
      <c r="AA612" s="1326"/>
      <c r="AB612" s="1326"/>
      <c r="AC612" s="1326"/>
      <c r="AD612" s="1326"/>
      <c r="AE612" s="1326"/>
      <c r="AF612" s="1326"/>
      <c r="AG612" s="1326"/>
      <c r="AH612" s="1326"/>
      <c r="AI612" s="1326"/>
      <c r="AJ612" s="1326"/>
      <c r="AK612" s="1326"/>
      <c r="AZ612" s="3"/>
      <c r="BA612" s="3"/>
      <c r="BB612" s="3"/>
      <c r="BC612" s="3"/>
    </row>
    <row r="613" spans="1:55" ht="13" customHeight="1">
      <c r="B613" t="s">
        <v>821</v>
      </c>
      <c r="G613" s="1439"/>
      <c r="H613" s="1439"/>
      <c r="I613" s="1439"/>
      <c r="J613" s="1439"/>
      <c r="K613" s="1439"/>
      <c r="L613" s="1439"/>
      <c r="O613" s="922" t="s">
        <v>1069</v>
      </c>
      <c r="P613" s="1423"/>
      <c r="Q613" s="1423"/>
      <c r="R613" s="1423"/>
      <c r="U613" t="s">
        <v>821</v>
      </c>
      <c r="Z613" s="1439"/>
      <c r="AA613" s="1439"/>
      <c r="AB613" s="1439"/>
      <c r="AC613" s="1439"/>
      <c r="AD613" s="1439"/>
      <c r="AE613" s="1439"/>
      <c r="AH613" s="922" t="s">
        <v>1069</v>
      </c>
      <c r="AI613" s="1423"/>
      <c r="AJ613" s="1423"/>
      <c r="AK613" s="1423"/>
      <c r="AZ613" s="3"/>
      <c r="BA613" s="3"/>
      <c r="BB613" s="3"/>
      <c r="BC613" s="3"/>
    </row>
    <row r="614" spans="1:55" ht="13" customHeight="1">
      <c r="B614" t="s">
        <v>1420</v>
      </c>
      <c r="H614" s="1359"/>
      <c r="I614" s="1359"/>
      <c r="J614" s="1359"/>
      <c r="K614" s="1359"/>
      <c r="L614" s="1359"/>
      <c r="M614" s="1359"/>
      <c r="N614" s="1359"/>
      <c r="O614" s="1359"/>
      <c r="P614" s="1359"/>
      <c r="Q614" s="1359"/>
      <c r="R614" s="1359"/>
      <c r="U614" t="s">
        <v>1420</v>
      </c>
      <c r="AA614" s="1359"/>
      <c r="AB614" s="1359"/>
      <c r="AC614" s="1359"/>
      <c r="AD614" s="1359"/>
      <c r="AE614" s="1359"/>
      <c r="AF614" s="1359"/>
      <c r="AG614" s="1359"/>
      <c r="AH614" s="1359"/>
      <c r="AI614" s="1359"/>
      <c r="AJ614" s="1359"/>
      <c r="AK614" s="1359"/>
      <c r="AU614" s="794"/>
      <c r="AV614" s="794"/>
      <c r="AW614" s="794"/>
      <c r="AX614" s="794"/>
      <c r="AY614" s="794"/>
      <c r="AZ614" s="3"/>
      <c r="BA614" s="3"/>
      <c r="BB614" s="3"/>
      <c r="BC614" s="3"/>
    </row>
    <row r="615" spans="1:55" ht="13" customHeight="1">
      <c r="B615" t="s">
        <v>1424</v>
      </c>
      <c r="N615" s="1367"/>
      <c r="O615" s="1367"/>
      <c r="U615" t="s">
        <v>1424</v>
      </c>
      <c r="AG615" s="1367"/>
      <c r="AH615" s="1367"/>
      <c r="AU615" s="794"/>
      <c r="AV615" s="794"/>
      <c r="AW615" s="794"/>
      <c r="AX615" s="794"/>
      <c r="AY615" s="794"/>
      <c r="AZ615" s="3"/>
      <c r="BA615" s="3"/>
      <c r="BB615" s="3"/>
      <c r="BC615" s="3"/>
    </row>
    <row r="616" spans="1:55" ht="13" customHeight="1">
      <c r="AZ616" s="3"/>
      <c r="BA616" s="3"/>
      <c r="BB616" s="3"/>
      <c r="BC616" s="3"/>
    </row>
    <row r="617" spans="1:55" ht="13" customHeight="1">
      <c r="A617" s="1231" t="s">
        <v>1436</v>
      </c>
      <c r="B617" s="1231"/>
      <c r="C617" s="1231"/>
      <c r="D617" s="1231"/>
      <c r="E617" s="1231"/>
      <c r="F617" s="1231"/>
      <c r="G617" s="1231"/>
      <c r="H617" s="1231"/>
      <c r="I617" s="1231"/>
      <c r="J617" s="1231"/>
      <c r="K617" s="1231"/>
      <c r="L617" s="1231"/>
      <c r="M617" s="1231"/>
      <c r="N617" s="1231"/>
      <c r="O617" s="1231"/>
      <c r="P617" s="1231"/>
      <c r="Q617" s="1231"/>
      <c r="R617" s="1231"/>
      <c r="S617" s="1231"/>
      <c r="T617" s="1231"/>
      <c r="U617" s="1231"/>
      <c r="V617" s="1231"/>
      <c r="W617" s="1231"/>
      <c r="X617" s="1231"/>
      <c r="Y617" s="1231"/>
      <c r="Z617" s="1231"/>
      <c r="AA617" s="1231"/>
      <c r="AB617" s="1231"/>
      <c r="AC617" s="1231"/>
      <c r="AD617" s="1231"/>
      <c r="AE617" s="1231"/>
      <c r="AF617" s="1231"/>
      <c r="AG617" s="1231"/>
      <c r="AH617" s="1231"/>
      <c r="AI617" s="1231"/>
      <c r="AJ617" s="1231"/>
      <c r="AK617" s="1231"/>
      <c r="AL617" s="1231"/>
      <c r="AM617" s="1231"/>
      <c r="AN617" s="1231"/>
      <c r="AO617" s="1231"/>
      <c r="AP617" s="1231"/>
      <c r="AQ617" s="1231"/>
      <c r="AR617" s="1231"/>
      <c r="AS617" s="1231"/>
      <c r="AT617" s="1231"/>
      <c r="AZ617" s="3"/>
      <c r="BA617" s="3"/>
      <c r="BB617" s="3"/>
      <c r="BC617" s="3"/>
    </row>
    <row r="618" spans="1:55" ht="13" customHeight="1">
      <c r="A618" s="1231"/>
      <c r="B618" s="1231"/>
      <c r="C618" s="1231"/>
      <c r="D618" s="1231"/>
      <c r="E618" s="1231"/>
      <c r="F618" s="1231"/>
      <c r="G618" s="1231"/>
      <c r="H618" s="1231"/>
      <c r="I618" s="1231"/>
      <c r="J618" s="1231"/>
      <c r="K618" s="1231"/>
      <c r="L618" s="1231"/>
      <c r="M618" s="1231"/>
      <c r="N618" s="1231"/>
      <c r="O618" s="1231"/>
      <c r="P618" s="1231"/>
      <c r="Q618" s="1231"/>
      <c r="R618" s="1231"/>
      <c r="S618" s="1231"/>
      <c r="T618" s="1231"/>
      <c r="U618" s="1231"/>
      <c r="V618" s="1231"/>
      <c r="W618" s="1231"/>
      <c r="X618" s="1231"/>
      <c r="Y618" s="1231"/>
      <c r="Z618" s="1231"/>
      <c r="AA618" s="1231"/>
      <c r="AB618" s="1231"/>
      <c r="AC618" s="1231"/>
      <c r="AD618" s="1231"/>
      <c r="AE618" s="1231"/>
      <c r="AF618" s="1231"/>
      <c r="AG618" s="1231"/>
      <c r="AH618" s="1231"/>
      <c r="AI618" s="1231"/>
      <c r="AJ618" s="1231"/>
      <c r="AK618" s="1231"/>
      <c r="AL618" s="1231"/>
      <c r="AM618" s="1231"/>
      <c r="AN618" s="1231"/>
      <c r="AO618" s="1231"/>
      <c r="AP618" s="1231"/>
      <c r="AQ618" s="1231"/>
      <c r="AR618" s="1231"/>
      <c r="AS618" s="1231"/>
      <c r="AT618" s="1231"/>
      <c r="AZ618" s="3"/>
      <c r="BA618" s="3"/>
      <c r="BB618" s="3"/>
      <c r="BC618" s="3"/>
    </row>
    <row r="619" spans="1:55" ht="13" customHeight="1">
      <c r="AZ619" s="3"/>
      <c r="BA619" s="3"/>
      <c r="BB619" s="3"/>
      <c r="BC619" s="3"/>
    </row>
    <row r="620" spans="1:55" ht="13" customHeight="1">
      <c r="A620" s="2" t="s">
        <v>867</v>
      </c>
      <c r="B620" s="2"/>
      <c r="C620" s="2" t="s">
        <v>175</v>
      </c>
      <c r="AZ620" s="3"/>
      <c r="BA620" s="3"/>
      <c r="BB620" s="3"/>
      <c r="BC620" s="3"/>
    </row>
    <row r="621" spans="1:55" ht="13" customHeight="1">
      <c r="A621" s="2"/>
      <c r="B621" s="2"/>
      <c r="C621" s="2"/>
      <c r="AZ621" s="3"/>
      <c r="BA621" s="3"/>
      <c r="BB621" s="3"/>
      <c r="BC621" s="3"/>
    </row>
    <row r="622" spans="1:55" ht="13" customHeight="1">
      <c r="C622" s="2" t="s">
        <v>1387</v>
      </c>
      <c r="AZ622" s="3"/>
      <c r="BA622" s="3"/>
      <c r="BB622" s="3"/>
      <c r="BC622" s="3"/>
    </row>
    <row r="623" spans="1:55" ht="13" customHeight="1">
      <c r="B623" s="411"/>
      <c r="C623" s="2"/>
      <c r="AU623" s="3"/>
      <c r="AZ623" s="3"/>
      <c r="BA623" s="3"/>
      <c r="BB623" s="3"/>
      <c r="BC623" s="3"/>
    </row>
    <row r="624" spans="1:55" ht="13" customHeight="1">
      <c r="B624" s="1609" t="s">
        <v>1388</v>
      </c>
      <c r="C624" s="1609"/>
      <c r="D624" s="1609"/>
      <c r="E624" s="1609"/>
      <c r="F624" s="1609"/>
      <c r="G624" s="1609"/>
      <c r="H624" s="1609"/>
      <c r="I624" s="1609"/>
      <c r="J624" s="1609"/>
      <c r="K624" s="1609"/>
      <c r="L624" s="1609"/>
      <c r="M624" s="1614" t="s">
        <v>1389</v>
      </c>
      <c r="N624" s="1614"/>
      <c r="O624" s="1614"/>
      <c r="P624" s="1614"/>
      <c r="Q624" s="1614" t="s">
        <v>1437</v>
      </c>
      <c r="R624" s="1614"/>
      <c r="S624" s="1614"/>
      <c r="T624" s="1614" t="s">
        <v>1438</v>
      </c>
      <c r="U624" s="1614"/>
      <c r="V624" s="1614"/>
      <c r="W624" s="1610" t="s">
        <v>1392</v>
      </c>
      <c r="X624" s="1610"/>
      <c r="Y624" s="1610"/>
      <c r="Z624" s="1349" t="s">
        <v>1439</v>
      </c>
      <c r="AA624" s="1349"/>
      <c r="AB624" s="1350"/>
      <c r="AC624" s="1615" t="s">
        <v>1394</v>
      </c>
      <c r="AD624" s="1616"/>
      <c r="AE624" s="1617"/>
      <c r="AF624" s="1348" t="s">
        <v>1440</v>
      </c>
      <c r="AG624" s="1349"/>
      <c r="AH624" s="1349"/>
      <c r="AI624" s="1349"/>
      <c r="AJ624" s="1350"/>
      <c r="AK624" s="1532" t="s">
        <v>1441</v>
      </c>
      <c r="AL624" s="1533"/>
      <c r="AM624" s="1533"/>
      <c r="AN624" s="1534"/>
      <c r="AO624" s="1614" t="s">
        <v>1396</v>
      </c>
      <c r="AP624" s="1614"/>
      <c r="AQ624" s="1614"/>
      <c r="AR624" s="1614"/>
      <c r="AS624" s="1614"/>
      <c r="AU624" s="3"/>
      <c r="AZ624" s="3"/>
      <c r="BA624" s="3"/>
      <c r="BB624" s="3"/>
      <c r="BC624" s="3"/>
    </row>
    <row r="625" spans="2:157" ht="13" customHeight="1">
      <c r="B625" s="1609"/>
      <c r="C625" s="1609"/>
      <c r="D625" s="1609"/>
      <c r="E625" s="1609"/>
      <c r="F625" s="1609"/>
      <c r="G625" s="1609"/>
      <c r="H625" s="1609"/>
      <c r="I625" s="1609"/>
      <c r="J625" s="1609"/>
      <c r="K625" s="1609"/>
      <c r="L625" s="1609"/>
      <c r="M625" s="1614"/>
      <c r="N625" s="1614"/>
      <c r="O625" s="1614"/>
      <c r="P625" s="1614"/>
      <c r="Q625" s="1614"/>
      <c r="R625" s="1614"/>
      <c r="S625" s="1614"/>
      <c r="T625" s="1614"/>
      <c r="U625" s="1614"/>
      <c r="V625" s="1614"/>
      <c r="W625" s="1610"/>
      <c r="X625" s="1610"/>
      <c r="Y625" s="1610"/>
      <c r="Z625" s="1352"/>
      <c r="AA625" s="1352"/>
      <c r="AB625" s="1353"/>
      <c r="AC625" s="1618"/>
      <c r="AD625" s="1619"/>
      <c r="AE625" s="1620"/>
      <c r="AF625" s="1351"/>
      <c r="AG625" s="1352"/>
      <c r="AH625" s="1352"/>
      <c r="AI625" s="1352"/>
      <c r="AJ625" s="1353"/>
      <c r="AK625" s="1535"/>
      <c r="AL625" s="1536"/>
      <c r="AM625" s="1536"/>
      <c r="AN625" s="1537"/>
      <c r="AO625" s="1614"/>
      <c r="AP625" s="1614"/>
      <c r="AQ625" s="1614"/>
      <c r="AR625" s="1614"/>
      <c r="AS625" s="1614"/>
      <c r="AU625" s="3"/>
      <c r="AZ625" s="3"/>
      <c r="BA625" s="3"/>
      <c r="BB625" s="3"/>
      <c r="BC625" s="3"/>
      <c r="BD625" s="3"/>
    </row>
    <row r="626" spans="2:157" ht="13" customHeight="1">
      <c r="B626" s="1609"/>
      <c r="C626" s="1609"/>
      <c r="D626" s="1609"/>
      <c r="E626" s="1609"/>
      <c r="F626" s="1609"/>
      <c r="G626" s="1609"/>
      <c r="H626" s="1609"/>
      <c r="I626" s="1609"/>
      <c r="J626" s="1609"/>
      <c r="K626" s="1609"/>
      <c r="L626" s="1609"/>
      <c r="M626" s="1614"/>
      <c r="N626" s="1614"/>
      <c r="O626" s="1614"/>
      <c r="P626" s="1614"/>
      <c r="Q626" s="1614"/>
      <c r="R626" s="1614"/>
      <c r="S626" s="1614"/>
      <c r="T626" s="1614"/>
      <c r="U626" s="1614"/>
      <c r="V626" s="1614"/>
      <c r="W626" s="1610"/>
      <c r="X626" s="1610"/>
      <c r="Y626" s="1610"/>
      <c r="Z626" s="1355"/>
      <c r="AA626" s="1355"/>
      <c r="AB626" s="1356"/>
      <c r="AC626" s="1621"/>
      <c r="AD626" s="1622"/>
      <c r="AE626" s="1623"/>
      <c r="AF626" s="1354"/>
      <c r="AG626" s="1355"/>
      <c r="AH626" s="1355"/>
      <c r="AI626" s="1355"/>
      <c r="AJ626" s="1356"/>
      <c r="AK626" s="1538"/>
      <c r="AL626" s="1539"/>
      <c r="AM626" s="1539"/>
      <c r="AN626" s="1540"/>
      <c r="AO626" s="1614"/>
      <c r="AP626" s="1614"/>
      <c r="AQ626" s="1614"/>
      <c r="AR626" s="1614"/>
      <c r="AS626" s="1614"/>
      <c r="AT626" s="3"/>
      <c r="AU626" s="3"/>
      <c r="AZ626" s="3"/>
      <c r="BA626" s="3"/>
      <c r="BB626" s="3"/>
      <c r="BC626" s="3"/>
      <c r="BD626" s="3"/>
    </row>
    <row r="627" spans="2:157" ht="13" customHeight="1">
      <c r="B627" s="43" t="s">
        <v>18</v>
      </c>
      <c r="C627" s="1431" t="s">
        <v>1442</v>
      </c>
      <c r="D627" s="1431"/>
      <c r="E627" s="1431"/>
      <c r="F627" s="1431"/>
      <c r="G627" s="1431"/>
      <c r="H627" s="1431"/>
      <c r="I627" s="1431"/>
      <c r="J627" s="1431"/>
      <c r="K627" s="1431"/>
      <c r="L627" s="1431"/>
      <c r="M627" s="1444" t="s">
        <v>1371</v>
      </c>
      <c r="N627" s="1444"/>
      <c r="O627" s="1444"/>
      <c r="P627" s="1444"/>
      <c r="Q627" s="1459">
        <f>17*12</f>
        <v>204</v>
      </c>
      <c r="R627" s="1459"/>
      <c r="S627" s="1460"/>
      <c r="T627" s="1458">
        <f>35*12</f>
        <v>420</v>
      </c>
      <c r="U627" s="1459"/>
      <c r="V627" s="1460"/>
      <c r="W627" s="1432">
        <v>6.8849999999999995E-2</v>
      </c>
      <c r="X627" s="1433"/>
      <c r="Y627" s="1434"/>
      <c r="Z627" s="1428" t="s">
        <v>1443</v>
      </c>
      <c r="AA627" s="1429"/>
      <c r="AB627" s="1430"/>
      <c r="AC627" s="1336">
        <v>1</v>
      </c>
      <c r="AD627" s="1337"/>
      <c r="AE627" s="1338"/>
      <c r="AF627" s="1441">
        <v>655843</v>
      </c>
      <c r="AG627" s="1442"/>
      <c r="AH627" s="1442"/>
      <c r="AI627" s="1442"/>
      <c r="AJ627" s="1443"/>
      <c r="AK627" s="1436"/>
      <c r="AL627" s="1437"/>
      <c r="AM627" s="1437"/>
      <c r="AN627" s="1438"/>
      <c r="AO627" s="1579">
        <v>8664000</v>
      </c>
      <c r="AP627" s="1579"/>
      <c r="AQ627" s="1579"/>
      <c r="AR627" s="1579"/>
      <c r="AS627" s="1579"/>
      <c r="AT627" s="3"/>
      <c r="AU627" s="3"/>
      <c r="AZ627" s="3"/>
      <c r="BA627" s="3"/>
      <c r="BB627" s="3"/>
      <c r="BC627" s="3"/>
      <c r="BD627" s="3"/>
    </row>
    <row r="628" spans="2:157" ht="13" customHeight="1">
      <c r="B628" s="44" t="s">
        <v>31</v>
      </c>
      <c r="C628" s="1431" t="s">
        <v>1399</v>
      </c>
      <c r="D628" s="1431"/>
      <c r="E628" s="1431"/>
      <c r="F628" s="1431"/>
      <c r="G628" s="1431"/>
      <c r="H628" s="1431"/>
      <c r="I628" s="1431"/>
      <c r="J628" s="1431"/>
      <c r="K628" s="1431"/>
      <c r="L628" s="1431"/>
      <c r="M628" s="1444" t="s">
        <v>1368</v>
      </c>
      <c r="N628" s="1444"/>
      <c r="O628" s="1444"/>
      <c r="P628" s="1444"/>
      <c r="Q628" s="1458">
        <f>55*12</f>
        <v>660</v>
      </c>
      <c r="R628" s="1459"/>
      <c r="S628" s="1460"/>
      <c r="T628" s="1458">
        <f>+Q628</f>
        <v>660</v>
      </c>
      <c r="U628" s="1459"/>
      <c r="V628" s="1460"/>
      <c r="W628" s="1432">
        <v>4.8300000000000003E-2</v>
      </c>
      <c r="X628" s="1433"/>
      <c r="Y628" s="1434"/>
      <c r="Z628" s="1428" t="s">
        <v>1444</v>
      </c>
      <c r="AA628" s="1429"/>
      <c r="AB628" s="1430"/>
      <c r="AC628" s="1336">
        <v>4</v>
      </c>
      <c r="AD628" s="1337"/>
      <c r="AE628" s="1338"/>
      <c r="AF628" s="1441"/>
      <c r="AG628" s="1442"/>
      <c r="AH628" s="1442"/>
      <c r="AI628" s="1442"/>
      <c r="AJ628" s="1443"/>
      <c r="AK628" s="1436"/>
      <c r="AL628" s="1437"/>
      <c r="AM628" s="1437"/>
      <c r="AN628" s="1438"/>
      <c r="AO628" s="1427">
        <f>+AM557</f>
        <v>10246570</v>
      </c>
      <c r="AP628" s="1299"/>
      <c r="AQ628" s="1299"/>
      <c r="AR628" s="1299"/>
      <c r="AS628" s="1300"/>
      <c r="AT628" s="1036" t="str">
        <f>IF(AND(NOT(C627=""),C628="",NOT(C629="")),"!","")</f>
        <v/>
      </c>
      <c r="AU628" s="3"/>
      <c r="AZ628" s="3"/>
      <c r="BA628" s="3"/>
      <c r="BB628" s="3"/>
      <c r="BC628" s="3"/>
      <c r="BD628" s="3"/>
    </row>
    <row r="629" spans="2:157" ht="13" customHeight="1">
      <c r="B629" s="44" t="s">
        <v>39</v>
      </c>
      <c r="C629" s="1431" t="s">
        <v>1401</v>
      </c>
      <c r="D629" s="1431"/>
      <c r="E629" s="1431"/>
      <c r="F629" s="1431"/>
      <c r="G629" s="1431"/>
      <c r="H629" s="1431"/>
      <c r="I629" s="1431"/>
      <c r="J629" s="1431"/>
      <c r="K629" s="1431"/>
      <c r="L629" s="1431"/>
      <c r="M629" s="1444" t="s">
        <v>1367</v>
      </c>
      <c r="N629" s="1444"/>
      <c r="O629" s="1444"/>
      <c r="P629" s="1444"/>
      <c r="Q629" s="1458">
        <f>+Q628</f>
        <v>660</v>
      </c>
      <c r="R629" s="1459"/>
      <c r="S629" s="1460"/>
      <c r="T629" s="1458">
        <v>660</v>
      </c>
      <c r="U629" s="1459"/>
      <c r="V629" s="1460"/>
      <c r="W629" s="1432">
        <f>+W628</f>
        <v>4.8300000000000003E-2</v>
      </c>
      <c r="X629" s="1433"/>
      <c r="Y629" s="1434"/>
      <c r="Z629" s="1428" t="s">
        <v>1444</v>
      </c>
      <c r="AA629" s="1429"/>
      <c r="AB629" s="1430"/>
      <c r="AC629" s="1336">
        <v>2</v>
      </c>
      <c r="AD629" s="1337"/>
      <c r="AE629" s="1338"/>
      <c r="AF629" s="1441"/>
      <c r="AG629" s="1442"/>
      <c r="AH629" s="1442"/>
      <c r="AI629" s="1442"/>
      <c r="AJ629" s="1443"/>
      <c r="AK629" s="1436"/>
      <c r="AL629" s="1437"/>
      <c r="AM629" s="1437"/>
      <c r="AN629" s="1438"/>
      <c r="AO629" s="1427">
        <f>+AM558</f>
        <v>9993700</v>
      </c>
      <c r="AP629" s="1299"/>
      <c r="AQ629" s="1299"/>
      <c r="AR629" s="1299"/>
      <c r="AS629" s="1300"/>
      <c r="AT629" s="1036" t="str">
        <f t="shared" ref="AT629:AT638" si="3">IF(AND(NOT(C628=""),C629="",NOT(C630="")),"!","")</f>
        <v/>
      </c>
      <c r="AU629" s="3"/>
      <c r="AZ629" s="3"/>
      <c r="BA629" s="3"/>
      <c r="BB629" s="3"/>
      <c r="BC629" s="3"/>
      <c r="BD629" s="3"/>
    </row>
    <row r="630" spans="2:157" ht="13" customHeight="1">
      <c r="B630" s="44" t="s">
        <v>82</v>
      </c>
      <c r="C630" s="1431" t="s">
        <v>1445</v>
      </c>
      <c r="D630" s="1431"/>
      <c r="E630" s="1431"/>
      <c r="F630" s="1431"/>
      <c r="G630" s="1431"/>
      <c r="H630" s="1431"/>
      <c r="I630" s="1431"/>
      <c r="J630" s="1431"/>
      <c r="K630" s="1431"/>
      <c r="L630" s="1431"/>
      <c r="M630" s="1444" t="s">
        <v>1367</v>
      </c>
      <c r="N630" s="1444"/>
      <c r="O630" s="1444"/>
      <c r="P630" s="1444"/>
      <c r="Q630" s="1458">
        <f>+Q629</f>
        <v>660</v>
      </c>
      <c r="R630" s="1459"/>
      <c r="S630" s="1460"/>
      <c r="T630" s="1458">
        <v>660</v>
      </c>
      <c r="U630" s="1459"/>
      <c r="V630" s="1460"/>
      <c r="W630" s="1432">
        <f>+W629</f>
        <v>4.8300000000000003E-2</v>
      </c>
      <c r="X630" s="1433"/>
      <c r="Y630" s="1434"/>
      <c r="Z630" s="1428" t="s">
        <v>1444</v>
      </c>
      <c r="AA630" s="1429"/>
      <c r="AB630" s="1430"/>
      <c r="AC630" s="1336">
        <v>3</v>
      </c>
      <c r="AD630" s="1337"/>
      <c r="AE630" s="1338"/>
      <c r="AF630" s="1441"/>
      <c r="AG630" s="1442"/>
      <c r="AH630" s="1442"/>
      <c r="AI630" s="1442"/>
      <c r="AJ630" s="1443"/>
      <c r="AK630" s="1436"/>
      <c r="AL630" s="1437"/>
      <c r="AM630" s="1437"/>
      <c r="AN630" s="1438"/>
      <c r="AO630" s="1427">
        <f>+AM559</f>
        <v>2365172</v>
      </c>
      <c r="AP630" s="1299"/>
      <c r="AQ630" s="1299"/>
      <c r="AR630" s="1299"/>
      <c r="AS630" s="1300"/>
      <c r="AT630" s="1036" t="str">
        <f t="shared" si="3"/>
        <v/>
      </c>
      <c r="AU630" s="3"/>
      <c r="AZ630" s="3"/>
      <c r="BA630" s="3"/>
      <c r="BB630" s="3"/>
      <c r="BC630" s="3"/>
      <c r="BD630" s="3"/>
    </row>
    <row r="631" spans="2:157" ht="13" customHeight="1">
      <c r="B631" s="44" t="s">
        <v>86</v>
      </c>
      <c r="C631" s="1431" t="s">
        <v>1446</v>
      </c>
      <c r="D631" s="1431"/>
      <c r="E631" s="1431"/>
      <c r="F631" s="1431"/>
      <c r="G631" s="1431"/>
      <c r="H631" s="1431"/>
      <c r="I631" s="1431"/>
      <c r="J631" s="1431"/>
      <c r="K631" s="1431"/>
      <c r="L631" s="1431"/>
      <c r="M631" s="1444" t="s">
        <v>1373</v>
      </c>
      <c r="N631" s="1444"/>
      <c r="O631" s="1444"/>
      <c r="P631" s="1444"/>
      <c r="Q631" s="1458"/>
      <c r="R631" s="1459"/>
      <c r="S631" s="1460"/>
      <c r="T631" s="1458"/>
      <c r="U631" s="1459"/>
      <c r="V631" s="1460"/>
      <c r="W631" s="1432"/>
      <c r="X631" s="1433"/>
      <c r="Y631" s="1434"/>
      <c r="Z631" s="1428" t="s">
        <v>998</v>
      </c>
      <c r="AA631" s="1429"/>
      <c r="AB631" s="1430"/>
      <c r="AC631" s="1336"/>
      <c r="AD631" s="1337"/>
      <c r="AE631" s="1338"/>
      <c r="AF631" s="1441"/>
      <c r="AG631" s="1442"/>
      <c r="AH631" s="1442"/>
      <c r="AI631" s="1442"/>
      <c r="AJ631" s="1443"/>
      <c r="AK631" s="1436"/>
      <c r="AL631" s="1437"/>
      <c r="AM631" s="1437"/>
      <c r="AN631" s="1438"/>
      <c r="AO631" s="1427">
        <v>882875</v>
      </c>
      <c r="AP631" s="1299"/>
      <c r="AQ631" s="1299"/>
      <c r="AR631" s="1299"/>
      <c r="AS631" s="1300"/>
      <c r="AT631" s="1036" t="str">
        <f t="shared" si="3"/>
        <v/>
      </c>
      <c r="AU631" s="3"/>
      <c r="AZ631" s="3"/>
      <c r="BA631" s="3"/>
      <c r="BB631" s="3"/>
      <c r="BC631" s="3"/>
      <c r="BD631" s="3"/>
    </row>
    <row r="632" spans="2:157" ht="13" customHeight="1">
      <c r="B632" s="44" t="s">
        <v>1402</v>
      </c>
      <c r="C632" s="1431" t="s">
        <v>1409</v>
      </c>
      <c r="D632" s="1431"/>
      <c r="E632" s="1431"/>
      <c r="F632" s="1431"/>
      <c r="G632" s="1431"/>
      <c r="H632" s="1431"/>
      <c r="I632" s="1431"/>
      <c r="J632" s="1431"/>
      <c r="K632" s="1431"/>
      <c r="L632" s="1431"/>
      <c r="M632" s="1444" t="s">
        <v>1352</v>
      </c>
      <c r="N632" s="1444"/>
      <c r="O632" s="1444"/>
      <c r="P632" s="1444"/>
      <c r="Q632" s="1458"/>
      <c r="R632" s="1459"/>
      <c r="S632" s="1460"/>
      <c r="T632" s="1458"/>
      <c r="U632" s="1459"/>
      <c r="V632" s="1460"/>
      <c r="W632" s="1432"/>
      <c r="X632" s="1433"/>
      <c r="Y632" s="1434"/>
      <c r="Z632" s="1428" t="s">
        <v>998</v>
      </c>
      <c r="AA632" s="1429"/>
      <c r="AB632" s="1430"/>
      <c r="AC632" s="1336"/>
      <c r="AD632" s="1337"/>
      <c r="AE632" s="1338"/>
      <c r="AF632" s="1441"/>
      <c r="AG632" s="1442"/>
      <c r="AH632" s="1442"/>
      <c r="AI632" s="1442"/>
      <c r="AJ632" s="1443"/>
      <c r="AK632" s="1436"/>
      <c r="AL632" s="1437"/>
      <c r="AM632" s="1437"/>
      <c r="AN632" s="1438"/>
      <c r="AO632" s="1427">
        <f>+AM561</f>
        <v>2244241</v>
      </c>
      <c r="AP632" s="1299"/>
      <c r="AQ632" s="1299"/>
      <c r="AR632" s="1299"/>
      <c r="AS632" s="1300"/>
      <c r="AT632" s="1036" t="str">
        <f t="shared" si="3"/>
        <v/>
      </c>
      <c r="AU632" s="3"/>
      <c r="AZ632" s="3"/>
      <c r="BA632" s="3"/>
      <c r="BB632" s="3"/>
      <c r="BC632" s="3"/>
      <c r="BD632" s="3"/>
    </row>
    <row r="633" spans="2:157" ht="13" customHeight="1">
      <c r="B633" s="44" t="s">
        <v>1403</v>
      </c>
      <c r="C633" s="1431" t="s">
        <v>1448</v>
      </c>
      <c r="D633" s="1431"/>
      <c r="E633" s="1431"/>
      <c r="F633" s="1431"/>
      <c r="G633" s="1431"/>
      <c r="H633" s="1431"/>
      <c r="I633" s="1431"/>
      <c r="J633" s="1431"/>
      <c r="K633" s="1431"/>
      <c r="L633" s="1431"/>
      <c r="M633" s="1444" t="s">
        <v>1375</v>
      </c>
      <c r="N633" s="1444"/>
      <c r="O633" s="1444"/>
      <c r="P633" s="1444"/>
      <c r="Q633" s="1458"/>
      <c r="R633" s="1459"/>
      <c r="S633" s="1460"/>
      <c r="T633" s="1458"/>
      <c r="U633" s="1459"/>
      <c r="V633" s="1460"/>
      <c r="W633" s="1432"/>
      <c r="X633" s="1433"/>
      <c r="Y633" s="1434"/>
      <c r="Z633" s="1428" t="s">
        <v>998</v>
      </c>
      <c r="AA633" s="1429"/>
      <c r="AB633" s="1430"/>
      <c r="AC633" s="1336"/>
      <c r="AD633" s="1337"/>
      <c r="AE633" s="1338"/>
      <c r="AF633" s="1441"/>
      <c r="AG633" s="1442"/>
      <c r="AH633" s="1442"/>
      <c r="AI633" s="1442"/>
      <c r="AJ633" s="1443"/>
      <c r="AK633" s="1436"/>
      <c r="AL633" s="1437"/>
      <c r="AM633" s="1437"/>
      <c r="AN633" s="1438"/>
      <c r="AO633" s="1427">
        <v>713146</v>
      </c>
      <c r="AP633" s="1299"/>
      <c r="AQ633" s="1299"/>
      <c r="AR633" s="1299"/>
      <c r="AS633" s="1300"/>
      <c r="AT633" s="1036" t="str">
        <f t="shared" si="3"/>
        <v/>
      </c>
      <c r="AU633" s="3"/>
      <c r="AV633" s="3"/>
      <c r="AW633" s="3"/>
      <c r="AX633" s="3"/>
      <c r="AY633" s="3"/>
      <c r="AZ633" s="3"/>
      <c r="BA633" s="3"/>
      <c r="BB633" s="3"/>
      <c r="BC633" s="3"/>
      <c r="BD633" s="3"/>
    </row>
    <row r="634" spans="2:157" ht="13" customHeight="1">
      <c r="B634" s="44" t="s">
        <v>1405</v>
      </c>
      <c r="C634" s="1431"/>
      <c r="D634" s="1431"/>
      <c r="E634" s="1431"/>
      <c r="F634" s="1431"/>
      <c r="G634" s="1431"/>
      <c r="H634" s="1431"/>
      <c r="I634" s="1431"/>
      <c r="J634" s="1431"/>
      <c r="K634" s="1431"/>
      <c r="L634" s="1431"/>
      <c r="M634" s="1444" t="s">
        <v>998</v>
      </c>
      <c r="N634" s="1444"/>
      <c r="O634" s="1444"/>
      <c r="P634" s="1444"/>
      <c r="Q634" s="1458"/>
      <c r="R634" s="1459"/>
      <c r="S634" s="1460"/>
      <c r="T634" s="1458"/>
      <c r="U634" s="1459"/>
      <c r="V634" s="1460"/>
      <c r="W634" s="1432"/>
      <c r="X634" s="1433"/>
      <c r="Y634" s="1434"/>
      <c r="Z634" s="1428" t="s">
        <v>998</v>
      </c>
      <c r="AA634" s="1429"/>
      <c r="AB634" s="1430"/>
      <c r="AC634" s="1336"/>
      <c r="AD634" s="1337"/>
      <c r="AE634" s="1338"/>
      <c r="AF634" s="1441"/>
      <c r="AG634" s="1442"/>
      <c r="AH634" s="1442"/>
      <c r="AI634" s="1442"/>
      <c r="AJ634" s="1443"/>
      <c r="AK634" s="1436"/>
      <c r="AL634" s="1437"/>
      <c r="AM634" s="1437"/>
      <c r="AN634" s="1438"/>
      <c r="AO634" s="1427"/>
      <c r="AP634" s="1299"/>
      <c r="AQ634" s="1299"/>
      <c r="AR634" s="1299"/>
      <c r="AS634" s="1300"/>
      <c r="AT634" s="1036" t="str">
        <f t="shared" si="3"/>
        <v/>
      </c>
      <c r="AU634" s="3"/>
      <c r="AV634" s="3"/>
      <c r="AW634" s="3"/>
      <c r="AX634" s="3"/>
      <c r="AY634" s="3"/>
      <c r="AZ634" s="3"/>
      <c r="BA634" s="3" t="s">
        <v>998</v>
      </c>
      <c r="BB634" s="3"/>
      <c r="BC634" s="3"/>
      <c r="BD634" s="3"/>
    </row>
    <row r="635" spans="2:157" ht="13" customHeight="1">
      <c r="B635" s="44" t="s">
        <v>1406</v>
      </c>
      <c r="C635" s="1431"/>
      <c r="D635" s="1431"/>
      <c r="E635" s="1431"/>
      <c r="F635" s="1431"/>
      <c r="G635" s="1431"/>
      <c r="H635" s="1431"/>
      <c r="I635" s="1431"/>
      <c r="J635" s="1431"/>
      <c r="K635" s="1431"/>
      <c r="L635" s="1431"/>
      <c r="M635" s="1444" t="s">
        <v>998</v>
      </c>
      <c r="N635" s="1444"/>
      <c r="O635" s="1444"/>
      <c r="P635" s="1444"/>
      <c r="Q635" s="1458"/>
      <c r="R635" s="1459"/>
      <c r="S635" s="1460"/>
      <c r="T635" s="1458"/>
      <c r="U635" s="1459"/>
      <c r="V635" s="1460"/>
      <c r="W635" s="1432"/>
      <c r="X635" s="1433"/>
      <c r="Y635" s="1434"/>
      <c r="Z635" s="1428" t="s">
        <v>998</v>
      </c>
      <c r="AA635" s="1429"/>
      <c r="AB635" s="1430"/>
      <c r="AC635" s="1336"/>
      <c r="AD635" s="1337"/>
      <c r="AE635" s="1338"/>
      <c r="AF635" s="1441"/>
      <c r="AG635" s="1442"/>
      <c r="AH635" s="1442"/>
      <c r="AI635" s="1442"/>
      <c r="AJ635" s="1443"/>
      <c r="AK635" s="1436"/>
      <c r="AL635" s="1437"/>
      <c r="AM635" s="1437"/>
      <c r="AN635" s="1438"/>
      <c r="AO635" s="1427"/>
      <c r="AP635" s="1299"/>
      <c r="AQ635" s="1299"/>
      <c r="AR635" s="1299"/>
      <c r="AS635" s="1300"/>
      <c r="AT635" s="1036" t="str">
        <f t="shared" si="3"/>
        <v/>
      </c>
      <c r="AU635" s="3"/>
      <c r="AV635" s="3"/>
      <c r="AW635" s="3"/>
      <c r="AX635" s="3"/>
      <c r="AY635" s="3"/>
      <c r="AZ635" s="3"/>
      <c r="BA635" s="3" t="s">
        <v>1447</v>
      </c>
      <c r="BB635" s="3"/>
      <c r="BC635" s="3"/>
      <c r="BD635" s="3"/>
      <c r="BE635" s="3"/>
      <c r="BF635" s="3"/>
      <c r="BG635" s="3"/>
      <c r="BH635" s="3"/>
      <c r="BI635" s="3"/>
      <c r="BJ635" s="3"/>
      <c r="BK635" s="3"/>
      <c r="BL635" s="3"/>
      <c r="BM635" s="3"/>
      <c r="CR635" s="256"/>
      <c r="CS635" s="3"/>
      <c r="CT635" s="3"/>
      <c r="CU635" s="3"/>
      <c r="CV635" s="3"/>
      <c r="CW635" s="3"/>
      <c r="CX635" s="3"/>
      <c r="CY635" s="3"/>
      <c r="CZ635" s="3"/>
      <c r="DA635" s="3"/>
      <c r="DB635" s="3"/>
      <c r="DC635" s="3"/>
      <c r="DD635" s="3"/>
      <c r="DE635" s="3"/>
      <c r="DF635" s="3"/>
      <c r="DX635" s="1324" t="e">
        <f t="shared" ref="DX635:DX669" si="4">EZ718*(CP718/$CP$753)</f>
        <v>#VALUE!</v>
      </c>
      <c r="DY635" s="1324"/>
      <c r="DZ635" s="1324"/>
      <c r="EA635" s="1324"/>
      <c r="EB635" s="1324"/>
      <c r="EC635" s="1324">
        <f t="shared" ref="EC635:EC669" si="5">FE718*(CU718/$CU$753)</f>
        <v>62.285714285714285</v>
      </c>
      <c r="ED635" s="1324"/>
      <c r="EE635" s="1324"/>
      <c r="EF635" s="1324"/>
      <c r="EG635" s="1324"/>
      <c r="EH635" s="1324" t="e">
        <f t="shared" ref="EH635:EH669" si="6">FJ718*(CZ718/$CZ$753)</f>
        <v>#VALUE!</v>
      </c>
      <c r="EI635" s="1324"/>
      <c r="EJ635" s="1324"/>
      <c r="EK635" s="1324"/>
      <c r="EL635" s="1324"/>
      <c r="EM635" s="1324" t="e">
        <f t="shared" ref="EM635:EM669" si="7">FO718*(DE718/$DE$753)</f>
        <v>#VALUE!</v>
      </c>
      <c r="EN635" s="1324"/>
      <c r="EO635" s="1324"/>
      <c r="EP635" s="1324"/>
      <c r="EQ635" s="1324"/>
      <c r="ER635" s="1324" t="e">
        <f t="shared" ref="ER635:ER669" si="8">FT718*(DJ718/$DJ$753)</f>
        <v>#VALUE!</v>
      </c>
      <c r="ES635" s="1324"/>
      <c r="ET635" s="1324"/>
      <c r="EU635" s="1324"/>
      <c r="EV635" s="1324"/>
      <c r="EW635" s="1324" t="e">
        <f t="shared" ref="EW635:EW669" si="9">FY718*(DO718/$DO$753)</f>
        <v>#VALUE!</v>
      </c>
      <c r="EX635" s="1324"/>
      <c r="EY635" s="1324"/>
      <c r="EZ635" s="1324"/>
      <c r="FA635" s="1324"/>
    </row>
    <row r="636" spans="2:157" ht="13" customHeight="1">
      <c r="B636" s="44" t="s">
        <v>1408</v>
      </c>
      <c r="C636" s="1431"/>
      <c r="D636" s="1431"/>
      <c r="E636" s="1431"/>
      <c r="F636" s="1431"/>
      <c r="G636" s="1431"/>
      <c r="H636" s="1431"/>
      <c r="I636" s="1431"/>
      <c r="J636" s="1431"/>
      <c r="K636" s="1431"/>
      <c r="L636" s="1431"/>
      <c r="M636" s="1444" t="s">
        <v>998</v>
      </c>
      <c r="N636" s="1444"/>
      <c r="O636" s="1444"/>
      <c r="P636" s="1444"/>
      <c r="Q636" s="1458"/>
      <c r="R636" s="1459"/>
      <c r="S636" s="1460"/>
      <c r="T636" s="1458"/>
      <c r="U636" s="1459"/>
      <c r="V636" s="1460"/>
      <c r="W636" s="1432"/>
      <c r="X636" s="1433"/>
      <c r="Y636" s="1434"/>
      <c r="Z636" s="1428" t="s">
        <v>998</v>
      </c>
      <c r="AA636" s="1429"/>
      <c r="AB636" s="1430"/>
      <c r="AC636" s="1336"/>
      <c r="AD636" s="1337"/>
      <c r="AE636" s="1338"/>
      <c r="AF636" s="1441"/>
      <c r="AG636" s="1442"/>
      <c r="AH636" s="1442"/>
      <c r="AI636" s="1442"/>
      <c r="AJ636" s="1443"/>
      <c r="AK636" s="1436"/>
      <c r="AL636" s="1437"/>
      <c r="AM636" s="1437"/>
      <c r="AN636" s="1438"/>
      <c r="AO636" s="1427"/>
      <c r="AP636" s="1299"/>
      <c r="AQ636" s="1299"/>
      <c r="AR636" s="1299"/>
      <c r="AS636" s="1300"/>
      <c r="AT636" s="1036" t="str">
        <f t="shared" si="3"/>
        <v/>
      </c>
      <c r="AV636" s="3"/>
      <c r="AW636" s="3"/>
      <c r="AX636" s="3"/>
      <c r="AY636" s="3"/>
      <c r="AZ636" s="3"/>
      <c r="BA636" s="3" t="s">
        <v>1444</v>
      </c>
      <c r="BB636" s="3"/>
      <c r="BC636" s="3"/>
      <c r="BD636" s="3"/>
      <c r="BE636" s="3"/>
      <c r="BF636" s="3"/>
      <c r="BG636" s="3"/>
      <c r="BH636" s="3"/>
      <c r="BI636" s="3"/>
      <c r="BJ636" s="3"/>
      <c r="BK636" s="3"/>
      <c r="BL636" s="3"/>
      <c r="BM636" s="3"/>
      <c r="DA636" s="3"/>
      <c r="DB636" s="3"/>
      <c r="DC636" s="3"/>
      <c r="DD636" s="3"/>
      <c r="DE636" s="3"/>
      <c r="DF636" s="3"/>
      <c r="DX636" s="1324" t="e">
        <f t="shared" si="4"/>
        <v>#VALUE!</v>
      </c>
      <c r="DY636" s="1324"/>
      <c r="DZ636" s="1324"/>
      <c r="EA636" s="1324"/>
      <c r="EB636" s="1324"/>
      <c r="EC636" s="1324" t="e">
        <f t="shared" si="5"/>
        <v>#VALUE!</v>
      </c>
      <c r="ED636" s="1324"/>
      <c r="EE636" s="1324"/>
      <c r="EF636" s="1324"/>
      <c r="EG636" s="1324"/>
      <c r="EH636" s="1324">
        <f t="shared" si="6"/>
        <v>43.515151515151516</v>
      </c>
      <c r="EI636" s="1324"/>
      <c r="EJ636" s="1324"/>
      <c r="EK636" s="1324"/>
      <c r="EL636" s="1324"/>
      <c r="EM636" s="1324" t="e">
        <f t="shared" si="7"/>
        <v>#VALUE!</v>
      </c>
      <c r="EN636" s="1324"/>
      <c r="EO636" s="1324"/>
      <c r="EP636" s="1324"/>
      <c r="EQ636" s="1324"/>
      <c r="ER636" s="1324" t="e">
        <f t="shared" si="8"/>
        <v>#VALUE!</v>
      </c>
      <c r="ES636" s="1324"/>
      <c r="ET636" s="1324"/>
      <c r="EU636" s="1324"/>
      <c r="EV636" s="1324"/>
      <c r="EW636" s="1324" t="e">
        <f t="shared" si="9"/>
        <v>#VALUE!</v>
      </c>
      <c r="EX636" s="1324"/>
      <c r="EY636" s="1324"/>
      <c r="EZ636" s="1324"/>
      <c r="FA636" s="1324"/>
    </row>
    <row r="637" spans="2:157" ht="13" customHeight="1">
      <c r="B637" s="44" t="s">
        <v>1410</v>
      </c>
      <c r="C637" s="1431"/>
      <c r="D637" s="1431"/>
      <c r="E637" s="1431"/>
      <c r="F637" s="1431"/>
      <c r="G637" s="1431"/>
      <c r="H637" s="1431"/>
      <c r="I637" s="1431"/>
      <c r="J637" s="1431"/>
      <c r="K637" s="1431"/>
      <c r="L637" s="1431"/>
      <c r="M637" s="1444" t="s">
        <v>998</v>
      </c>
      <c r="N637" s="1444"/>
      <c r="O637" s="1444"/>
      <c r="P637" s="1444"/>
      <c r="Q637" s="1458"/>
      <c r="R637" s="1459"/>
      <c r="S637" s="1460"/>
      <c r="T637" s="1458"/>
      <c r="U637" s="1459"/>
      <c r="V637" s="1460"/>
      <c r="W637" s="1432"/>
      <c r="X637" s="1433"/>
      <c r="Y637" s="1434"/>
      <c r="Z637" s="1428" t="s">
        <v>998</v>
      </c>
      <c r="AA637" s="1429"/>
      <c r="AB637" s="1430"/>
      <c r="AC637" s="1336"/>
      <c r="AD637" s="1337"/>
      <c r="AE637" s="1338"/>
      <c r="AF637" s="1441"/>
      <c r="AG637" s="1442"/>
      <c r="AH637" s="1442"/>
      <c r="AI637" s="1442"/>
      <c r="AJ637" s="1443"/>
      <c r="AK637" s="1436"/>
      <c r="AL637" s="1437"/>
      <c r="AM637" s="1437"/>
      <c r="AN637" s="1438"/>
      <c r="AO637" s="1427"/>
      <c r="AP637" s="1299"/>
      <c r="AQ637" s="1299"/>
      <c r="AR637" s="1299"/>
      <c r="AS637" s="1300"/>
      <c r="AT637" s="1036" t="str">
        <f t="shared" si="3"/>
        <v/>
      </c>
      <c r="AV637" s="3"/>
      <c r="AW637" s="3"/>
      <c r="AX637" s="3"/>
      <c r="AY637" s="3"/>
      <c r="AZ637" s="3"/>
      <c r="BA637" s="3" t="s">
        <v>1443</v>
      </c>
      <c r="BB637" s="3"/>
      <c r="BC637" s="3"/>
      <c r="BD637" s="3"/>
      <c r="BE637" s="3"/>
      <c r="BF637" s="3"/>
      <c r="BG637" s="3"/>
      <c r="BH637" s="3"/>
      <c r="BI637" s="3"/>
      <c r="BJ637" s="3"/>
      <c r="BK637" s="3"/>
      <c r="BL637" s="3"/>
      <c r="BM637" s="3"/>
      <c r="DA637" s="3"/>
      <c r="DB637" s="3"/>
      <c r="DC637" s="3"/>
      <c r="DD637" s="3"/>
      <c r="DE637" s="3"/>
      <c r="DF637" s="3"/>
      <c r="DX637" s="1324" t="e">
        <f t="shared" si="4"/>
        <v>#VALUE!</v>
      </c>
      <c r="DY637" s="1324"/>
      <c r="DZ637" s="1324"/>
      <c r="EA637" s="1324"/>
      <c r="EB637" s="1324"/>
      <c r="EC637" s="1324" t="e">
        <f t="shared" si="5"/>
        <v>#VALUE!</v>
      </c>
      <c r="ED637" s="1324"/>
      <c r="EE637" s="1324"/>
      <c r="EF637" s="1324"/>
      <c r="EG637" s="1324"/>
      <c r="EH637" s="1324" t="e">
        <f t="shared" si="6"/>
        <v>#VALUE!</v>
      </c>
      <c r="EI637" s="1324"/>
      <c r="EJ637" s="1324"/>
      <c r="EK637" s="1324"/>
      <c r="EL637" s="1324"/>
      <c r="EM637" s="1324">
        <f t="shared" si="7"/>
        <v>71.25</v>
      </c>
      <c r="EN637" s="1324"/>
      <c r="EO637" s="1324"/>
      <c r="EP637" s="1324"/>
      <c r="EQ637" s="1324"/>
      <c r="ER637" s="1324" t="e">
        <f t="shared" si="8"/>
        <v>#VALUE!</v>
      </c>
      <c r="ES637" s="1324"/>
      <c r="ET637" s="1324"/>
      <c r="EU637" s="1324"/>
      <c r="EV637" s="1324"/>
      <c r="EW637" s="1324" t="e">
        <f t="shared" si="9"/>
        <v>#VALUE!</v>
      </c>
      <c r="EX637" s="1324"/>
      <c r="EY637" s="1324"/>
      <c r="EZ637" s="1324"/>
      <c r="FA637" s="1324"/>
    </row>
    <row r="638" spans="2:157" ht="13" customHeight="1">
      <c r="B638" s="44" t="s">
        <v>1412</v>
      </c>
      <c r="C638" s="1431"/>
      <c r="D638" s="1431"/>
      <c r="E638" s="1431"/>
      <c r="F638" s="1431"/>
      <c r="G638" s="1431"/>
      <c r="H638" s="1431"/>
      <c r="I638" s="1431"/>
      <c r="J638" s="1431"/>
      <c r="K638" s="1431"/>
      <c r="L638" s="1431"/>
      <c r="M638" s="1444" t="s">
        <v>998</v>
      </c>
      <c r="N638" s="1444"/>
      <c r="O638" s="1444"/>
      <c r="P638" s="1444"/>
      <c r="Q638" s="1458"/>
      <c r="R638" s="1459"/>
      <c r="S638" s="1460"/>
      <c r="T638" s="1458"/>
      <c r="U638" s="1459"/>
      <c r="V638" s="1460"/>
      <c r="W638" s="1432"/>
      <c r="X638" s="1433"/>
      <c r="Y638" s="1434"/>
      <c r="Z638" s="1428" t="s">
        <v>998</v>
      </c>
      <c r="AA638" s="1429"/>
      <c r="AB638" s="1430"/>
      <c r="AC638" s="1336"/>
      <c r="AD638" s="1337"/>
      <c r="AE638" s="1338"/>
      <c r="AF638" s="1441"/>
      <c r="AG638" s="1442"/>
      <c r="AH638" s="1442"/>
      <c r="AI638" s="1442"/>
      <c r="AJ638" s="1443"/>
      <c r="AK638" s="1436"/>
      <c r="AL638" s="1437"/>
      <c r="AM638" s="1437"/>
      <c r="AN638" s="1438"/>
      <c r="AO638" s="1427"/>
      <c r="AP638" s="1299"/>
      <c r="AQ638" s="1299"/>
      <c r="AR638" s="1299"/>
      <c r="AS638" s="1300"/>
      <c r="AT638" s="1036" t="str">
        <f t="shared" si="3"/>
        <v/>
      </c>
      <c r="AV638" s="3"/>
      <c r="AW638" s="3"/>
      <c r="AX638" s="3"/>
      <c r="AY638" s="3"/>
      <c r="AZ638" s="3"/>
      <c r="BA638" s="3" t="s">
        <v>1050</v>
      </c>
      <c r="BB638" s="3"/>
      <c r="BC638" s="3"/>
      <c r="BD638" s="3"/>
      <c r="BE638" s="3"/>
      <c r="BF638" s="3"/>
      <c r="BG638" s="3"/>
      <c r="BH638" s="3"/>
      <c r="BI638" s="3"/>
      <c r="BJ638" s="3"/>
      <c r="BK638" s="3"/>
      <c r="BL638" s="3"/>
      <c r="BM638" s="3"/>
      <c r="DA638" s="3"/>
      <c r="DB638" s="3"/>
      <c r="DC638" s="3"/>
      <c r="DD638" s="3"/>
      <c r="DE638" s="3"/>
      <c r="DF638" s="3"/>
      <c r="DX638" s="1324" t="e">
        <f t="shared" si="4"/>
        <v>#VALUE!</v>
      </c>
      <c r="DY638" s="1324"/>
      <c r="DZ638" s="1324"/>
      <c r="EA638" s="1324"/>
      <c r="EB638" s="1324"/>
      <c r="EC638" s="1324">
        <f t="shared" si="5"/>
        <v>31.142857142857142</v>
      </c>
      <c r="ED638" s="1324"/>
      <c r="EE638" s="1324"/>
      <c r="EF638" s="1324"/>
      <c r="EG638" s="1324"/>
      <c r="EH638" s="1324" t="e">
        <f t="shared" si="6"/>
        <v>#VALUE!</v>
      </c>
      <c r="EI638" s="1324"/>
      <c r="EJ638" s="1324"/>
      <c r="EK638" s="1324"/>
      <c r="EL638" s="1324"/>
      <c r="EM638" s="1324" t="e">
        <f t="shared" si="7"/>
        <v>#VALUE!</v>
      </c>
      <c r="EN638" s="1324"/>
      <c r="EO638" s="1324"/>
      <c r="EP638" s="1324"/>
      <c r="EQ638" s="1324"/>
      <c r="ER638" s="1324" t="e">
        <f t="shared" si="8"/>
        <v>#VALUE!</v>
      </c>
      <c r="ES638" s="1324"/>
      <c r="ET638" s="1324"/>
      <c r="EU638" s="1324"/>
      <c r="EV638" s="1324"/>
      <c r="EW638" s="1324" t="e">
        <f t="shared" si="9"/>
        <v>#VALUE!</v>
      </c>
      <c r="EX638" s="1324"/>
      <c r="EY638" s="1324"/>
      <c r="EZ638" s="1324"/>
      <c r="FA638" s="1324"/>
    </row>
    <row r="639" spans="2:157" ht="13" customHeight="1">
      <c r="B639" s="1360" t="s">
        <v>1449</v>
      </c>
      <c r="C639" s="1361"/>
      <c r="D639" s="1361"/>
      <c r="E639" s="1361"/>
      <c r="F639" s="1361"/>
      <c r="G639" s="1361"/>
      <c r="H639" s="1361"/>
      <c r="I639" s="1361"/>
      <c r="J639" s="1361"/>
      <c r="K639" s="1361"/>
      <c r="L639" s="1361"/>
      <c r="M639" s="1361"/>
      <c r="N639" s="1361"/>
      <c r="O639" s="1361"/>
      <c r="P639" s="1361"/>
      <c r="Q639" s="1361"/>
      <c r="R639" s="1361"/>
      <c r="S639" s="1361"/>
      <c r="T639" s="1361"/>
      <c r="U639" s="1361"/>
      <c r="V639" s="1361"/>
      <c r="W639" s="1361"/>
      <c r="X639" s="1361"/>
      <c r="Y639" s="1361"/>
      <c r="Z639" s="1361"/>
      <c r="AA639" s="1361"/>
      <c r="AB639" s="1361"/>
      <c r="AC639" s="1361"/>
      <c r="AD639" s="1361"/>
      <c r="AE639" s="1361"/>
      <c r="AF639" s="1361"/>
      <c r="AG639" s="1361"/>
      <c r="AH639" s="1361"/>
      <c r="AI639" s="1361"/>
      <c r="AJ639" s="1361"/>
      <c r="AK639" s="1361"/>
      <c r="AL639" s="1361"/>
      <c r="AM639" s="1361"/>
      <c r="AN639" s="1363"/>
      <c r="AO639" s="1424">
        <f>SUM(AO627:AR638)</f>
        <v>35109704</v>
      </c>
      <c r="AP639" s="1425"/>
      <c r="AQ639" s="1425"/>
      <c r="AR639" s="1425"/>
      <c r="AS639" s="1426"/>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324" t="e">
        <f t="shared" si="4"/>
        <v>#VALUE!</v>
      </c>
      <c r="DY639" s="1324"/>
      <c r="DZ639" s="1324"/>
      <c r="EA639" s="1324"/>
      <c r="EB639" s="1324"/>
      <c r="EC639" s="1324" t="e">
        <f t="shared" si="5"/>
        <v>#VALUE!</v>
      </c>
      <c r="ED639" s="1324"/>
      <c r="EE639" s="1324"/>
      <c r="EF639" s="1324"/>
      <c r="EG639" s="1324"/>
      <c r="EH639" s="1324">
        <f t="shared" si="6"/>
        <v>43.515151515151516</v>
      </c>
      <c r="EI639" s="1324"/>
      <c r="EJ639" s="1324"/>
      <c r="EK639" s="1324"/>
      <c r="EL639" s="1324"/>
      <c r="EM639" s="1324" t="e">
        <f t="shared" si="7"/>
        <v>#VALUE!</v>
      </c>
      <c r="EN639" s="1324"/>
      <c r="EO639" s="1324"/>
      <c r="EP639" s="1324"/>
      <c r="EQ639" s="1324"/>
      <c r="ER639" s="1324" t="e">
        <f t="shared" si="8"/>
        <v>#VALUE!</v>
      </c>
      <c r="ES639" s="1324"/>
      <c r="ET639" s="1324"/>
      <c r="EU639" s="1324"/>
      <c r="EV639" s="1324"/>
      <c r="EW639" s="1324" t="e">
        <f t="shared" si="9"/>
        <v>#VALUE!</v>
      </c>
      <c r="EX639" s="1324"/>
      <c r="EY639" s="1324"/>
      <c r="EZ639" s="1324"/>
      <c r="FA639" s="1324"/>
    </row>
    <row r="640" spans="2:157" ht="13" customHeight="1">
      <c r="B640" s="1360" t="s">
        <v>1450</v>
      </c>
      <c r="C640" s="1361"/>
      <c r="D640" s="1361"/>
      <c r="E640" s="1361"/>
      <c r="F640" s="1361"/>
      <c r="G640" s="1361"/>
      <c r="H640" s="1361"/>
      <c r="I640" s="1361"/>
      <c r="J640" s="1361"/>
      <c r="K640" s="1361"/>
      <c r="L640" s="1361"/>
      <c r="M640" s="1361"/>
      <c r="N640" s="1361"/>
      <c r="O640" s="1361"/>
      <c r="P640" s="1361"/>
      <c r="Q640" s="1361"/>
      <c r="R640" s="1361"/>
      <c r="S640" s="1361"/>
      <c r="T640" s="1361"/>
      <c r="U640" s="1361"/>
      <c r="V640" s="1361"/>
      <c r="W640" s="1361"/>
      <c r="X640" s="1361"/>
      <c r="Y640" s="1361"/>
      <c r="Z640" s="1361"/>
      <c r="AA640" s="1361"/>
      <c r="AB640" s="1361"/>
      <c r="AC640" s="1361"/>
      <c r="AD640" s="1361"/>
      <c r="AE640" s="1361"/>
      <c r="AF640" s="1361"/>
      <c r="AG640" s="1361"/>
      <c r="AH640" s="1361"/>
      <c r="AI640" s="1361"/>
      <c r="AJ640" s="1361"/>
      <c r="AK640" s="1361"/>
      <c r="AL640" s="1361"/>
      <c r="AM640" s="1361"/>
      <c r="AN640" s="1363"/>
      <c r="AO640" s="1427">
        <v>21635445</v>
      </c>
      <c r="AP640" s="1299"/>
      <c r="AQ640" s="1299"/>
      <c r="AR640" s="1299"/>
      <c r="AS640" s="1300"/>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324" t="e">
        <f t="shared" si="4"/>
        <v>#VALUE!</v>
      </c>
      <c r="DY640" s="1324"/>
      <c r="DZ640" s="1324"/>
      <c r="EA640" s="1324"/>
      <c r="EB640" s="1324"/>
      <c r="EC640" s="1324" t="e">
        <f t="shared" si="5"/>
        <v>#VALUE!</v>
      </c>
      <c r="ED640" s="1324"/>
      <c r="EE640" s="1324"/>
      <c r="EF640" s="1324"/>
      <c r="EG640" s="1324"/>
      <c r="EH640" s="1324">
        <f t="shared" si="6"/>
        <v>21.757575757575758</v>
      </c>
      <c r="EI640" s="1324"/>
      <c r="EJ640" s="1324"/>
      <c r="EK640" s="1324"/>
      <c r="EL640" s="1324"/>
      <c r="EM640" s="1324" t="e">
        <f t="shared" si="7"/>
        <v>#VALUE!</v>
      </c>
      <c r="EN640" s="1324"/>
      <c r="EO640" s="1324"/>
      <c r="EP640" s="1324"/>
      <c r="EQ640" s="1324"/>
      <c r="ER640" s="1324" t="e">
        <f t="shared" si="8"/>
        <v>#VALUE!</v>
      </c>
      <c r="ES640" s="1324"/>
      <c r="ET640" s="1324"/>
      <c r="EU640" s="1324"/>
      <c r="EV640" s="1324"/>
      <c r="EW640" s="1324" t="e">
        <f t="shared" si="9"/>
        <v>#VALUE!</v>
      </c>
      <c r="EX640" s="1324"/>
      <c r="EY640" s="1324"/>
      <c r="EZ640" s="1324"/>
      <c r="FA640" s="1324"/>
    </row>
    <row r="641" spans="1:157" ht="13" customHeight="1">
      <c r="B641" s="1765" t="s">
        <v>1451</v>
      </c>
      <c r="C641" s="1362"/>
      <c r="D641" s="1362"/>
      <c r="E641" s="1362"/>
      <c r="F641" s="1362"/>
      <c r="G641" s="1362"/>
      <c r="H641" s="1362"/>
      <c r="I641" s="1362"/>
      <c r="J641" s="1362"/>
      <c r="K641" s="1362"/>
      <c r="L641" s="1362"/>
      <c r="M641" s="1362"/>
      <c r="N641" s="1362"/>
      <c r="O641" s="1362"/>
      <c r="P641" s="1362"/>
      <c r="Q641" s="1362"/>
      <c r="R641" s="1362"/>
      <c r="S641" s="1362"/>
      <c r="T641" s="1362"/>
      <c r="U641" s="1362"/>
      <c r="V641" s="1362"/>
      <c r="W641" s="1362"/>
      <c r="X641" s="1362"/>
      <c r="Y641" s="1362"/>
      <c r="Z641" s="1362"/>
      <c r="AA641" s="1362"/>
      <c r="AB641" s="1362"/>
      <c r="AC641" s="1362"/>
      <c r="AD641" s="1362"/>
      <c r="AE641" s="1362"/>
      <c r="AF641" s="1362"/>
      <c r="AG641" s="1362"/>
      <c r="AH641" s="1362"/>
      <c r="AI641" s="1362"/>
      <c r="AJ641" s="1362"/>
      <c r="AK641" s="1362"/>
      <c r="AL641" s="1362"/>
      <c r="AM641" s="1362"/>
      <c r="AN641" s="1766"/>
      <c r="AO641" s="1424">
        <f>AO639+AO640</f>
        <v>56745149</v>
      </c>
      <c r="AP641" s="1425"/>
      <c r="AQ641" s="1425"/>
      <c r="AR641" s="1425"/>
      <c r="AS641" s="1426"/>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324" t="e">
        <f t="shared" si="4"/>
        <v>#VALUE!</v>
      </c>
      <c r="DY641" s="1324"/>
      <c r="DZ641" s="1324"/>
      <c r="EA641" s="1324"/>
      <c r="EB641" s="1324"/>
      <c r="EC641" s="1324" t="e">
        <f t="shared" si="5"/>
        <v>#VALUE!</v>
      </c>
      <c r="ED641" s="1324"/>
      <c r="EE641" s="1324"/>
      <c r="EF641" s="1324"/>
      <c r="EG641" s="1324"/>
      <c r="EH641" s="1324" t="e">
        <f t="shared" si="6"/>
        <v>#VALUE!</v>
      </c>
      <c r="EI641" s="1324"/>
      <c r="EJ641" s="1324"/>
      <c r="EK641" s="1324"/>
      <c r="EL641" s="1324"/>
      <c r="EM641" s="1324">
        <f t="shared" si="7"/>
        <v>106.875</v>
      </c>
      <c r="EN641" s="1324"/>
      <c r="EO641" s="1324"/>
      <c r="EP641" s="1324"/>
      <c r="EQ641" s="1324"/>
      <c r="ER641" s="1324" t="e">
        <f t="shared" si="8"/>
        <v>#VALUE!</v>
      </c>
      <c r="ES641" s="1324"/>
      <c r="ET641" s="1324"/>
      <c r="EU641" s="1324"/>
      <c r="EV641" s="1324"/>
      <c r="EW641" s="1324" t="e">
        <f t="shared" si="9"/>
        <v>#VALUE!</v>
      </c>
      <c r="EX641" s="1324"/>
      <c r="EY641" s="1324"/>
      <c r="EZ641" s="1324"/>
      <c r="FA641" s="1324"/>
    </row>
    <row r="642" spans="1:157" ht="13" customHeight="1">
      <c r="B642" s="411"/>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324" t="e">
        <f t="shared" si="4"/>
        <v>#VALUE!</v>
      </c>
      <c r="DY642" s="1324"/>
      <c r="DZ642" s="1324"/>
      <c r="EA642" s="1324"/>
      <c r="EB642" s="1324"/>
      <c r="EC642" s="1324" t="e">
        <f t="shared" si="5"/>
        <v>#VALUE!</v>
      </c>
      <c r="ED642" s="1324"/>
      <c r="EE642" s="1324"/>
      <c r="EF642" s="1324"/>
      <c r="EG642" s="1324"/>
      <c r="EH642" s="1324" t="e">
        <f t="shared" si="6"/>
        <v>#VALUE!</v>
      </c>
      <c r="EI642" s="1324"/>
      <c r="EJ642" s="1324"/>
      <c r="EK642" s="1324"/>
      <c r="EL642" s="1324"/>
      <c r="EM642" s="1324">
        <f t="shared" si="7"/>
        <v>35.625</v>
      </c>
      <c r="EN642" s="1324"/>
      <c r="EO642" s="1324"/>
      <c r="EP642" s="1324"/>
      <c r="EQ642" s="1324"/>
      <c r="ER642" s="1324" t="e">
        <f t="shared" si="8"/>
        <v>#VALUE!</v>
      </c>
      <c r="ES642" s="1324"/>
      <c r="ET642" s="1324"/>
      <c r="EU642" s="1324"/>
      <c r="EV642" s="1324"/>
      <c r="EW642" s="1324" t="e">
        <f t="shared" si="9"/>
        <v>#VALUE!</v>
      </c>
      <c r="EX642" s="1324"/>
      <c r="EY642" s="1324"/>
      <c r="EZ642" s="1324"/>
      <c r="FA642" s="1324"/>
    </row>
    <row r="643" spans="1:157" ht="13" customHeight="1">
      <c r="A643" s="47" t="s">
        <v>18</v>
      </c>
      <c r="B643" t="s">
        <v>1414</v>
      </c>
      <c r="G643" s="1435" t="str">
        <f>C627</f>
        <v>US Bank Permanent Loan</v>
      </c>
      <c r="H643" s="1435"/>
      <c r="I643" s="1435"/>
      <c r="J643" s="1435"/>
      <c r="K643" s="1435"/>
      <c r="L643" s="1435"/>
      <c r="M643" s="1435"/>
      <c r="N643" s="1435"/>
      <c r="O643" s="1435"/>
      <c r="P643" s="1435"/>
      <c r="Q643" s="1435"/>
      <c r="R643" s="1435"/>
      <c r="S643" s="7"/>
      <c r="T643" s="47" t="s">
        <v>31</v>
      </c>
      <c r="U643" t="s">
        <v>1414</v>
      </c>
      <c r="Z643" s="1435" t="str">
        <f>C628</f>
        <v>Seller Carryback Loan</v>
      </c>
      <c r="AA643" s="1435"/>
      <c r="AB643" s="1435"/>
      <c r="AC643" s="1435"/>
      <c r="AD643" s="1435"/>
      <c r="AE643" s="1435"/>
      <c r="AF643" s="1435"/>
      <c r="AG643" s="1435"/>
      <c r="AH643" s="1435"/>
      <c r="AI643" s="1435"/>
      <c r="AJ643" s="1435"/>
      <c r="AK643" s="1435"/>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24" t="e">
        <f t="shared" si="4"/>
        <v>#VALUE!</v>
      </c>
      <c r="DY643" s="1324"/>
      <c r="DZ643" s="1324"/>
      <c r="EA643" s="1324"/>
      <c r="EB643" s="1324"/>
      <c r="EC643" s="1324">
        <f t="shared" si="5"/>
        <v>74.571428571428569</v>
      </c>
      <c r="ED643" s="1324"/>
      <c r="EE643" s="1324"/>
      <c r="EF643" s="1324"/>
      <c r="EG643" s="1324"/>
      <c r="EH643" s="1324" t="e">
        <f t="shared" si="6"/>
        <v>#VALUE!</v>
      </c>
      <c r="EI643" s="1324"/>
      <c r="EJ643" s="1324"/>
      <c r="EK643" s="1324"/>
      <c r="EL643" s="1324"/>
      <c r="EM643" s="1324" t="e">
        <f t="shared" si="7"/>
        <v>#VALUE!</v>
      </c>
      <c r="EN643" s="1324"/>
      <c r="EO643" s="1324"/>
      <c r="EP643" s="1324"/>
      <c r="EQ643" s="1324"/>
      <c r="ER643" s="1324" t="e">
        <f t="shared" si="8"/>
        <v>#VALUE!</v>
      </c>
      <c r="ES643" s="1324"/>
      <c r="ET643" s="1324"/>
      <c r="EU643" s="1324"/>
      <c r="EV643" s="1324"/>
      <c r="EW643" s="1324" t="e">
        <f t="shared" si="9"/>
        <v>#VALUE!</v>
      </c>
      <c r="EX643" s="1324"/>
      <c r="EY643" s="1324"/>
      <c r="EZ643" s="1324"/>
      <c r="FA643" s="1324"/>
    </row>
    <row r="644" spans="1:157" ht="13" customHeight="1">
      <c r="A644" s="19"/>
      <c r="B644" t="s">
        <v>1060</v>
      </c>
      <c r="G644" s="1359" t="s">
        <v>1415</v>
      </c>
      <c r="H644" s="1359"/>
      <c r="I644" s="1359"/>
      <c r="J644" s="1359"/>
      <c r="K644" s="1359"/>
      <c r="L644" s="1359"/>
      <c r="M644" s="1359"/>
      <c r="N644" s="1359"/>
      <c r="O644" s="1359"/>
      <c r="P644" s="1359"/>
      <c r="Q644" s="1359"/>
      <c r="R644" s="1359"/>
      <c r="S644" s="7"/>
      <c r="T644" s="19"/>
      <c r="U644" t="s">
        <v>1060</v>
      </c>
      <c r="Z644" s="1359" t="s">
        <v>1061</v>
      </c>
      <c r="AA644" s="1359"/>
      <c r="AB644" s="1359"/>
      <c r="AC644" s="1359"/>
      <c r="AD644" s="1359"/>
      <c r="AE644" s="1359"/>
      <c r="AF644" s="1359"/>
      <c r="AG644" s="1359"/>
      <c r="AH644" s="1359"/>
      <c r="AI644" s="1359"/>
      <c r="AJ644" s="1359"/>
      <c r="AK644" s="1359"/>
      <c r="AV644" s="3"/>
      <c r="AW644" s="3"/>
      <c r="AX644" s="3"/>
      <c r="AY644" s="3"/>
      <c r="AZ644" s="3"/>
      <c r="BA644" s="3"/>
      <c r="BB644" s="3"/>
      <c r="BC644" s="3"/>
      <c r="BD644" s="3"/>
      <c r="BE644" s="3"/>
      <c r="BF644" s="3"/>
      <c r="BG644" s="3"/>
      <c r="BH644" s="3"/>
      <c r="BI644" s="3"/>
      <c r="BJ644" s="3"/>
      <c r="BK644" s="3"/>
      <c r="BL644" s="3"/>
      <c r="BM644" s="3"/>
      <c r="DX644" s="1324" t="e">
        <f t="shared" si="4"/>
        <v>#VALUE!</v>
      </c>
      <c r="DY644" s="1324"/>
      <c r="DZ644" s="1324"/>
      <c r="EA644" s="1324"/>
      <c r="EB644" s="1324"/>
      <c r="EC644" s="1324">
        <f t="shared" si="5"/>
        <v>74.571428571428569</v>
      </c>
      <c r="ED644" s="1324"/>
      <c r="EE644" s="1324"/>
      <c r="EF644" s="1324"/>
      <c r="EG644" s="1324"/>
      <c r="EH644" s="1324" t="e">
        <f t="shared" si="6"/>
        <v>#VALUE!</v>
      </c>
      <c r="EI644" s="1324"/>
      <c r="EJ644" s="1324"/>
      <c r="EK644" s="1324"/>
      <c r="EL644" s="1324"/>
      <c r="EM644" s="1324" t="e">
        <f t="shared" si="7"/>
        <v>#VALUE!</v>
      </c>
      <c r="EN644" s="1324"/>
      <c r="EO644" s="1324"/>
      <c r="EP644" s="1324"/>
      <c r="EQ644" s="1324"/>
      <c r="ER644" s="1324" t="e">
        <f t="shared" si="8"/>
        <v>#VALUE!</v>
      </c>
      <c r="ES644" s="1324"/>
      <c r="ET644" s="1324"/>
      <c r="EU644" s="1324"/>
      <c r="EV644" s="1324"/>
      <c r="EW644" s="1324" t="e">
        <f t="shared" si="9"/>
        <v>#VALUE!</v>
      </c>
      <c r="EX644" s="1324"/>
      <c r="EY644" s="1324"/>
      <c r="EZ644" s="1324"/>
      <c r="FA644" s="1324"/>
    </row>
    <row r="645" spans="1:157" ht="13" customHeight="1">
      <c r="A645" s="19"/>
      <c r="B645" t="s">
        <v>927</v>
      </c>
      <c r="G645" s="1359" t="s">
        <v>1416</v>
      </c>
      <c r="H645" s="1359"/>
      <c r="I645" s="1359"/>
      <c r="J645" s="1359"/>
      <c r="K645" s="1359"/>
      <c r="L645" s="1359"/>
      <c r="M645" s="1359"/>
      <c r="N645" s="1359"/>
      <c r="O645" s="1359"/>
      <c r="P645" s="1359"/>
      <c r="Q645" s="1359"/>
      <c r="R645" s="1359"/>
      <c r="T645" s="19"/>
      <c r="U645" t="s">
        <v>927</v>
      </c>
      <c r="Z645" s="1423" t="s">
        <v>1453</v>
      </c>
      <c r="AA645" s="1326"/>
      <c r="AB645" s="1326"/>
      <c r="AC645" s="1326"/>
      <c r="AD645" s="1326"/>
      <c r="AE645" s="1326"/>
      <c r="AF645" s="1326"/>
      <c r="AG645" s="1326"/>
      <c r="AH645" s="1326"/>
      <c r="AI645" s="1326"/>
      <c r="AJ645" s="1326"/>
      <c r="AK645" s="1326"/>
      <c r="AV645" s="3"/>
      <c r="AW645" s="3"/>
      <c r="AX645" s="3"/>
      <c r="AY645" s="3"/>
      <c r="AZ645" s="3"/>
      <c r="BA645" s="3"/>
      <c r="BB645" s="3"/>
      <c r="BC645" s="3"/>
      <c r="BD645" s="3"/>
      <c r="BE645" s="3"/>
      <c r="BF645" s="3"/>
      <c r="BG645" s="3"/>
      <c r="BH645" s="3"/>
      <c r="BI645" s="3"/>
      <c r="BJ645" s="3"/>
      <c r="BK645" s="3"/>
      <c r="BL645" s="3"/>
      <c r="BM645" s="3"/>
      <c r="DX645" s="1324" t="e">
        <f t="shared" si="4"/>
        <v>#VALUE!</v>
      </c>
      <c r="DY645" s="1324"/>
      <c r="DZ645" s="1324"/>
      <c r="EA645" s="1324"/>
      <c r="EB645" s="1324"/>
      <c r="EC645" s="1324" t="e">
        <f t="shared" si="5"/>
        <v>#VALUE!</v>
      </c>
      <c r="ED645" s="1324"/>
      <c r="EE645" s="1324"/>
      <c r="EF645" s="1324"/>
      <c r="EG645" s="1324"/>
      <c r="EH645" s="1324">
        <f t="shared" si="6"/>
        <v>26.81818181818182</v>
      </c>
      <c r="EI645" s="1324"/>
      <c r="EJ645" s="1324"/>
      <c r="EK645" s="1324"/>
      <c r="EL645" s="1324"/>
      <c r="EM645" s="1324" t="e">
        <f t="shared" si="7"/>
        <v>#VALUE!</v>
      </c>
      <c r="EN645" s="1324"/>
      <c r="EO645" s="1324"/>
      <c r="EP645" s="1324"/>
      <c r="EQ645" s="1324"/>
      <c r="ER645" s="1324" t="e">
        <f t="shared" si="8"/>
        <v>#VALUE!</v>
      </c>
      <c r="ES645" s="1324"/>
      <c r="ET645" s="1324"/>
      <c r="EU645" s="1324"/>
      <c r="EV645" s="1324"/>
      <c r="EW645" s="1324" t="e">
        <f t="shared" si="9"/>
        <v>#VALUE!</v>
      </c>
      <c r="EX645" s="1324"/>
      <c r="EY645" s="1324"/>
      <c r="EZ645" s="1324"/>
      <c r="FA645" s="1324"/>
    </row>
    <row r="646" spans="1:157" ht="13" customHeight="1">
      <c r="A646" s="19"/>
      <c r="B646" t="s">
        <v>1417</v>
      </c>
      <c r="G646" s="1359" t="s">
        <v>1418</v>
      </c>
      <c r="H646" s="1359"/>
      <c r="I646" s="1359"/>
      <c r="J646" s="1359"/>
      <c r="K646" s="1359"/>
      <c r="L646" s="1359"/>
      <c r="M646" s="1359"/>
      <c r="N646" s="1359"/>
      <c r="O646" s="1359"/>
      <c r="P646" s="1359"/>
      <c r="Q646" s="1359"/>
      <c r="R646" s="1359"/>
      <c r="S646" s="7"/>
      <c r="T646" s="19"/>
      <c r="U646" t="s">
        <v>1417</v>
      </c>
      <c r="Z646" s="1326" t="s">
        <v>1066</v>
      </c>
      <c r="AA646" s="1326"/>
      <c r="AB646" s="1326"/>
      <c r="AC646" s="1326"/>
      <c r="AD646" s="1326"/>
      <c r="AE646" s="1326"/>
      <c r="AF646" s="1326"/>
      <c r="AG646" s="1326"/>
      <c r="AH646" s="1326"/>
      <c r="AI646" s="1326"/>
      <c r="AJ646" s="1326"/>
      <c r="AK646" s="1326"/>
      <c r="AZ646" s="3"/>
      <c r="BA646" s="3"/>
      <c r="BB646" s="3"/>
      <c r="BC646" s="3"/>
      <c r="BD646" s="3"/>
      <c r="BE646" s="3"/>
      <c r="BF646" s="3"/>
      <c r="BG646" s="3"/>
      <c r="BH646" s="3"/>
      <c r="BI646" s="3"/>
      <c r="BJ646" s="3"/>
      <c r="BK646" s="3"/>
      <c r="BL646" s="3"/>
      <c r="BM646" s="3"/>
      <c r="DX646" s="1324" t="e">
        <f t="shared" si="4"/>
        <v>#VALUE!</v>
      </c>
      <c r="DY646" s="1324"/>
      <c r="DZ646" s="1324"/>
      <c r="EA646" s="1324"/>
      <c r="EB646" s="1324"/>
      <c r="EC646" s="1324" t="e">
        <f t="shared" si="5"/>
        <v>#VALUE!</v>
      </c>
      <c r="ED646" s="1324"/>
      <c r="EE646" s="1324"/>
      <c r="EF646" s="1324"/>
      <c r="EG646" s="1324"/>
      <c r="EH646" s="1324">
        <f t="shared" si="6"/>
        <v>134.09090909090909</v>
      </c>
      <c r="EI646" s="1324"/>
      <c r="EJ646" s="1324"/>
      <c r="EK646" s="1324"/>
      <c r="EL646" s="1324"/>
      <c r="EM646" s="1324" t="e">
        <f t="shared" si="7"/>
        <v>#VALUE!</v>
      </c>
      <c r="EN646" s="1324"/>
      <c r="EO646" s="1324"/>
      <c r="EP646" s="1324"/>
      <c r="EQ646" s="1324"/>
      <c r="ER646" s="1324" t="e">
        <f t="shared" si="8"/>
        <v>#VALUE!</v>
      </c>
      <c r="ES646" s="1324"/>
      <c r="ET646" s="1324"/>
      <c r="EU646" s="1324"/>
      <c r="EV646" s="1324"/>
      <c r="EW646" s="1324" t="e">
        <f t="shared" si="9"/>
        <v>#VALUE!</v>
      </c>
      <c r="EX646" s="1324"/>
      <c r="EY646" s="1324"/>
      <c r="EZ646" s="1324"/>
      <c r="FA646" s="1324"/>
    </row>
    <row r="647" spans="1:157" ht="13" customHeight="1">
      <c r="A647" s="19"/>
      <c r="B647" t="s">
        <v>821</v>
      </c>
      <c r="G647" s="1439" t="s">
        <v>1419</v>
      </c>
      <c r="H647" s="1439"/>
      <c r="I647" s="1439"/>
      <c r="J647" s="1439"/>
      <c r="K647" s="1439"/>
      <c r="L647" s="1439"/>
      <c r="O647" s="922" t="s">
        <v>1069</v>
      </c>
      <c r="P647" s="1423"/>
      <c r="Q647" s="1423"/>
      <c r="R647" s="1423"/>
      <c r="S647" s="9"/>
      <c r="T647" s="19"/>
      <c r="U647" t="s">
        <v>821</v>
      </c>
      <c r="Z647" s="1439" t="s">
        <v>1425</v>
      </c>
      <c r="AA647" s="1439"/>
      <c r="AB647" s="1439"/>
      <c r="AC647" s="1439"/>
      <c r="AD647" s="1439"/>
      <c r="AE647" s="1439"/>
      <c r="AH647" s="922" t="s">
        <v>1069</v>
      </c>
      <c r="AI647" s="1423"/>
      <c r="AJ647" s="1423"/>
      <c r="AK647" s="1423"/>
      <c r="AZ647" s="3"/>
      <c r="BA647" s="3"/>
      <c r="BB647" s="3"/>
      <c r="BC647" s="3"/>
      <c r="BD647" s="3"/>
      <c r="BE647" s="3"/>
      <c r="BF647" s="3"/>
      <c r="BG647" s="3"/>
      <c r="BH647" s="3"/>
      <c r="BI647" s="3"/>
      <c r="BJ647" s="3"/>
      <c r="BK647" s="3"/>
      <c r="BL647" s="3"/>
      <c r="BM647" s="3"/>
      <c r="DX647" s="1324" t="e">
        <f t="shared" si="4"/>
        <v>#VALUE!</v>
      </c>
      <c r="DY647" s="1324"/>
      <c r="DZ647" s="1324"/>
      <c r="EA647" s="1324"/>
      <c r="EB647" s="1324"/>
      <c r="EC647" s="1324" t="e">
        <f t="shared" si="5"/>
        <v>#VALUE!</v>
      </c>
      <c r="ED647" s="1324"/>
      <c r="EE647" s="1324"/>
      <c r="EF647" s="1324"/>
      <c r="EG647" s="1324"/>
      <c r="EH647" s="1324">
        <f t="shared" si="6"/>
        <v>80.454545454545453</v>
      </c>
      <c r="EI647" s="1324"/>
      <c r="EJ647" s="1324"/>
      <c r="EK647" s="1324"/>
      <c r="EL647" s="1324"/>
      <c r="EM647" s="1324" t="e">
        <f t="shared" si="7"/>
        <v>#VALUE!</v>
      </c>
      <c r="EN647" s="1324"/>
      <c r="EO647" s="1324"/>
      <c r="EP647" s="1324"/>
      <c r="EQ647" s="1324"/>
      <c r="ER647" s="1324" t="e">
        <f t="shared" si="8"/>
        <v>#VALUE!</v>
      </c>
      <c r="ES647" s="1324"/>
      <c r="ET647" s="1324"/>
      <c r="EU647" s="1324"/>
      <c r="EV647" s="1324"/>
      <c r="EW647" s="1324" t="e">
        <f t="shared" si="9"/>
        <v>#VALUE!</v>
      </c>
      <c r="EX647" s="1324"/>
      <c r="EY647" s="1324"/>
      <c r="EZ647" s="1324"/>
      <c r="FA647" s="1324"/>
    </row>
    <row r="648" spans="1:157" ht="13" customHeight="1">
      <c r="A648" s="19"/>
      <c r="B648" t="s">
        <v>1420</v>
      </c>
      <c r="H648" s="1359" t="s">
        <v>1452</v>
      </c>
      <c r="I648" s="1359"/>
      <c r="J648" s="1359"/>
      <c r="K648" s="1359"/>
      <c r="L648" s="1359"/>
      <c r="M648" s="1359"/>
      <c r="N648" s="1359"/>
      <c r="O648" s="1359"/>
      <c r="P648" s="1359"/>
      <c r="Q648" s="1359"/>
      <c r="R648" s="1359"/>
      <c r="S648" s="7"/>
      <c r="T648" s="19"/>
      <c r="U648" t="s">
        <v>1420</v>
      </c>
      <c r="AA648" s="1359" t="s">
        <v>1426</v>
      </c>
      <c r="AB648" s="1359"/>
      <c r="AC648" s="1359"/>
      <c r="AD648" s="1359"/>
      <c r="AE648" s="1359"/>
      <c r="AF648" s="1359"/>
      <c r="AG648" s="1359"/>
      <c r="AH648" s="1359"/>
      <c r="AI648" s="1359"/>
      <c r="AJ648" s="1359"/>
      <c r="AK648" s="1359"/>
      <c r="AZ648" s="3"/>
      <c r="BA648" s="3"/>
      <c r="BB648" s="3"/>
      <c r="BC648" s="3"/>
      <c r="BD648" s="3"/>
      <c r="BE648" s="3"/>
      <c r="BF648" s="3"/>
      <c r="BG648" s="3"/>
      <c r="BH648" s="3"/>
      <c r="BI648" s="3"/>
      <c r="BJ648" s="3"/>
      <c r="BK648" s="3"/>
      <c r="BL648" s="3"/>
      <c r="BM648" s="3"/>
      <c r="DX648" s="1324" t="e">
        <f t="shared" si="4"/>
        <v>#VALUE!</v>
      </c>
      <c r="DY648" s="1324"/>
      <c r="DZ648" s="1324"/>
      <c r="EA648" s="1324"/>
      <c r="EB648" s="1324"/>
      <c r="EC648" s="1324" t="e">
        <f t="shared" si="5"/>
        <v>#VALUE!</v>
      </c>
      <c r="ED648" s="1324"/>
      <c r="EE648" s="1324"/>
      <c r="EF648" s="1324"/>
      <c r="EG648" s="1324"/>
      <c r="EH648" s="1324" t="e">
        <f t="shared" si="6"/>
        <v>#VALUE!</v>
      </c>
      <c r="EI648" s="1324"/>
      <c r="EJ648" s="1324"/>
      <c r="EK648" s="1324"/>
      <c r="EL648" s="1324"/>
      <c r="EM648" s="1324">
        <f t="shared" si="7"/>
        <v>97.375</v>
      </c>
      <c r="EN648" s="1324"/>
      <c r="EO648" s="1324"/>
      <c r="EP648" s="1324"/>
      <c r="EQ648" s="1324"/>
      <c r="ER648" s="1324" t="e">
        <f t="shared" si="8"/>
        <v>#VALUE!</v>
      </c>
      <c r="ES648" s="1324"/>
      <c r="ET648" s="1324"/>
      <c r="EU648" s="1324"/>
      <c r="EV648" s="1324"/>
      <c r="EW648" s="1324" t="e">
        <f t="shared" si="9"/>
        <v>#VALUE!</v>
      </c>
      <c r="EX648" s="1324"/>
      <c r="EY648" s="1324"/>
      <c r="EZ648" s="1324"/>
      <c r="FA648" s="1324"/>
    </row>
    <row r="649" spans="1:157" ht="13" customHeight="1">
      <c r="A649" s="19"/>
      <c r="B649" t="s">
        <v>1424</v>
      </c>
      <c r="N649" s="1367" t="s">
        <v>842</v>
      </c>
      <c r="O649" s="1367"/>
      <c r="T649" s="19"/>
      <c r="U649" t="s">
        <v>1424</v>
      </c>
      <c r="AG649" s="1367" t="s">
        <v>842</v>
      </c>
      <c r="AH649" s="1367"/>
      <c r="AZ649" s="3"/>
      <c r="BA649" s="3"/>
      <c r="BB649" s="3"/>
      <c r="BC649" s="3"/>
      <c r="BD649" s="3"/>
      <c r="BE649" s="3"/>
      <c r="BF649" s="3"/>
      <c r="BG649" s="3"/>
      <c r="BH649" s="3"/>
      <c r="BI649" s="3"/>
      <c r="BJ649" s="3"/>
      <c r="BK649" s="3"/>
      <c r="BL649" s="3"/>
      <c r="BM649" s="3"/>
      <c r="DX649" s="1324" t="e">
        <f t="shared" si="4"/>
        <v>#VALUE!</v>
      </c>
      <c r="DY649" s="1324"/>
      <c r="DZ649" s="1324"/>
      <c r="EA649" s="1324"/>
      <c r="EB649" s="1324"/>
      <c r="EC649" s="1324" t="e">
        <f t="shared" si="5"/>
        <v>#VALUE!</v>
      </c>
      <c r="ED649" s="1324"/>
      <c r="EE649" s="1324"/>
      <c r="EF649" s="1324"/>
      <c r="EG649" s="1324"/>
      <c r="EH649" s="1324" t="e">
        <f t="shared" si="6"/>
        <v>#VALUE!</v>
      </c>
      <c r="EI649" s="1324"/>
      <c r="EJ649" s="1324"/>
      <c r="EK649" s="1324"/>
      <c r="EL649" s="1324"/>
      <c r="EM649" s="1324">
        <f t="shared" si="7"/>
        <v>32.458333333333329</v>
      </c>
      <c r="EN649" s="1324"/>
      <c r="EO649" s="1324"/>
      <c r="EP649" s="1324"/>
      <c r="EQ649" s="1324"/>
      <c r="ER649" s="1324" t="e">
        <f t="shared" si="8"/>
        <v>#VALUE!</v>
      </c>
      <c r="ES649" s="1324"/>
      <c r="ET649" s="1324"/>
      <c r="EU649" s="1324"/>
      <c r="EV649" s="1324"/>
      <c r="EW649" s="1324" t="e">
        <f t="shared" si="9"/>
        <v>#VALUE!</v>
      </c>
      <c r="EX649" s="1324"/>
      <c r="EY649" s="1324"/>
      <c r="EZ649" s="1324"/>
      <c r="FA649" s="1324"/>
    </row>
    <row r="650" spans="1:157" ht="13" customHeight="1">
      <c r="A650" s="19"/>
      <c r="T650" s="19"/>
      <c r="AZ650" s="3"/>
      <c r="BA650" s="3"/>
      <c r="BB650" s="3"/>
      <c r="BC650" s="3"/>
      <c r="BD650" s="3"/>
      <c r="BE650" s="3"/>
      <c r="BF650" s="3"/>
      <c r="BG650" s="3"/>
      <c r="BH650" s="3"/>
      <c r="BI650" s="3"/>
      <c r="BJ650" s="3"/>
      <c r="BK650" s="3"/>
      <c r="BL650" s="3"/>
      <c r="BM650" s="3"/>
      <c r="DX650" s="1324" t="e">
        <f t="shared" si="4"/>
        <v>#VALUE!</v>
      </c>
      <c r="DY650" s="1324"/>
      <c r="DZ650" s="1324"/>
      <c r="EA650" s="1324"/>
      <c r="EB650" s="1324"/>
      <c r="EC650" s="1324" t="e">
        <f t="shared" si="5"/>
        <v>#VALUE!</v>
      </c>
      <c r="ED650" s="1324"/>
      <c r="EE650" s="1324"/>
      <c r="EF650" s="1324"/>
      <c r="EG650" s="1324"/>
      <c r="EH650" s="1324" t="e">
        <f t="shared" si="6"/>
        <v>#VALUE!</v>
      </c>
      <c r="EI650" s="1324"/>
      <c r="EJ650" s="1324"/>
      <c r="EK650" s="1324"/>
      <c r="EL650" s="1324"/>
      <c r="EM650" s="1324">
        <f t="shared" si="7"/>
        <v>32.458333333333329</v>
      </c>
      <c r="EN650" s="1324"/>
      <c r="EO650" s="1324"/>
      <c r="EP650" s="1324"/>
      <c r="EQ650" s="1324"/>
      <c r="ER650" s="1324" t="e">
        <f t="shared" si="8"/>
        <v>#VALUE!</v>
      </c>
      <c r="ES650" s="1324"/>
      <c r="ET650" s="1324"/>
      <c r="EU650" s="1324"/>
      <c r="EV650" s="1324"/>
      <c r="EW650" s="1324" t="e">
        <f t="shared" si="9"/>
        <v>#VALUE!</v>
      </c>
      <c r="EX650" s="1324"/>
      <c r="EY650" s="1324"/>
      <c r="EZ650" s="1324"/>
      <c r="FA650" s="1324"/>
    </row>
    <row r="651" spans="1:157" ht="13" customHeight="1">
      <c r="A651" s="47" t="s">
        <v>39</v>
      </c>
      <c r="B651" t="s">
        <v>1414</v>
      </c>
      <c r="G651" s="1435" t="str">
        <f>C629</f>
        <v>Assumed HCD MHP</v>
      </c>
      <c r="H651" s="1435"/>
      <c r="I651" s="1435"/>
      <c r="J651" s="1435"/>
      <c r="K651" s="1435"/>
      <c r="L651" s="1435"/>
      <c r="M651" s="1435"/>
      <c r="N651" s="1435"/>
      <c r="O651" s="1435"/>
      <c r="P651" s="1435"/>
      <c r="Q651" s="1435"/>
      <c r="R651" s="1435"/>
      <c r="T651" s="47" t="s">
        <v>82</v>
      </c>
      <c r="U651" t="s">
        <v>1414</v>
      </c>
      <c r="Z651" s="1435" t="str">
        <f>C630</f>
        <v>Assumed County HOME loan</v>
      </c>
      <c r="AA651" s="1435"/>
      <c r="AB651" s="1435"/>
      <c r="AC651" s="1435"/>
      <c r="AD651" s="1435"/>
      <c r="AE651" s="1435"/>
      <c r="AF651" s="1435"/>
      <c r="AG651" s="1435"/>
      <c r="AH651" s="1435"/>
      <c r="AI651" s="1435"/>
      <c r="AJ651" s="1435"/>
      <c r="AK651" s="1435"/>
      <c r="AZ651" s="3"/>
      <c r="BA651" s="3"/>
      <c r="BB651" s="3"/>
      <c r="BC651" s="3"/>
      <c r="BD651" s="3"/>
      <c r="BE651" s="3"/>
      <c r="BF651" s="3"/>
      <c r="BG651" s="3"/>
      <c r="BH651" s="3"/>
      <c r="BI651" s="3"/>
      <c r="BJ651" s="3"/>
      <c r="BK651" s="3"/>
      <c r="BL651" s="3"/>
      <c r="BM651" s="3"/>
      <c r="DX651" s="1324" t="e">
        <f t="shared" si="4"/>
        <v>#VALUE!</v>
      </c>
      <c r="DY651" s="1324"/>
      <c r="DZ651" s="1324"/>
      <c r="EA651" s="1324"/>
      <c r="EB651" s="1324"/>
      <c r="EC651" s="1324">
        <f t="shared" si="5"/>
        <v>560</v>
      </c>
      <c r="ED651" s="1324"/>
      <c r="EE651" s="1324"/>
      <c r="EF651" s="1324"/>
      <c r="EG651" s="1324"/>
      <c r="EH651" s="1324" t="e">
        <f t="shared" si="6"/>
        <v>#VALUE!</v>
      </c>
      <c r="EI651" s="1324"/>
      <c r="EJ651" s="1324"/>
      <c r="EK651" s="1324"/>
      <c r="EL651" s="1324"/>
      <c r="EM651" s="1324" t="e">
        <f t="shared" si="7"/>
        <v>#VALUE!</v>
      </c>
      <c r="EN651" s="1324"/>
      <c r="EO651" s="1324"/>
      <c r="EP651" s="1324"/>
      <c r="EQ651" s="1324"/>
      <c r="ER651" s="1324" t="e">
        <f t="shared" si="8"/>
        <v>#VALUE!</v>
      </c>
      <c r="ES651" s="1324"/>
      <c r="ET651" s="1324"/>
      <c r="EU651" s="1324"/>
      <c r="EV651" s="1324"/>
      <c r="EW651" s="1324" t="e">
        <f t="shared" si="9"/>
        <v>#VALUE!</v>
      </c>
      <c r="EX651" s="1324"/>
      <c r="EY651" s="1324"/>
      <c r="EZ651" s="1324"/>
      <c r="FA651" s="1324"/>
    </row>
    <row r="652" spans="1:157" ht="13" customHeight="1">
      <c r="A652" s="19"/>
      <c r="B652" t="s">
        <v>1060</v>
      </c>
      <c r="G652" s="1359" t="s">
        <v>1427</v>
      </c>
      <c r="H652" s="1359"/>
      <c r="I652" s="1359"/>
      <c r="J652" s="1359"/>
      <c r="K652" s="1359"/>
      <c r="L652" s="1359"/>
      <c r="M652" s="1359"/>
      <c r="N652" s="1359"/>
      <c r="O652" s="1359"/>
      <c r="P652" s="1359"/>
      <c r="Q652" s="1359"/>
      <c r="R652" s="1359"/>
      <c r="T652" s="19"/>
      <c r="U652" t="s">
        <v>1060</v>
      </c>
      <c r="Z652" s="1359" t="s">
        <v>1431</v>
      </c>
      <c r="AA652" s="1359"/>
      <c r="AB652" s="1359"/>
      <c r="AC652" s="1359"/>
      <c r="AD652" s="1359"/>
      <c r="AE652" s="1359"/>
      <c r="AF652" s="1359"/>
      <c r="AG652" s="1359"/>
      <c r="AH652" s="1359"/>
      <c r="AI652" s="1359"/>
      <c r="AJ652" s="1359"/>
      <c r="AK652" s="1359"/>
      <c r="AZ652" s="3"/>
      <c r="BA652" s="3"/>
      <c r="BB652" s="3"/>
      <c r="BC652" s="3"/>
      <c r="BD652" s="3"/>
      <c r="BE652" s="3"/>
      <c r="BF652" s="3"/>
      <c r="BG652" s="3"/>
      <c r="BH652" s="3"/>
      <c r="BI652" s="3"/>
      <c r="BJ652" s="3"/>
      <c r="BK652" s="3"/>
      <c r="BL652" s="3"/>
      <c r="BM652" s="3"/>
      <c r="DX652" s="1324" t="e">
        <f t="shared" si="4"/>
        <v>#VALUE!</v>
      </c>
      <c r="DY652" s="1324"/>
      <c r="DZ652" s="1324"/>
      <c r="EA652" s="1324"/>
      <c r="EB652" s="1324"/>
      <c r="EC652" s="1324">
        <f t="shared" si="5"/>
        <v>80</v>
      </c>
      <c r="ED652" s="1324"/>
      <c r="EE652" s="1324"/>
      <c r="EF652" s="1324"/>
      <c r="EG652" s="1324"/>
      <c r="EH652" s="1324" t="e">
        <f t="shared" si="6"/>
        <v>#VALUE!</v>
      </c>
      <c r="EI652" s="1324"/>
      <c r="EJ652" s="1324"/>
      <c r="EK652" s="1324"/>
      <c r="EL652" s="1324"/>
      <c r="EM652" s="1324" t="e">
        <f t="shared" si="7"/>
        <v>#VALUE!</v>
      </c>
      <c r="EN652" s="1324"/>
      <c r="EO652" s="1324"/>
      <c r="EP652" s="1324"/>
      <c r="EQ652" s="1324"/>
      <c r="ER652" s="1324" t="e">
        <f t="shared" si="8"/>
        <v>#VALUE!</v>
      </c>
      <c r="ES652" s="1324"/>
      <c r="ET652" s="1324"/>
      <c r="EU652" s="1324"/>
      <c r="EV652" s="1324"/>
      <c r="EW652" s="1324" t="e">
        <f t="shared" si="9"/>
        <v>#VALUE!</v>
      </c>
      <c r="EX652" s="1324"/>
      <c r="EY652" s="1324"/>
      <c r="EZ652" s="1324"/>
      <c r="FA652" s="1324"/>
    </row>
    <row r="653" spans="1:157" ht="13" customHeight="1">
      <c r="A653" s="19"/>
      <c r="B653" t="s">
        <v>927</v>
      </c>
      <c r="G653" s="1326" t="s">
        <v>1428</v>
      </c>
      <c r="H653" s="1326"/>
      <c r="I653" s="1326"/>
      <c r="J653" s="1326"/>
      <c r="K653" s="1326"/>
      <c r="L653" s="1326"/>
      <c r="M653" s="1326"/>
      <c r="N653" s="1326"/>
      <c r="O653" s="1326"/>
      <c r="P653" s="1326"/>
      <c r="Q653" s="1326"/>
      <c r="R653" s="1326"/>
      <c r="T653" s="19"/>
      <c r="U653" t="s">
        <v>927</v>
      </c>
      <c r="Z653" s="1326" t="s">
        <v>1432</v>
      </c>
      <c r="AA653" s="1326"/>
      <c r="AB653" s="1326"/>
      <c r="AC653" s="1326"/>
      <c r="AD653" s="1326"/>
      <c r="AE653" s="1326"/>
      <c r="AF653" s="1326"/>
      <c r="AG653" s="1326"/>
      <c r="AH653" s="1326"/>
      <c r="AI653" s="1326"/>
      <c r="AJ653" s="1326"/>
      <c r="AK653" s="1326"/>
      <c r="AZ653" s="3"/>
      <c r="BA653" s="3"/>
      <c r="BB653" s="3"/>
      <c r="BC653" s="3"/>
      <c r="BD653" s="3"/>
      <c r="BE653" s="3"/>
      <c r="BF653" s="3"/>
      <c r="BG653" s="3"/>
      <c r="BH653" s="3"/>
      <c r="BI653" s="3"/>
      <c r="BJ653" s="3"/>
      <c r="BK653" s="3"/>
      <c r="BL653" s="3"/>
      <c r="BM653" s="3"/>
      <c r="DX653" s="1324" t="e">
        <f t="shared" si="4"/>
        <v>#VALUE!</v>
      </c>
      <c r="DY653" s="1324"/>
      <c r="DZ653" s="1324"/>
      <c r="EA653" s="1324"/>
      <c r="EB653" s="1324"/>
      <c r="EC653" s="1324" t="e">
        <f t="shared" si="5"/>
        <v>#VALUE!</v>
      </c>
      <c r="ED653" s="1324"/>
      <c r="EE653" s="1324"/>
      <c r="EF653" s="1324"/>
      <c r="EG653" s="1324"/>
      <c r="EH653" s="1324">
        <f t="shared" si="6"/>
        <v>387.75757575757575</v>
      </c>
      <c r="EI653" s="1324"/>
      <c r="EJ653" s="1324"/>
      <c r="EK653" s="1324"/>
      <c r="EL653" s="1324"/>
      <c r="EM653" s="1324" t="e">
        <f t="shared" si="7"/>
        <v>#VALUE!</v>
      </c>
      <c r="EN653" s="1324"/>
      <c r="EO653" s="1324"/>
      <c r="EP653" s="1324"/>
      <c r="EQ653" s="1324"/>
      <c r="ER653" s="1324" t="e">
        <f t="shared" si="8"/>
        <v>#VALUE!</v>
      </c>
      <c r="ES653" s="1324"/>
      <c r="ET653" s="1324"/>
      <c r="EU653" s="1324"/>
      <c r="EV653" s="1324"/>
      <c r="EW653" s="1324" t="e">
        <f t="shared" si="9"/>
        <v>#VALUE!</v>
      </c>
      <c r="EX653" s="1324"/>
      <c r="EY653" s="1324"/>
      <c r="EZ653" s="1324"/>
      <c r="FA653" s="1324"/>
    </row>
    <row r="654" spans="1:157" ht="13" customHeight="1">
      <c r="A654" s="19"/>
      <c r="B654" t="s">
        <v>1417</v>
      </c>
      <c r="G654" s="1326" t="s">
        <v>1429</v>
      </c>
      <c r="H654" s="1326"/>
      <c r="I654" s="1326"/>
      <c r="J654" s="1326"/>
      <c r="K654" s="1326"/>
      <c r="L654" s="1326"/>
      <c r="M654" s="1326"/>
      <c r="N654" s="1326"/>
      <c r="O654" s="1326"/>
      <c r="P654" s="1326"/>
      <c r="Q654" s="1326"/>
      <c r="R654" s="1326"/>
      <c r="T654" s="19"/>
      <c r="U654" t="s">
        <v>1417</v>
      </c>
      <c r="Z654" s="1326" t="s">
        <v>1433</v>
      </c>
      <c r="AA654" s="1326"/>
      <c r="AB654" s="1326"/>
      <c r="AC654" s="1326"/>
      <c r="AD654" s="1326"/>
      <c r="AE654" s="1326"/>
      <c r="AF654" s="1326"/>
      <c r="AG654" s="1326"/>
      <c r="AH654" s="1326"/>
      <c r="AI654" s="1326"/>
      <c r="AJ654" s="1326"/>
      <c r="AK654" s="1326"/>
      <c r="AZ654" s="3"/>
      <c r="BA654" s="3"/>
      <c r="BB654" s="3"/>
      <c r="BC654" s="3"/>
      <c r="BD654" s="3"/>
      <c r="BE654" s="3"/>
      <c r="BF654" s="3"/>
      <c r="BG654" s="3"/>
      <c r="BH654" s="3"/>
      <c r="BI654" s="3"/>
      <c r="BJ654" s="3"/>
      <c r="BK654" s="3"/>
      <c r="BL654" s="3"/>
      <c r="BM654" s="3"/>
      <c r="DX654" s="1324" t="e">
        <f t="shared" si="4"/>
        <v>#VALUE!</v>
      </c>
      <c r="DY654" s="1324"/>
      <c r="DZ654" s="1324"/>
      <c r="EA654" s="1324"/>
      <c r="EB654" s="1324"/>
      <c r="EC654" s="1324" t="e">
        <f t="shared" si="5"/>
        <v>#VALUE!</v>
      </c>
      <c r="ED654" s="1324"/>
      <c r="EE654" s="1324"/>
      <c r="EF654" s="1324"/>
      <c r="EG654" s="1324"/>
      <c r="EH654" s="1324">
        <f t="shared" si="6"/>
        <v>166.18181818181819</v>
      </c>
      <c r="EI654" s="1324"/>
      <c r="EJ654" s="1324"/>
      <c r="EK654" s="1324"/>
      <c r="EL654" s="1324"/>
      <c r="EM654" s="1324" t="e">
        <f t="shared" si="7"/>
        <v>#VALUE!</v>
      </c>
      <c r="EN654" s="1324"/>
      <c r="EO654" s="1324"/>
      <c r="EP654" s="1324"/>
      <c r="EQ654" s="1324"/>
      <c r="ER654" s="1324" t="e">
        <f t="shared" si="8"/>
        <v>#VALUE!</v>
      </c>
      <c r="ES654" s="1324"/>
      <c r="ET654" s="1324"/>
      <c r="EU654" s="1324"/>
      <c r="EV654" s="1324"/>
      <c r="EW654" s="1324" t="e">
        <f t="shared" si="9"/>
        <v>#VALUE!</v>
      </c>
      <c r="EX654" s="1324"/>
      <c r="EY654" s="1324"/>
      <c r="EZ654" s="1324"/>
      <c r="FA654" s="1324"/>
    </row>
    <row r="655" spans="1:157" ht="13" customHeight="1">
      <c r="A655" s="19"/>
      <c r="B655" t="s">
        <v>821</v>
      </c>
      <c r="G655" s="1439" t="s">
        <v>1430</v>
      </c>
      <c r="H655" s="1439"/>
      <c r="I655" s="1439"/>
      <c r="J655" s="1439"/>
      <c r="K655" s="1439"/>
      <c r="L655" s="1439"/>
      <c r="O655" s="922" t="s">
        <v>1069</v>
      </c>
      <c r="P655" s="1423"/>
      <c r="Q655" s="1423"/>
      <c r="R655" s="1423"/>
      <c r="T655" s="19"/>
      <c r="U655" t="s">
        <v>821</v>
      </c>
      <c r="Z655" s="1439" t="s">
        <v>1434</v>
      </c>
      <c r="AA655" s="1439"/>
      <c r="AB655" s="1439"/>
      <c r="AC655" s="1439"/>
      <c r="AD655" s="1439"/>
      <c r="AE655" s="1439"/>
      <c r="AH655" s="922" t="s">
        <v>1069</v>
      </c>
      <c r="AI655" s="1423"/>
      <c r="AJ655" s="1423"/>
      <c r="AK655" s="1423"/>
      <c r="AZ655" s="3"/>
      <c r="BA655" s="3"/>
      <c r="BB655" s="3"/>
      <c r="BC655" s="3"/>
      <c r="BD655" s="3"/>
      <c r="BE655" s="3"/>
      <c r="BF655" s="3"/>
      <c r="BG655" s="3"/>
      <c r="BH655" s="3"/>
      <c r="BI655" s="3"/>
      <c r="BJ655" s="3"/>
      <c r="BK655" s="3"/>
      <c r="BL655" s="3"/>
      <c r="BM655" s="3"/>
      <c r="DX655" s="1324" t="e">
        <f t="shared" si="4"/>
        <v>#VALUE!</v>
      </c>
      <c r="DY655" s="1324"/>
      <c r="DZ655" s="1324"/>
      <c r="EA655" s="1324"/>
      <c r="EB655" s="1324"/>
      <c r="EC655" s="1324" t="e">
        <f t="shared" si="5"/>
        <v>#VALUE!</v>
      </c>
      <c r="ED655" s="1324"/>
      <c r="EE655" s="1324"/>
      <c r="EF655" s="1324"/>
      <c r="EG655" s="1324"/>
      <c r="EH655" s="1324" t="e">
        <f t="shared" si="6"/>
        <v>#VALUE!</v>
      </c>
      <c r="EI655" s="1324"/>
      <c r="EJ655" s="1324"/>
      <c r="EK655" s="1324"/>
      <c r="EL655" s="1324"/>
      <c r="EM655" s="1324">
        <f t="shared" si="7"/>
        <v>663</v>
      </c>
      <c r="EN655" s="1324"/>
      <c r="EO655" s="1324"/>
      <c r="EP655" s="1324"/>
      <c r="EQ655" s="1324"/>
      <c r="ER655" s="1324" t="e">
        <f t="shared" si="8"/>
        <v>#VALUE!</v>
      </c>
      <c r="ES655" s="1324"/>
      <c r="ET655" s="1324"/>
      <c r="EU655" s="1324"/>
      <c r="EV655" s="1324"/>
      <c r="EW655" s="1324" t="e">
        <f t="shared" si="9"/>
        <v>#VALUE!</v>
      </c>
      <c r="EX655" s="1324"/>
      <c r="EY655" s="1324"/>
      <c r="EZ655" s="1324"/>
      <c r="FA655" s="1324"/>
    </row>
    <row r="656" spans="1:157" ht="13" customHeight="1">
      <c r="A656" s="19"/>
      <c r="B656" t="s">
        <v>1420</v>
      </c>
      <c r="H656" s="1359" t="s">
        <v>1426</v>
      </c>
      <c r="I656" s="1359"/>
      <c r="J656" s="1359"/>
      <c r="K656" s="1359"/>
      <c r="L656" s="1359"/>
      <c r="M656" s="1359"/>
      <c r="N656" s="1359"/>
      <c r="O656" s="1359"/>
      <c r="P656" s="1359"/>
      <c r="Q656" s="1359"/>
      <c r="R656" s="1359"/>
      <c r="T656" s="19"/>
      <c r="U656" t="s">
        <v>1420</v>
      </c>
      <c r="AA656" s="1359" t="s">
        <v>1426</v>
      </c>
      <c r="AB656" s="1359"/>
      <c r="AC656" s="1359"/>
      <c r="AD656" s="1359"/>
      <c r="AE656" s="1359"/>
      <c r="AF656" s="1359"/>
      <c r="AG656" s="1359"/>
      <c r="AH656" s="1359"/>
      <c r="AI656" s="1359"/>
      <c r="AJ656" s="1359"/>
      <c r="AK656" s="1359"/>
      <c r="AZ656" s="3"/>
      <c r="BA656" s="3"/>
      <c r="BB656" s="3"/>
      <c r="BC656" s="3"/>
      <c r="BD656" s="3"/>
      <c r="BE656" s="3"/>
      <c r="BF656" s="3"/>
      <c r="BG656" s="3"/>
      <c r="BH656" s="3"/>
      <c r="BI656" s="3"/>
      <c r="BJ656" s="3"/>
      <c r="BK656" s="3"/>
      <c r="BL656" s="3"/>
      <c r="BM656" s="3"/>
      <c r="DX656" s="1324" t="e">
        <f t="shared" si="4"/>
        <v>#VALUE!</v>
      </c>
      <c r="DY656" s="1324"/>
      <c r="DZ656" s="1324"/>
      <c r="EA656" s="1324"/>
      <c r="EB656" s="1324"/>
      <c r="EC656" s="1324" t="e">
        <f t="shared" si="5"/>
        <v>#VALUE!</v>
      </c>
      <c r="ED656" s="1324"/>
      <c r="EE656" s="1324"/>
      <c r="EF656" s="1324"/>
      <c r="EG656" s="1324"/>
      <c r="EH656" s="1324">
        <f t="shared" si="6"/>
        <v>55.393939393939398</v>
      </c>
      <c r="EI656" s="1324"/>
      <c r="EJ656" s="1324"/>
      <c r="EK656" s="1324"/>
      <c r="EL656" s="1324"/>
      <c r="EM656" s="1324" t="e">
        <f t="shared" si="7"/>
        <v>#VALUE!</v>
      </c>
      <c r="EN656" s="1324"/>
      <c r="EO656" s="1324"/>
      <c r="EP656" s="1324"/>
      <c r="EQ656" s="1324"/>
      <c r="ER656" s="1324" t="e">
        <f t="shared" si="8"/>
        <v>#VALUE!</v>
      </c>
      <c r="ES656" s="1324"/>
      <c r="ET656" s="1324"/>
      <c r="EU656" s="1324"/>
      <c r="EV656" s="1324"/>
      <c r="EW656" s="1324" t="e">
        <f t="shared" si="9"/>
        <v>#VALUE!</v>
      </c>
      <c r="EX656" s="1324"/>
      <c r="EY656" s="1324"/>
      <c r="EZ656" s="1324"/>
      <c r="FA656" s="1324"/>
    </row>
    <row r="657" spans="1:157" ht="13" customHeight="1">
      <c r="A657" s="19"/>
      <c r="B657" t="s">
        <v>1424</v>
      </c>
      <c r="N657" s="1367" t="s">
        <v>842</v>
      </c>
      <c r="O657" s="1367"/>
      <c r="T657" s="19"/>
      <c r="U657" t="s">
        <v>1424</v>
      </c>
      <c r="AG657" s="1367" t="s">
        <v>842</v>
      </c>
      <c r="AH657" s="1367"/>
      <c r="AZ657" s="3"/>
      <c r="BA657" s="3"/>
      <c r="BB657" s="3"/>
      <c r="BC657" s="3"/>
      <c r="BD657" s="3"/>
      <c r="BE657" s="3"/>
      <c r="BF657" s="3"/>
      <c r="BG657" s="3"/>
      <c r="BH657" s="3"/>
      <c r="BI657" s="3"/>
      <c r="BJ657" s="3"/>
      <c r="BK657" s="3"/>
      <c r="BL657" s="3"/>
      <c r="BM657" s="3"/>
      <c r="DX657" s="1324" t="e">
        <f t="shared" si="4"/>
        <v>#VALUE!</v>
      </c>
      <c r="DY657" s="1324"/>
      <c r="DZ657" s="1324"/>
      <c r="EA657" s="1324"/>
      <c r="EB657" s="1324"/>
      <c r="EC657" s="1324">
        <f t="shared" si="5"/>
        <v>383.23809523809524</v>
      </c>
      <c r="ED657" s="1324"/>
      <c r="EE657" s="1324"/>
      <c r="EF657" s="1324"/>
      <c r="EG657" s="1324"/>
      <c r="EH657" s="1324" t="e">
        <f t="shared" si="6"/>
        <v>#VALUE!</v>
      </c>
      <c r="EI657" s="1324"/>
      <c r="EJ657" s="1324"/>
      <c r="EK657" s="1324"/>
      <c r="EL657" s="1324"/>
      <c r="EM657" s="1324" t="e">
        <f t="shared" si="7"/>
        <v>#VALUE!</v>
      </c>
      <c r="EN657" s="1324"/>
      <c r="EO657" s="1324"/>
      <c r="EP657" s="1324"/>
      <c r="EQ657" s="1324"/>
      <c r="ER657" s="1324" t="e">
        <f t="shared" si="8"/>
        <v>#VALUE!</v>
      </c>
      <c r="ES657" s="1324"/>
      <c r="ET657" s="1324"/>
      <c r="EU657" s="1324"/>
      <c r="EV657" s="1324"/>
      <c r="EW657" s="1324" t="e">
        <f t="shared" si="9"/>
        <v>#VALUE!</v>
      </c>
      <c r="EX657" s="1324"/>
      <c r="EY657" s="1324"/>
      <c r="EZ657" s="1324"/>
      <c r="FA657" s="1324"/>
    </row>
    <row r="658" spans="1:157" ht="13" customHeight="1">
      <c r="A658" s="19"/>
      <c r="T658" s="19"/>
      <c r="AZ658" s="3"/>
      <c r="BA658" s="3"/>
      <c r="BB658" s="3"/>
      <c r="BC658" s="3"/>
      <c r="BD658" s="3"/>
      <c r="BE658" s="3"/>
      <c r="BF658" s="3"/>
      <c r="BG658" s="3"/>
      <c r="BH658" s="3"/>
      <c r="BI658" s="3"/>
      <c r="BJ658" s="3"/>
      <c r="BK658" s="3"/>
      <c r="BL658" s="3"/>
      <c r="BM658" s="3"/>
      <c r="DX658" s="1324" t="e">
        <f t="shared" si="4"/>
        <v>#VALUE!</v>
      </c>
      <c r="DY658" s="1324"/>
      <c r="DZ658" s="1324"/>
      <c r="EA658" s="1324"/>
      <c r="EB658" s="1324"/>
      <c r="EC658" s="1324">
        <f t="shared" si="5"/>
        <v>95.80952380952381</v>
      </c>
      <c r="ED658" s="1324"/>
      <c r="EE658" s="1324"/>
      <c r="EF658" s="1324"/>
      <c r="EG658" s="1324"/>
      <c r="EH658" s="1324" t="e">
        <f t="shared" si="6"/>
        <v>#VALUE!</v>
      </c>
      <c r="EI658" s="1324"/>
      <c r="EJ658" s="1324"/>
      <c r="EK658" s="1324"/>
      <c r="EL658" s="1324"/>
      <c r="EM658" s="1324" t="e">
        <f t="shared" si="7"/>
        <v>#VALUE!</v>
      </c>
      <c r="EN658" s="1324"/>
      <c r="EO658" s="1324"/>
      <c r="EP658" s="1324"/>
      <c r="EQ658" s="1324"/>
      <c r="ER658" s="1324" t="e">
        <f t="shared" si="8"/>
        <v>#VALUE!</v>
      </c>
      <c r="ES658" s="1324"/>
      <c r="ET658" s="1324"/>
      <c r="EU658" s="1324"/>
      <c r="EV658" s="1324"/>
      <c r="EW658" s="1324" t="e">
        <f t="shared" si="9"/>
        <v>#VALUE!</v>
      </c>
      <c r="EX658" s="1324"/>
      <c r="EY658" s="1324"/>
      <c r="EZ658" s="1324"/>
      <c r="FA658" s="1324"/>
    </row>
    <row r="659" spans="1:157" ht="13" customHeight="1">
      <c r="A659" s="47" t="s">
        <v>86</v>
      </c>
      <c r="B659" t="s">
        <v>1414</v>
      </c>
      <c r="G659" s="1435" t="str">
        <f>C631</f>
        <v>Income from Operations</v>
      </c>
      <c r="H659" s="1435"/>
      <c r="I659" s="1435"/>
      <c r="J659" s="1435"/>
      <c r="K659" s="1435"/>
      <c r="L659" s="1435"/>
      <c r="M659" s="1435"/>
      <c r="N659" s="1435"/>
      <c r="O659" s="1435"/>
      <c r="P659" s="1435"/>
      <c r="Q659" s="1435"/>
      <c r="R659" s="1435"/>
      <c r="T659" s="47" t="s">
        <v>1402</v>
      </c>
      <c r="U659" t="s">
        <v>1414</v>
      </c>
      <c r="Z659" s="1435" t="str">
        <f>C632</f>
        <v>Deferred Developer Fee</v>
      </c>
      <c r="AA659" s="1435"/>
      <c r="AB659" s="1435"/>
      <c r="AC659" s="1435"/>
      <c r="AD659" s="1435"/>
      <c r="AE659" s="1435"/>
      <c r="AF659" s="1435"/>
      <c r="AG659" s="1435"/>
      <c r="AH659" s="1435"/>
      <c r="AI659" s="1435"/>
      <c r="AJ659" s="1435"/>
      <c r="AK659" s="1435"/>
      <c r="AZ659" s="3"/>
      <c r="BA659" s="3"/>
      <c r="BB659" s="3"/>
      <c r="BC659" s="3"/>
      <c r="BD659" s="3"/>
      <c r="BE659" s="3"/>
      <c r="BF659" s="3"/>
      <c r="BG659" s="3"/>
      <c r="BH659" s="3"/>
      <c r="BI659" s="3"/>
      <c r="BJ659" s="3"/>
      <c r="BK659" s="3"/>
      <c r="BL659" s="3"/>
      <c r="BM659" s="3"/>
      <c r="DX659" s="1324" t="e">
        <f t="shared" si="4"/>
        <v>#VALUE!</v>
      </c>
      <c r="DY659" s="1324"/>
      <c r="DZ659" s="1324"/>
      <c r="EA659" s="1324"/>
      <c r="EB659" s="1324"/>
      <c r="EC659" s="1324" t="e">
        <f t="shared" si="5"/>
        <v>#VALUE!</v>
      </c>
      <c r="ED659" s="1324"/>
      <c r="EE659" s="1324"/>
      <c r="EF659" s="1324"/>
      <c r="EG659" s="1324"/>
      <c r="EH659" s="1324">
        <f t="shared" si="6"/>
        <v>520.4848484848485</v>
      </c>
      <c r="EI659" s="1324"/>
      <c r="EJ659" s="1324"/>
      <c r="EK659" s="1324"/>
      <c r="EL659" s="1324"/>
      <c r="EM659" s="1324" t="e">
        <f t="shared" si="7"/>
        <v>#VALUE!</v>
      </c>
      <c r="EN659" s="1324"/>
      <c r="EO659" s="1324"/>
      <c r="EP659" s="1324"/>
      <c r="EQ659" s="1324"/>
      <c r="ER659" s="1324" t="e">
        <f t="shared" si="8"/>
        <v>#VALUE!</v>
      </c>
      <c r="ES659" s="1324"/>
      <c r="ET659" s="1324"/>
      <c r="EU659" s="1324"/>
      <c r="EV659" s="1324"/>
      <c r="EW659" s="1324" t="e">
        <f t="shared" si="9"/>
        <v>#VALUE!</v>
      </c>
      <c r="EX659" s="1324"/>
      <c r="EY659" s="1324"/>
      <c r="EZ659" s="1324"/>
      <c r="FA659" s="1324"/>
    </row>
    <row r="660" spans="1:157" ht="13" customHeight="1">
      <c r="A660" s="19"/>
      <c r="B660" t="s">
        <v>1060</v>
      </c>
      <c r="G660" s="1359" t="s">
        <v>1061</v>
      </c>
      <c r="H660" s="1359"/>
      <c r="I660" s="1359"/>
      <c r="J660" s="1359"/>
      <c r="K660" s="1359"/>
      <c r="L660" s="1359"/>
      <c r="M660" s="1359"/>
      <c r="N660" s="1359"/>
      <c r="O660" s="1359"/>
      <c r="P660" s="1359"/>
      <c r="Q660" s="1359"/>
      <c r="R660" s="1359"/>
      <c r="T660" s="19"/>
      <c r="U660" t="s">
        <v>1060</v>
      </c>
      <c r="Z660" s="1359" t="s">
        <v>1061</v>
      </c>
      <c r="AA660" s="1359"/>
      <c r="AB660" s="1359"/>
      <c r="AC660" s="1359"/>
      <c r="AD660" s="1359"/>
      <c r="AE660" s="1359"/>
      <c r="AF660" s="1359"/>
      <c r="AG660" s="1359"/>
      <c r="AH660" s="1359"/>
      <c r="AI660" s="1359"/>
      <c r="AJ660" s="1359"/>
      <c r="AK660" s="1359"/>
      <c r="AZ660" s="3"/>
      <c r="BA660" s="3"/>
      <c r="BB660" s="3"/>
      <c r="BC660" s="3"/>
      <c r="BD660" s="3"/>
      <c r="BE660" s="3"/>
      <c r="BF660" s="3"/>
      <c r="BG660" s="3"/>
      <c r="BH660" s="3"/>
      <c r="BI660" s="3"/>
      <c r="BJ660" s="3"/>
      <c r="BK660" s="3"/>
      <c r="BL660" s="3"/>
      <c r="BM660" s="3"/>
      <c r="DX660" s="1324" t="e">
        <f t="shared" si="4"/>
        <v>#VALUE!</v>
      </c>
      <c r="DY660" s="1324"/>
      <c r="DZ660" s="1324"/>
      <c r="EA660" s="1324"/>
      <c r="EB660" s="1324"/>
      <c r="EC660" s="1324" t="e">
        <f t="shared" si="5"/>
        <v>#VALUE!</v>
      </c>
      <c r="ED660" s="1324"/>
      <c r="EE660" s="1324"/>
      <c r="EF660" s="1324"/>
      <c r="EG660" s="1324"/>
      <c r="EH660" s="1324" t="e">
        <f t="shared" si="6"/>
        <v>#VALUE!</v>
      </c>
      <c r="EI660" s="1324"/>
      <c r="EJ660" s="1324"/>
      <c r="EK660" s="1324"/>
      <c r="EL660" s="1324"/>
      <c r="EM660" s="1324">
        <f t="shared" si="7"/>
        <v>400.83333333333331</v>
      </c>
      <c r="EN660" s="1324"/>
      <c r="EO660" s="1324"/>
      <c r="EP660" s="1324"/>
      <c r="EQ660" s="1324"/>
      <c r="ER660" s="1324" t="e">
        <f t="shared" si="8"/>
        <v>#VALUE!</v>
      </c>
      <c r="ES660" s="1324"/>
      <c r="ET660" s="1324"/>
      <c r="EU660" s="1324"/>
      <c r="EV660" s="1324"/>
      <c r="EW660" s="1324" t="e">
        <f t="shared" si="9"/>
        <v>#VALUE!</v>
      </c>
      <c r="EX660" s="1324"/>
      <c r="EY660" s="1324"/>
      <c r="EZ660" s="1324"/>
      <c r="FA660" s="1324"/>
    </row>
    <row r="661" spans="1:157" ht="13" customHeight="1">
      <c r="A661" s="19"/>
      <c r="B661" t="s">
        <v>927</v>
      </c>
      <c r="G661" s="1359" t="s">
        <v>1453</v>
      </c>
      <c r="H661" s="1359"/>
      <c r="I661" s="1359"/>
      <c r="J661" s="1359"/>
      <c r="K661" s="1359"/>
      <c r="L661" s="1359"/>
      <c r="M661" s="1359"/>
      <c r="N661" s="1359"/>
      <c r="O661" s="1359"/>
      <c r="P661" s="1359"/>
      <c r="Q661" s="1359"/>
      <c r="R661" s="1359"/>
      <c r="T661" s="19"/>
      <c r="U661" t="s">
        <v>927</v>
      </c>
      <c r="Z661" s="1326" t="s">
        <v>1453</v>
      </c>
      <c r="AA661" s="1326"/>
      <c r="AB661" s="1326"/>
      <c r="AC661" s="1326"/>
      <c r="AD661" s="1326"/>
      <c r="AE661" s="1326"/>
      <c r="AF661" s="1326"/>
      <c r="AG661" s="1326"/>
      <c r="AH661" s="1326"/>
      <c r="AI661" s="1326"/>
      <c r="AJ661" s="1326"/>
      <c r="AK661" s="1326"/>
      <c r="AZ661" s="3"/>
      <c r="BA661" s="3"/>
      <c r="BB661" s="3"/>
      <c r="BC661" s="3"/>
      <c r="BD661" s="3"/>
      <c r="BE661" s="3"/>
      <c r="BF661" s="3"/>
      <c r="BG661" s="3"/>
      <c r="BH661" s="3"/>
      <c r="BI661" s="3"/>
      <c r="BJ661" s="3"/>
      <c r="BK661" s="3"/>
      <c r="BL661" s="3"/>
      <c r="BM661" s="3"/>
      <c r="DX661" s="1324" t="e">
        <f t="shared" si="4"/>
        <v>#VALUE!</v>
      </c>
      <c r="DY661" s="1324"/>
      <c r="DZ661" s="1324"/>
      <c r="EA661" s="1324"/>
      <c r="EB661" s="1324"/>
      <c r="EC661" s="1324">
        <f t="shared" si="5"/>
        <v>95.80952380952381</v>
      </c>
      <c r="ED661" s="1324"/>
      <c r="EE661" s="1324"/>
      <c r="EF661" s="1324"/>
      <c r="EG661" s="1324"/>
      <c r="EH661" s="1324" t="e">
        <f t="shared" si="6"/>
        <v>#VALUE!</v>
      </c>
      <c r="EI661" s="1324"/>
      <c r="EJ661" s="1324"/>
      <c r="EK661" s="1324"/>
      <c r="EL661" s="1324"/>
      <c r="EM661" s="1324" t="e">
        <f t="shared" si="7"/>
        <v>#VALUE!</v>
      </c>
      <c r="EN661" s="1324"/>
      <c r="EO661" s="1324"/>
      <c r="EP661" s="1324"/>
      <c r="EQ661" s="1324"/>
      <c r="ER661" s="1324" t="e">
        <f t="shared" si="8"/>
        <v>#VALUE!</v>
      </c>
      <c r="ES661" s="1324"/>
      <c r="ET661" s="1324"/>
      <c r="EU661" s="1324"/>
      <c r="EV661" s="1324"/>
      <c r="EW661" s="1324" t="e">
        <f t="shared" si="9"/>
        <v>#VALUE!</v>
      </c>
      <c r="EX661" s="1324"/>
      <c r="EY661" s="1324"/>
      <c r="EZ661" s="1324"/>
      <c r="FA661" s="1324"/>
    </row>
    <row r="662" spans="1:157" ht="13" customHeight="1">
      <c r="A662" s="19"/>
      <c r="B662" t="s">
        <v>1417</v>
      </c>
      <c r="G662" s="1359" t="s">
        <v>1066</v>
      </c>
      <c r="H662" s="1359"/>
      <c r="I662" s="1359"/>
      <c r="J662" s="1359"/>
      <c r="K662" s="1359"/>
      <c r="L662" s="1359"/>
      <c r="M662" s="1359"/>
      <c r="N662" s="1359"/>
      <c r="O662" s="1359"/>
      <c r="P662" s="1359"/>
      <c r="Q662" s="1359"/>
      <c r="R662" s="1359"/>
      <c r="T662" s="19"/>
      <c r="U662" t="s">
        <v>1417</v>
      </c>
      <c r="Z662" s="1326" t="s">
        <v>1066</v>
      </c>
      <c r="AA662" s="1326"/>
      <c r="AB662" s="1326"/>
      <c r="AC662" s="1326"/>
      <c r="AD662" s="1326"/>
      <c r="AE662" s="1326"/>
      <c r="AF662" s="1326"/>
      <c r="AG662" s="1326"/>
      <c r="AH662" s="1326"/>
      <c r="AI662" s="1326"/>
      <c r="AJ662" s="1326"/>
      <c r="AK662" s="1326"/>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24" t="e">
        <f t="shared" si="4"/>
        <v>#VALUE!</v>
      </c>
      <c r="DY662" s="1324"/>
      <c r="DZ662" s="1324"/>
      <c r="EA662" s="1324"/>
      <c r="EB662" s="1324"/>
      <c r="EC662" s="1324" t="e">
        <f t="shared" si="5"/>
        <v>#VALUE!</v>
      </c>
      <c r="ED662" s="1324"/>
      <c r="EE662" s="1324"/>
      <c r="EF662" s="1324"/>
      <c r="EG662" s="1324"/>
      <c r="EH662" s="1324" t="e">
        <f t="shared" si="6"/>
        <v>#VALUE!</v>
      </c>
      <c r="EI662" s="1324"/>
      <c r="EJ662" s="1324"/>
      <c r="EK662" s="1324"/>
      <c r="EL662" s="1324"/>
      <c r="EM662" s="1324" t="e">
        <f t="shared" si="7"/>
        <v>#VALUE!</v>
      </c>
      <c r="EN662" s="1324"/>
      <c r="EO662" s="1324"/>
      <c r="EP662" s="1324"/>
      <c r="EQ662" s="1324"/>
      <c r="ER662" s="1324" t="e">
        <f t="shared" si="8"/>
        <v>#VALUE!</v>
      </c>
      <c r="ES662" s="1324"/>
      <c r="ET662" s="1324"/>
      <c r="EU662" s="1324"/>
      <c r="EV662" s="1324"/>
      <c r="EW662" s="1324" t="e">
        <f t="shared" si="9"/>
        <v>#VALUE!</v>
      </c>
      <c r="EX662" s="1324"/>
      <c r="EY662" s="1324"/>
      <c r="EZ662" s="1324"/>
      <c r="FA662" s="1324"/>
    </row>
    <row r="663" spans="1:157" ht="13" customHeight="1">
      <c r="A663" s="19"/>
      <c r="B663" t="s">
        <v>821</v>
      </c>
      <c r="G663" s="1439" t="s">
        <v>1425</v>
      </c>
      <c r="H663" s="1439"/>
      <c r="I663" s="1439"/>
      <c r="J663" s="1439"/>
      <c r="K663" s="1439"/>
      <c r="L663" s="1439"/>
      <c r="O663" s="922" t="s">
        <v>1069</v>
      </c>
      <c r="P663" s="1423"/>
      <c r="Q663" s="1423"/>
      <c r="R663" s="1423"/>
      <c r="T663" s="19"/>
      <c r="U663" t="s">
        <v>821</v>
      </c>
      <c r="Z663" s="1439" t="s">
        <v>1425</v>
      </c>
      <c r="AA663" s="1439"/>
      <c r="AB663" s="1439"/>
      <c r="AC663" s="1439"/>
      <c r="AD663" s="1439"/>
      <c r="AE663" s="1439"/>
      <c r="AH663" s="922" t="s">
        <v>1069</v>
      </c>
      <c r="AI663" s="1423"/>
      <c r="AJ663" s="1423"/>
      <c r="AK663" s="142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24" t="e">
        <f t="shared" si="4"/>
        <v>#VALUE!</v>
      </c>
      <c r="DY663" s="1324"/>
      <c r="DZ663" s="1324"/>
      <c r="EA663" s="1324"/>
      <c r="EB663" s="1324"/>
      <c r="EC663" s="1324" t="e">
        <f t="shared" si="5"/>
        <v>#VALUE!</v>
      </c>
      <c r="ED663" s="1324"/>
      <c r="EE663" s="1324"/>
      <c r="EF663" s="1324"/>
      <c r="EG663" s="1324"/>
      <c r="EH663" s="1324" t="e">
        <f t="shared" si="6"/>
        <v>#VALUE!</v>
      </c>
      <c r="EI663" s="1324"/>
      <c r="EJ663" s="1324"/>
      <c r="EK663" s="1324"/>
      <c r="EL663" s="1324"/>
      <c r="EM663" s="1324" t="e">
        <f t="shared" si="7"/>
        <v>#VALUE!</v>
      </c>
      <c r="EN663" s="1324"/>
      <c r="EO663" s="1324"/>
      <c r="EP663" s="1324"/>
      <c r="EQ663" s="1324"/>
      <c r="ER663" s="1324" t="e">
        <f t="shared" si="8"/>
        <v>#VALUE!</v>
      </c>
      <c r="ES663" s="1324"/>
      <c r="ET663" s="1324"/>
      <c r="EU663" s="1324"/>
      <c r="EV663" s="1324"/>
      <c r="EW663" s="1324" t="e">
        <f t="shared" si="9"/>
        <v>#VALUE!</v>
      </c>
      <c r="EX663" s="1324"/>
      <c r="EY663" s="1324"/>
      <c r="EZ663" s="1324"/>
      <c r="FA663" s="1324"/>
    </row>
    <row r="664" spans="1:157" ht="13" customHeight="1">
      <c r="A664" s="19"/>
      <c r="B664" t="s">
        <v>1420</v>
      </c>
      <c r="H664" s="1359"/>
      <c r="I664" s="1359"/>
      <c r="J664" s="1359"/>
      <c r="K664" s="1359"/>
      <c r="L664" s="1359"/>
      <c r="M664" s="1359"/>
      <c r="N664" s="1359"/>
      <c r="O664" s="1359"/>
      <c r="P664" s="1359"/>
      <c r="Q664" s="1359"/>
      <c r="R664" s="1359"/>
      <c r="T664" s="19"/>
      <c r="U664" t="s">
        <v>1420</v>
      </c>
      <c r="AA664" s="1472" t="s">
        <v>1409</v>
      </c>
      <c r="AB664" s="1359"/>
      <c r="AC664" s="1359"/>
      <c r="AD664" s="1359"/>
      <c r="AE664" s="1359"/>
      <c r="AF664" s="1359"/>
      <c r="AG664" s="1359"/>
      <c r="AH664" s="1359"/>
      <c r="AI664" s="1359"/>
      <c r="AJ664" s="1359"/>
      <c r="AK664" s="1359"/>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24" t="e">
        <f t="shared" si="4"/>
        <v>#VALUE!</v>
      </c>
      <c r="DY664" s="1324"/>
      <c r="DZ664" s="1324"/>
      <c r="EA664" s="1324"/>
      <c r="EB664" s="1324"/>
      <c r="EC664" s="1324" t="e">
        <f t="shared" si="5"/>
        <v>#VALUE!</v>
      </c>
      <c r="ED664" s="1324"/>
      <c r="EE664" s="1324"/>
      <c r="EF664" s="1324"/>
      <c r="EG664" s="1324"/>
      <c r="EH664" s="1324" t="e">
        <f t="shared" si="6"/>
        <v>#VALUE!</v>
      </c>
      <c r="EI664" s="1324"/>
      <c r="EJ664" s="1324"/>
      <c r="EK664" s="1324"/>
      <c r="EL664" s="1324"/>
      <c r="EM664" s="1324" t="e">
        <f t="shared" si="7"/>
        <v>#VALUE!</v>
      </c>
      <c r="EN664" s="1324"/>
      <c r="EO664" s="1324"/>
      <c r="EP664" s="1324"/>
      <c r="EQ664" s="1324"/>
      <c r="ER664" s="1324" t="e">
        <f t="shared" si="8"/>
        <v>#VALUE!</v>
      </c>
      <c r="ES664" s="1324"/>
      <c r="ET664" s="1324"/>
      <c r="EU664" s="1324"/>
      <c r="EV664" s="1324"/>
      <c r="EW664" s="1324" t="e">
        <f t="shared" si="9"/>
        <v>#VALUE!</v>
      </c>
      <c r="EX664" s="1324"/>
      <c r="EY664" s="1324"/>
      <c r="EZ664" s="1324"/>
      <c r="FA664" s="1324"/>
    </row>
    <row r="665" spans="1:157" ht="13" customHeight="1">
      <c r="A665" s="19"/>
      <c r="B665" t="s">
        <v>1424</v>
      </c>
      <c r="N665" s="1367" t="s">
        <v>842</v>
      </c>
      <c r="O665" s="1367"/>
      <c r="T665" s="19"/>
      <c r="U665" t="s">
        <v>1424</v>
      </c>
      <c r="AG665" s="1367" t="s">
        <v>842</v>
      </c>
      <c r="AH665" s="1367"/>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24" t="e">
        <f t="shared" si="4"/>
        <v>#VALUE!</v>
      </c>
      <c r="DY665" s="1324"/>
      <c r="DZ665" s="1324"/>
      <c r="EA665" s="1324"/>
      <c r="EB665" s="1324"/>
      <c r="EC665" s="1324" t="e">
        <f t="shared" si="5"/>
        <v>#VALUE!</v>
      </c>
      <c r="ED665" s="1324"/>
      <c r="EE665" s="1324"/>
      <c r="EF665" s="1324"/>
      <c r="EG665" s="1324"/>
      <c r="EH665" s="1324" t="e">
        <f t="shared" si="6"/>
        <v>#VALUE!</v>
      </c>
      <c r="EI665" s="1324"/>
      <c r="EJ665" s="1324"/>
      <c r="EK665" s="1324"/>
      <c r="EL665" s="1324"/>
      <c r="EM665" s="1324" t="e">
        <f t="shared" si="7"/>
        <v>#VALUE!</v>
      </c>
      <c r="EN665" s="1324"/>
      <c r="EO665" s="1324"/>
      <c r="EP665" s="1324"/>
      <c r="EQ665" s="1324"/>
      <c r="ER665" s="1324" t="e">
        <f t="shared" si="8"/>
        <v>#VALUE!</v>
      </c>
      <c r="ES665" s="1324"/>
      <c r="ET665" s="1324"/>
      <c r="EU665" s="1324"/>
      <c r="EV665" s="1324"/>
      <c r="EW665" s="1324" t="e">
        <f t="shared" si="9"/>
        <v>#VALUE!</v>
      </c>
      <c r="EX665" s="1324"/>
      <c r="EY665" s="1324"/>
      <c r="EZ665" s="1324"/>
      <c r="FA665" s="1324"/>
    </row>
    <row r="666" spans="1:157" ht="13"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24" t="e">
        <f t="shared" si="4"/>
        <v>#VALUE!</v>
      </c>
      <c r="DY666" s="1324"/>
      <c r="DZ666" s="1324"/>
      <c r="EA666" s="1324"/>
      <c r="EB666" s="1324"/>
      <c r="EC666" s="1324" t="e">
        <f t="shared" si="5"/>
        <v>#VALUE!</v>
      </c>
      <c r="ED666" s="1324"/>
      <c r="EE666" s="1324"/>
      <c r="EF666" s="1324"/>
      <c r="EG666" s="1324"/>
      <c r="EH666" s="1324" t="e">
        <f t="shared" si="6"/>
        <v>#VALUE!</v>
      </c>
      <c r="EI666" s="1324"/>
      <c r="EJ666" s="1324"/>
      <c r="EK666" s="1324"/>
      <c r="EL666" s="1324"/>
      <c r="EM666" s="1324" t="e">
        <f t="shared" si="7"/>
        <v>#VALUE!</v>
      </c>
      <c r="EN666" s="1324"/>
      <c r="EO666" s="1324"/>
      <c r="EP666" s="1324"/>
      <c r="EQ666" s="1324"/>
      <c r="ER666" s="1324" t="e">
        <f t="shared" si="8"/>
        <v>#VALUE!</v>
      </c>
      <c r="ES666" s="1324"/>
      <c r="ET666" s="1324"/>
      <c r="EU666" s="1324"/>
      <c r="EV666" s="1324"/>
      <c r="EW666" s="1324" t="e">
        <f t="shared" si="9"/>
        <v>#VALUE!</v>
      </c>
      <c r="EX666" s="1324"/>
      <c r="EY666" s="1324"/>
      <c r="EZ666" s="1324"/>
      <c r="FA666" s="1324"/>
    </row>
    <row r="667" spans="1:157" ht="13" customHeight="1">
      <c r="A667" s="47" t="s">
        <v>1403</v>
      </c>
      <c r="B667" t="s">
        <v>1414</v>
      </c>
      <c r="G667" s="1435" t="str">
        <f>C633</f>
        <v>Existing Reserves</v>
      </c>
      <c r="H667" s="1435"/>
      <c r="I667" s="1435"/>
      <c r="J667" s="1435"/>
      <c r="K667" s="1435"/>
      <c r="L667" s="1435"/>
      <c r="M667" s="1435"/>
      <c r="N667" s="1435"/>
      <c r="O667" s="1435"/>
      <c r="P667" s="1435"/>
      <c r="Q667" s="1435"/>
      <c r="R667" s="1435"/>
      <c r="T667" s="47" t="s">
        <v>1405</v>
      </c>
      <c r="U667" t="s">
        <v>1414</v>
      </c>
      <c r="Z667" s="1435">
        <f>C634</f>
        <v>0</v>
      </c>
      <c r="AA667" s="1435"/>
      <c r="AB667" s="1435"/>
      <c r="AC667" s="1435"/>
      <c r="AD667" s="1435"/>
      <c r="AE667" s="1435"/>
      <c r="AF667" s="1435"/>
      <c r="AG667" s="1435"/>
      <c r="AH667" s="1435"/>
      <c r="AI667" s="1435"/>
      <c r="AJ667" s="1435"/>
      <c r="AK667" s="1435"/>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24" t="e">
        <f t="shared" si="4"/>
        <v>#VALUE!</v>
      </c>
      <c r="DY667" s="1324"/>
      <c r="DZ667" s="1324"/>
      <c r="EA667" s="1324"/>
      <c r="EB667" s="1324"/>
      <c r="EC667" s="1324" t="e">
        <f t="shared" si="5"/>
        <v>#VALUE!</v>
      </c>
      <c r="ED667" s="1324"/>
      <c r="EE667" s="1324"/>
      <c r="EF667" s="1324"/>
      <c r="EG667" s="1324"/>
      <c r="EH667" s="1324" t="e">
        <f t="shared" si="6"/>
        <v>#VALUE!</v>
      </c>
      <c r="EI667" s="1324"/>
      <c r="EJ667" s="1324"/>
      <c r="EK667" s="1324"/>
      <c r="EL667" s="1324"/>
      <c r="EM667" s="1324" t="e">
        <f t="shared" si="7"/>
        <v>#VALUE!</v>
      </c>
      <c r="EN667" s="1324"/>
      <c r="EO667" s="1324"/>
      <c r="EP667" s="1324"/>
      <c r="EQ667" s="1324"/>
      <c r="ER667" s="1324" t="e">
        <f t="shared" si="8"/>
        <v>#VALUE!</v>
      </c>
      <c r="ES667" s="1324"/>
      <c r="ET667" s="1324"/>
      <c r="EU667" s="1324"/>
      <c r="EV667" s="1324"/>
      <c r="EW667" s="1324" t="e">
        <f t="shared" si="9"/>
        <v>#VALUE!</v>
      </c>
      <c r="EX667" s="1324"/>
      <c r="EY667" s="1324"/>
      <c r="EZ667" s="1324"/>
      <c r="FA667" s="1324"/>
    </row>
    <row r="668" spans="1:157" ht="13" customHeight="1">
      <c r="A668" s="19"/>
      <c r="B668" t="s">
        <v>1060</v>
      </c>
      <c r="G668" s="1359" t="s">
        <v>1061</v>
      </c>
      <c r="H668" s="1359"/>
      <c r="I668" s="1359"/>
      <c r="J668" s="1359"/>
      <c r="K668" s="1359"/>
      <c r="L668" s="1359"/>
      <c r="M668" s="1359"/>
      <c r="N668" s="1359"/>
      <c r="O668" s="1359"/>
      <c r="P668" s="1359"/>
      <c r="Q668" s="1359"/>
      <c r="R668" s="1359"/>
      <c r="T668" s="19"/>
      <c r="U668" t="s">
        <v>1060</v>
      </c>
      <c r="Z668" s="1359"/>
      <c r="AA668" s="1359"/>
      <c r="AB668" s="1359"/>
      <c r="AC668" s="1359"/>
      <c r="AD668" s="1359"/>
      <c r="AE668" s="1359"/>
      <c r="AF668" s="1359"/>
      <c r="AG668" s="1359"/>
      <c r="AH668" s="1359"/>
      <c r="AI668" s="1359"/>
      <c r="AJ668" s="1359"/>
      <c r="AK668" s="1359"/>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24" t="e">
        <f t="shared" si="4"/>
        <v>#VALUE!</v>
      </c>
      <c r="DY668" s="1324"/>
      <c r="DZ668" s="1324"/>
      <c r="EA668" s="1324"/>
      <c r="EB668" s="1324"/>
      <c r="EC668" s="1324" t="e">
        <f t="shared" si="5"/>
        <v>#VALUE!</v>
      </c>
      <c r="ED668" s="1324"/>
      <c r="EE668" s="1324"/>
      <c r="EF668" s="1324"/>
      <c r="EG668" s="1324"/>
      <c r="EH668" s="1324" t="e">
        <f t="shared" si="6"/>
        <v>#VALUE!</v>
      </c>
      <c r="EI668" s="1324"/>
      <c r="EJ668" s="1324"/>
      <c r="EK668" s="1324"/>
      <c r="EL668" s="1324"/>
      <c r="EM668" s="1324" t="e">
        <f t="shared" si="7"/>
        <v>#VALUE!</v>
      </c>
      <c r="EN668" s="1324"/>
      <c r="EO668" s="1324"/>
      <c r="EP668" s="1324"/>
      <c r="EQ668" s="1324"/>
      <c r="ER668" s="1324" t="e">
        <f t="shared" si="8"/>
        <v>#VALUE!</v>
      </c>
      <c r="ES668" s="1324"/>
      <c r="ET668" s="1324"/>
      <c r="EU668" s="1324"/>
      <c r="EV668" s="1324"/>
      <c r="EW668" s="1324" t="e">
        <f t="shared" si="9"/>
        <v>#VALUE!</v>
      </c>
      <c r="EX668" s="1324"/>
      <c r="EY668" s="1324"/>
      <c r="EZ668" s="1324"/>
      <c r="FA668" s="1324"/>
    </row>
    <row r="669" spans="1:157" ht="13" customHeight="1">
      <c r="A669" s="19"/>
      <c r="B669" t="s">
        <v>927</v>
      </c>
      <c r="G669" s="1359" t="s">
        <v>1453</v>
      </c>
      <c r="H669" s="1359"/>
      <c r="I669" s="1359"/>
      <c r="J669" s="1359"/>
      <c r="K669" s="1359"/>
      <c r="L669" s="1359"/>
      <c r="M669" s="1359"/>
      <c r="N669" s="1359"/>
      <c r="O669" s="1359"/>
      <c r="P669" s="1359"/>
      <c r="Q669" s="1359"/>
      <c r="R669" s="1359"/>
      <c r="T669" s="19"/>
      <c r="U669" t="s">
        <v>927</v>
      </c>
      <c r="Z669" s="1326"/>
      <c r="AA669" s="1326"/>
      <c r="AB669" s="1326"/>
      <c r="AC669" s="1326"/>
      <c r="AD669" s="1326"/>
      <c r="AE669" s="1326"/>
      <c r="AF669" s="1326"/>
      <c r="AG669" s="1326"/>
      <c r="AH669" s="1326"/>
      <c r="AI669" s="1326"/>
      <c r="AJ669" s="1326"/>
      <c r="AK669" s="1326"/>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24" t="e">
        <f t="shared" si="4"/>
        <v>#VALUE!</v>
      </c>
      <c r="DY669" s="1324"/>
      <c r="DZ669" s="1324"/>
      <c r="EA669" s="1324"/>
      <c r="EB669" s="1324"/>
      <c r="EC669" s="1324" t="e">
        <f t="shared" si="5"/>
        <v>#VALUE!</v>
      </c>
      <c r="ED669" s="1324"/>
      <c r="EE669" s="1324"/>
      <c r="EF669" s="1324"/>
      <c r="EG669" s="1324"/>
      <c r="EH669" s="1324" t="e">
        <f t="shared" si="6"/>
        <v>#VALUE!</v>
      </c>
      <c r="EI669" s="1324"/>
      <c r="EJ669" s="1324"/>
      <c r="EK669" s="1324"/>
      <c r="EL669" s="1324"/>
      <c r="EM669" s="1324" t="e">
        <f t="shared" si="7"/>
        <v>#VALUE!</v>
      </c>
      <c r="EN669" s="1324"/>
      <c r="EO669" s="1324"/>
      <c r="EP669" s="1324"/>
      <c r="EQ669" s="1324"/>
      <c r="ER669" s="1324" t="e">
        <f t="shared" si="8"/>
        <v>#VALUE!</v>
      </c>
      <c r="ES669" s="1324"/>
      <c r="ET669" s="1324"/>
      <c r="EU669" s="1324"/>
      <c r="EV669" s="1324"/>
      <c r="EW669" s="1324" t="e">
        <f t="shared" si="9"/>
        <v>#VALUE!</v>
      </c>
      <c r="EX669" s="1324"/>
      <c r="EY669" s="1324"/>
      <c r="EZ669" s="1324"/>
      <c r="FA669" s="1324"/>
    </row>
    <row r="670" spans="1:157" ht="13" customHeight="1">
      <c r="A670" s="19"/>
      <c r="B670" t="s">
        <v>1417</v>
      </c>
      <c r="G670" s="1359" t="s">
        <v>1066</v>
      </c>
      <c r="H670" s="1359"/>
      <c r="I670" s="1359"/>
      <c r="J670" s="1359"/>
      <c r="K670" s="1359"/>
      <c r="L670" s="1359"/>
      <c r="M670" s="1359"/>
      <c r="N670" s="1359"/>
      <c r="O670" s="1359"/>
      <c r="P670" s="1359"/>
      <c r="Q670" s="1359"/>
      <c r="R670" s="1359"/>
      <c r="T670" s="19"/>
      <c r="U670" t="s">
        <v>1417</v>
      </c>
      <c r="Z670" s="1326"/>
      <c r="AA670" s="1326"/>
      <c r="AB670" s="1326"/>
      <c r="AC670" s="1326"/>
      <c r="AD670" s="1326"/>
      <c r="AE670" s="1326"/>
      <c r="AF670" s="1326"/>
      <c r="AG670" s="1326"/>
      <c r="AH670" s="1326"/>
      <c r="AI670" s="1326"/>
      <c r="AJ670" s="1326"/>
      <c r="AK670" s="1326"/>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24">
        <f>SUMIF(DX635:EB669,"&gt;0")</f>
        <v>0</v>
      </c>
      <c r="DY670" s="1324"/>
      <c r="DZ670" s="1324"/>
      <c r="EA670" s="1324"/>
      <c r="EB670" s="1324"/>
      <c r="EC670" s="1324">
        <f>SUMIF(EC635:EG669,"&gt;0")</f>
        <v>1457.4285714285716</v>
      </c>
      <c r="ED670" s="1324"/>
      <c r="EE670" s="1324"/>
      <c r="EF670" s="1324"/>
      <c r="EG670" s="1324"/>
      <c r="EH670" s="1324">
        <f>SUMIF(EH635:EL669,"&gt;0")</f>
        <v>1479.969696969697</v>
      </c>
      <c r="EI670" s="1324"/>
      <c r="EJ670" s="1324"/>
      <c r="EK670" s="1324"/>
      <c r="EL670" s="1324"/>
      <c r="EM670" s="1324">
        <f>SUMIF(EM635:EQ669,"&gt;0")</f>
        <v>1439.8749999999998</v>
      </c>
      <c r="EN670" s="1324"/>
      <c r="EO670" s="1324"/>
      <c r="EP670" s="1324"/>
      <c r="EQ670" s="1324"/>
      <c r="ER670" s="1324">
        <f>SUMIF(ER635:EV669,"&gt;0")</f>
        <v>0</v>
      </c>
      <c r="ES670" s="1324"/>
      <c r="ET670" s="1324"/>
      <c r="EU670" s="1324"/>
      <c r="EV670" s="1324"/>
      <c r="EW670" s="1324">
        <f>SUMIF(EW635:FA669,"&gt;0")</f>
        <v>0</v>
      </c>
      <c r="EX670" s="1324"/>
      <c r="EY670" s="1324"/>
      <c r="EZ670" s="1324"/>
      <c r="FA670" s="1324"/>
    </row>
    <row r="671" spans="1:157" ht="13" customHeight="1">
      <c r="A671" s="19"/>
      <c r="B671" t="s">
        <v>821</v>
      </c>
      <c r="G671" s="1439" t="s">
        <v>1425</v>
      </c>
      <c r="H671" s="1439"/>
      <c r="I671" s="1439"/>
      <c r="J671" s="1439"/>
      <c r="K671" s="1439"/>
      <c r="L671" s="1439"/>
      <c r="O671" s="922" t="s">
        <v>1069</v>
      </c>
      <c r="P671" s="1423"/>
      <c r="Q671" s="1423"/>
      <c r="R671" s="1423"/>
      <c r="T671" s="19"/>
      <c r="U671" t="s">
        <v>821</v>
      </c>
      <c r="Z671" s="1439"/>
      <c r="AA671" s="1439"/>
      <c r="AB671" s="1439"/>
      <c r="AC671" s="1439"/>
      <c r="AD671" s="1439"/>
      <c r="AE671" s="1439"/>
      <c r="AH671" s="922" t="s">
        <v>1069</v>
      </c>
      <c r="AI671" s="1423"/>
      <c r="AJ671" s="1423"/>
      <c r="AK671" s="1423"/>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19"/>
      <c r="B672" t="s">
        <v>1420</v>
      </c>
      <c r="H672" s="1472" t="s">
        <v>2763</v>
      </c>
      <c r="I672" s="1359"/>
      <c r="J672" s="1359"/>
      <c r="K672" s="1359"/>
      <c r="L672" s="1359"/>
      <c r="M672" s="1359"/>
      <c r="N672" s="1359"/>
      <c r="O672" s="1359"/>
      <c r="P672" s="1359"/>
      <c r="Q672" s="1359"/>
      <c r="R672" s="1359"/>
      <c r="T672" s="19"/>
      <c r="U672" t="s">
        <v>1420</v>
      </c>
      <c r="AA672" s="1359"/>
      <c r="AB672" s="1359"/>
      <c r="AC672" s="1359"/>
      <c r="AD672" s="1359"/>
      <c r="AE672" s="1359"/>
      <c r="AF672" s="1359"/>
      <c r="AG672" s="1359"/>
      <c r="AH672" s="1359"/>
      <c r="AI672" s="1359"/>
      <c r="AJ672" s="1359"/>
      <c r="AK672" s="1359"/>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19"/>
      <c r="B673" t="s">
        <v>1424</v>
      </c>
      <c r="N673" s="1367" t="s">
        <v>842</v>
      </c>
      <c r="O673" s="1367"/>
      <c r="T673" s="19"/>
      <c r="U673" t="s">
        <v>1424</v>
      </c>
      <c r="AG673" s="1367"/>
      <c r="AH673" s="1367"/>
      <c r="AZ673" s="3"/>
    </row>
    <row r="674" spans="1:52" ht="13" customHeight="1">
      <c r="A674" s="19"/>
      <c r="T674" s="19"/>
      <c r="AZ674" s="3"/>
    </row>
    <row r="675" spans="1:52" ht="13" customHeight="1">
      <c r="A675" s="47" t="s">
        <v>1406</v>
      </c>
      <c r="B675" t="s">
        <v>1414</v>
      </c>
      <c r="G675" s="1435">
        <f>C635</f>
        <v>0</v>
      </c>
      <c r="H675" s="1435"/>
      <c r="I675" s="1435"/>
      <c r="J675" s="1435"/>
      <c r="K675" s="1435"/>
      <c r="L675" s="1435"/>
      <c r="M675" s="1435"/>
      <c r="N675" s="1435"/>
      <c r="O675" s="1435"/>
      <c r="P675" s="1435"/>
      <c r="Q675" s="1435"/>
      <c r="R675" s="1435"/>
      <c r="T675" s="47" t="s">
        <v>1408</v>
      </c>
      <c r="U675" t="s">
        <v>1414</v>
      </c>
      <c r="Z675" s="1435">
        <f>C636</f>
        <v>0</v>
      </c>
      <c r="AA675" s="1435"/>
      <c r="AB675" s="1435"/>
      <c r="AC675" s="1435"/>
      <c r="AD675" s="1435"/>
      <c r="AE675" s="1435"/>
      <c r="AF675" s="1435"/>
      <c r="AG675" s="1435"/>
      <c r="AH675" s="1435"/>
      <c r="AI675" s="1435"/>
      <c r="AJ675" s="1435"/>
      <c r="AK675" s="1435"/>
      <c r="AZ675" s="3"/>
    </row>
    <row r="676" spans="1:52" ht="13" customHeight="1">
      <c r="A676" s="19"/>
      <c r="B676" t="s">
        <v>1060</v>
      </c>
      <c r="G676" s="1359"/>
      <c r="H676" s="1359"/>
      <c r="I676" s="1359"/>
      <c r="J676" s="1359"/>
      <c r="K676" s="1359"/>
      <c r="L676" s="1359"/>
      <c r="M676" s="1359"/>
      <c r="N676" s="1359"/>
      <c r="O676" s="1359"/>
      <c r="P676" s="1359"/>
      <c r="Q676" s="1359"/>
      <c r="R676" s="1359"/>
      <c r="T676" s="19"/>
      <c r="U676" t="s">
        <v>1060</v>
      </c>
      <c r="Z676" s="1359"/>
      <c r="AA676" s="1359"/>
      <c r="AB676" s="1359"/>
      <c r="AC676" s="1359"/>
      <c r="AD676" s="1359"/>
      <c r="AE676" s="1359"/>
      <c r="AF676" s="1359"/>
      <c r="AG676" s="1359"/>
      <c r="AH676" s="1359"/>
      <c r="AI676" s="1359"/>
      <c r="AJ676" s="1359"/>
      <c r="AK676" s="1359"/>
      <c r="AZ676" s="3"/>
    </row>
    <row r="677" spans="1:52" ht="13" customHeight="1">
      <c r="A677" s="19"/>
      <c r="B677" t="s">
        <v>927</v>
      </c>
      <c r="G677" s="1359"/>
      <c r="H677" s="1359"/>
      <c r="I677" s="1359"/>
      <c r="J677" s="1359"/>
      <c r="K677" s="1359"/>
      <c r="L677" s="1359"/>
      <c r="M677" s="1359"/>
      <c r="N677" s="1359"/>
      <c r="O677" s="1359"/>
      <c r="P677" s="1359"/>
      <c r="Q677" s="1359"/>
      <c r="R677" s="1359"/>
      <c r="T677" s="19"/>
      <c r="U677" t="s">
        <v>927</v>
      </c>
      <c r="Z677" s="1326"/>
      <c r="AA677" s="1326"/>
      <c r="AB677" s="1326"/>
      <c r="AC677" s="1326"/>
      <c r="AD677" s="1326"/>
      <c r="AE677" s="1326"/>
      <c r="AF677" s="1326"/>
      <c r="AG677" s="1326"/>
      <c r="AH677" s="1326"/>
      <c r="AI677" s="1326"/>
      <c r="AJ677" s="1326"/>
      <c r="AK677" s="1326"/>
      <c r="AZ677" s="3"/>
    </row>
    <row r="678" spans="1:52" ht="13" customHeight="1">
      <c r="A678" s="19"/>
      <c r="B678" t="s">
        <v>1417</v>
      </c>
      <c r="G678" s="1359"/>
      <c r="H678" s="1359"/>
      <c r="I678" s="1359"/>
      <c r="J678" s="1359"/>
      <c r="K678" s="1359"/>
      <c r="L678" s="1359"/>
      <c r="M678" s="1359"/>
      <c r="N678" s="1359"/>
      <c r="O678" s="1359"/>
      <c r="P678" s="1359"/>
      <c r="Q678" s="1359"/>
      <c r="R678" s="1359"/>
      <c r="T678" s="19"/>
      <c r="U678" t="s">
        <v>1417</v>
      </c>
      <c r="Z678" s="1326"/>
      <c r="AA678" s="1326"/>
      <c r="AB678" s="1326"/>
      <c r="AC678" s="1326"/>
      <c r="AD678" s="1326"/>
      <c r="AE678" s="1326"/>
      <c r="AF678" s="1326"/>
      <c r="AG678" s="1326"/>
      <c r="AH678" s="1326"/>
      <c r="AI678" s="1326"/>
      <c r="AJ678" s="1326"/>
      <c r="AK678" s="1326"/>
      <c r="AZ678" s="3"/>
    </row>
    <row r="679" spans="1:52" ht="13" customHeight="1">
      <c r="A679" s="19"/>
      <c r="B679" t="s">
        <v>821</v>
      </c>
      <c r="G679" s="1439"/>
      <c r="H679" s="1439"/>
      <c r="I679" s="1439"/>
      <c r="J679" s="1439"/>
      <c r="K679" s="1439"/>
      <c r="L679" s="1439"/>
      <c r="O679" s="922" t="s">
        <v>1069</v>
      </c>
      <c r="P679" s="1423"/>
      <c r="Q679" s="1423"/>
      <c r="R679" s="1423"/>
      <c r="T679" s="19"/>
      <c r="U679" t="s">
        <v>821</v>
      </c>
      <c r="Z679" s="1439"/>
      <c r="AA679" s="1439"/>
      <c r="AB679" s="1439"/>
      <c r="AC679" s="1439"/>
      <c r="AD679" s="1439"/>
      <c r="AE679" s="1439"/>
      <c r="AH679" s="922" t="s">
        <v>1069</v>
      </c>
      <c r="AI679" s="1423"/>
      <c r="AJ679" s="1423"/>
      <c r="AK679" s="1423"/>
      <c r="AZ679" s="3"/>
    </row>
    <row r="680" spans="1:52" ht="13" customHeight="1">
      <c r="A680" s="19"/>
      <c r="B680" t="s">
        <v>1420</v>
      </c>
      <c r="H680" s="1359"/>
      <c r="I680" s="1359"/>
      <c r="J680" s="1359"/>
      <c r="K680" s="1359"/>
      <c r="L680" s="1359"/>
      <c r="M680" s="1359"/>
      <c r="N680" s="1359"/>
      <c r="O680" s="1359"/>
      <c r="P680" s="1359"/>
      <c r="Q680" s="1359"/>
      <c r="R680" s="1359"/>
      <c r="T680" s="19"/>
      <c r="U680" t="s">
        <v>1420</v>
      </c>
      <c r="AA680" s="1359"/>
      <c r="AB680" s="1359"/>
      <c r="AC680" s="1359"/>
      <c r="AD680" s="1359"/>
      <c r="AE680" s="1359"/>
      <c r="AF680" s="1359"/>
      <c r="AG680" s="1359"/>
      <c r="AH680" s="1359"/>
      <c r="AI680" s="1359"/>
      <c r="AJ680" s="1359"/>
      <c r="AK680" s="1359"/>
      <c r="AZ680" s="3"/>
    </row>
    <row r="681" spans="1:52" ht="13" customHeight="1">
      <c r="A681" s="19"/>
      <c r="B681" t="s">
        <v>1424</v>
      </c>
      <c r="N681" s="1367"/>
      <c r="O681" s="1367"/>
      <c r="T681" s="19"/>
      <c r="U681" t="s">
        <v>1424</v>
      </c>
      <c r="AG681" s="1367"/>
      <c r="AH681" s="1367"/>
      <c r="AZ681" s="3"/>
    </row>
    <row r="682" spans="1:52" ht="13" customHeight="1">
      <c r="A682" s="19"/>
      <c r="T682" s="19"/>
      <c r="AZ682" s="3"/>
    </row>
    <row r="683" spans="1:52" ht="13" customHeight="1">
      <c r="A683" s="47" t="s">
        <v>1410</v>
      </c>
      <c r="B683" t="s">
        <v>1414</v>
      </c>
      <c r="G683" s="1435">
        <f>C637</f>
        <v>0</v>
      </c>
      <c r="H683" s="1435"/>
      <c r="I683" s="1435"/>
      <c r="J683" s="1435"/>
      <c r="K683" s="1435"/>
      <c r="L683" s="1435"/>
      <c r="M683" s="1435"/>
      <c r="N683" s="1435"/>
      <c r="O683" s="1435"/>
      <c r="P683" s="1435"/>
      <c r="Q683" s="1435"/>
      <c r="R683" s="1435"/>
      <c r="T683" s="47" t="s">
        <v>1412</v>
      </c>
      <c r="U683" t="s">
        <v>1414</v>
      </c>
      <c r="Z683" s="1435">
        <f>C638</f>
        <v>0</v>
      </c>
      <c r="AA683" s="1435"/>
      <c r="AB683" s="1435"/>
      <c r="AC683" s="1435"/>
      <c r="AD683" s="1435"/>
      <c r="AE683" s="1435"/>
      <c r="AF683" s="1435"/>
      <c r="AG683" s="1435"/>
      <c r="AH683" s="1435"/>
      <c r="AI683" s="1435"/>
      <c r="AJ683" s="1435"/>
      <c r="AK683" s="1435"/>
      <c r="AZ683" s="3"/>
    </row>
    <row r="684" spans="1:52" ht="13" customHeight="1">
      <c r="B684" t="s">
        <v>1060</v>
      </c>
      <c r="G684" s="1359"/>
      <c r="H684" s="1359"/>
      <c r="I684" s="1359"/>
      <c r="J684" s="1359"/>
      <c r="K684" s="1359"/>
      <c r="L684" s="1359"/>
      <c r="M684" s="1359"/>
      <c r="N684" s="1359"/>
      <c r="O684" s="1359"/>
      <c r="P684" s="1359"/>
      <c r="Q684" s="1359"/>
      <c r="R684" s="1359"/>
      <c r="T684" s="19"/>
      <c r="U684" t="s">
        <v>1060</v>
      </c>
      <c r="Z684" s="1359"/>
      <c r="AA684" s="1359"/>
      <c r="AB684" s="1359"/>
      <c r="AC684" s="1359"/>
      <c r="AD684" s="1359"/>
      <c r="AE684" s="1359"/>
      <c r="AF684" s="1359"/>
      <c r="AG684" s="1359"/>
      <c r="AH684" s="1359"/>
      <c r="AI684" s="1359"/>
      <c r="AJ684" s="1359"/>
      <c r="AK684" s="1359"/>
      <c r="AZ684" s="3"/>
    </row>
    <row r="685" spans="1:52" ht="13" customHeight="1">
      <c r="B685" t="s">
        <v>927</v>
      </c>
      <c r="G685" s="1359"/>
      <c r="H685" s="1359"/>
      <c r="I685" s="1359"/>
      <c r="J685" s="1359"/>
      <c r="K685" s="1359"/>
      <c r="L685" s="1359"/>
      <c r="M685" s="1359"/>
      <c r="N685" s="1359"/>
      <c r="O685" s="1359"/>
      <c r="P685" s="1359"/>
      <c r="Q685" s="1359"/>
      <c r="R685" s="1359"/>
      <c r="U685" t="s">
        <v>927</v>
      </c>
      <c r="Z685" s="1326"/>
      <c r="AA685" s="1326"/>
      <c r="AB685" s="1326"/>
      <c r="AC685" s="1326"/>
      <c r="AD685" s="1326"/>
      <c r="AE685" s="1326"/>
      <c r="AF685" s="1326"/>
      <c r="AG685" s="1326"/>
      <c r="AH685" s="1326"/>
      <c r="AI685" s="1326"/>
      <c r="AJ685" s="1326"/>
      <c r="AK685" s="1326"/>
      <c r="AZ685" s="3"/>
    </row>
    <row r="686" spans="1:52" ht="13" customHeight="1">
      <c r="B686" t="s">
        <v>1417</v>
      </c>
      <c r="G686" s="1359"/>
      <c r="H686" s="1359"/>
      <c r="I686" s="1359"/>
      <c r="J686" s="1359"/>
      <c r="K686" s="1359"/>
      <c r="L686" s="1359"/>
      <c r="M686" s="1359"/>
      <c r="N686" s="1359"/>
      <c r="O686" s="1359"/>
      <c r="P686" s="1359"/>
      <c r="Q686" s="1359"/>
      <c r="R686" s="1359"/>
      <c r="U686" t="s">
        <v>1417</v>
      </c>
      <c r="Z686" s="1326"/>
      <c r="AA686" s="1326"/>
      <c r="AB686" s="1326"/>
      <c r="AC686" s="1326"/>
      <c r="AD686" s="1326"/>
      <c r="AE686" s="1326"/>
      <c r="AF686" s="1326"/>
      <c r="AG686" s="1326"/>
      <c r="AH686" s="1326"/>
      <c r="AI686" s="1326"/>
      <c r="AJ686" s="1326"/>
      <c r="AK686" s="1326"/>
      <c r="AZ686" s="3"/>
    </row>
    <row r="687" spans="1:52" ht="13" customHeight="1">
      <c r="B687" t="s">
        <v>821</v>
      </c>
      <c r="G687" s="1439"/>
      <c r="H687" s="1439"/>
      <c r="I687" s="1439"/>
      <c r="J687" s="1439"/>
      <c r="K687" s="1439"/>
      <c r="L687" s="1439"/>
      <c r="O687" s="922" t="s">
        <v>1069</v>
      </c>
      <c r="P687" s="1423"/>
      <c r="Q687" s="1423"/>
      <c r="R687" s="1423"/>
      <c r="U687" t="s">
        <v>821</v>
      </c>
      <c r="Z687" s="1439"/>
      <c r="AA687" s="1439"/>
      <c r="AB687" s="1439"/>
      <c r="AC687" s="1439"/>
      <c r="AD687" s="1439"/>
      <c r="AE687" s="1439"/>
      <c r="AH687" s="922" t="s">
        <v>1069</v>
      </c>
      <c r="AI687" s="1423"/>
      <c r="AJ687" s="1423"/>
      <c r="AK687" s="1423"/>
      <c r="AZ687" s="3"/>
    </row>
    <row r="688" spans="1:52" ht="13" customHeight="1">
      <c r="B688" t="s">
        <v>1420</v>
      </c>
      <c r="H688" s="1359"/>
      <c r="I688" s="1359"/>
      <c r="J688" s="1359"/>
      <c r="K688" s="1359"/>
      <c r="L688" s="1359"/>
      <c r="M688" s="1359"/>
      <c r="N688" s="1359"/>
      <c r="O688" s="1359"/>
      <c r="P688" s="1359"/>
      <c r="Q688" s="1359"/>
      <c r="R688" s="1359"/>
      <c r="U688" t="s">
        <v>1420</v>
      </c>
      <c r="AA688" s="1359"/>
      <c r="AB688" s="1359"/>
      <c r="AC688" s="1359"/>
      <c r="AD688" s="1359"/>
      <c r="AE688" s="1359"/>
      <c r="AF688" s="1359"/>
      <c r="AG688" s="1359"/>
      <c r="AH688" s="1359"/>
      <c r="AI688" s="1359"/>
      <c r="AJ688" s="1359"/>
      <c r="AK688" s="1359"/>
      <c r="AZ688" s="3"/>
    </row>
    <row r="689" spans="1:67" ht="13" customHeight="1">
      <c r="B689" t="s">
        <v>1424</v>
      </c>
      <c r="N689" s="1367" t="s">
        <v>842</v>
      </c>
      <c r="O689" s="1367"/>
      <c r="U689" t="s">
        <v>1424</v>
      </c>
      <c r="AG689" s="1367" t="s">
        <v>692</v>
      </c>
      <c r="AH689" s="1367"/>
      <c r="AZ689" s="3"/>
    </row>
    <row r="690" spans="1:67" ht="13" customHeight="1">
      <c r="AZ690" s="3"/>
    </row>
    <row r="691" spans="1:67" ht="13" customHeight="1">
      <c r="A691" s="2" t="s">
        <v>908</v>
      </c>
      <c r="C691" s="2" t="s">
        <v>179</v>
      </c>
      <c r="E691" s="95"/>
      <c r="F691" s="95"/>
      <c r="G691" s="95"/>
      <c r="H691" s="95"/>
      <c r="AZ691" s="3"/>
    </row>
    <row r="692" spans="1:67" ht="13" customHeight="1">
      <c r="B692" s="99"/>
      <c r="C692" s="99"/>
      <c r="D692" s="925" t="s">
        <v>1454</v>
      </c>
      <c r="E692" s="99"/>
      <c r="F692" s="99"/>
      <c r="G692" s="99"/>
      <c r="H692" s="99"/>
      <c r="AZ692" s="3"/>
    </row>
    <row r="693" spans="1:67" ht="13" customHeight="1">
      <c r="B693" s="99"/>
      <c r="C693" s="99"/>
      <c r="E693" s="925" t="s">
        <v>1455</v>
      </c>
      <c r="F693" s="99"/>
      <c r="G693" s="99"/>
      <c r="H693" s="99"/>
      <c r="AE693" s="1367" t="s">
        <v>842</v>
      </c>
      <c r="AF693" s="1367"/>
      <c r="AZ693" s="3"/>
    </row>
    <row r="694" spans="1:67" ht="13" customHeight="1">
      <c r="B694" s="99"/>
      <c r="C694" s="99"/>
      <c r="D694" s="925" t="s">
        <v>1456</v>
      </c>
      <c r="E694" s="99"/>
      <c r="F694" s="99"/>
      <c r="G694" s="99"/>
      <c r="H694" s="99"/>
      <c r="AE694" s="1367" t="s">
        <v>842</v>
      </c>
      <c r="AF694" s="1367"/>
      <c r="AZ694" s="3"/>
    </row>
    <row r="695" spans="1:67" ht="13" customHeight="1">
      <c r="B695" s="99"/>
      <c r="C695" s="99"/>
      <c r="D695" s="925" t="s">
        <v>1457</v>
      </c>
      <c r="E695" s="99"/>
      <c r="F695" s="99"/>
      <c r="G695" s="99"/>
      <c r="H695" s="99"/>
      <c r="AE695" s="1457">
        <v>45909</v>
      </c>
      <c r="AF695" s="1457"/>
      <c r="AG695" s="1457"/>
      <c r="AH695" s="1457"/>
      <c r="AI695" s="1457"/>
    </row>
    <row r="696" spans="1:67" ht="13" customHeight="1">
      <c r="B696" s="99"/>
      <c r="C696" s="99"/>
      <c r="D696" s="222" t="s">
        <v>1458</v>
      </c>
      <c r="E696" s="99"/>
      <c r="F696" s="99"/>
      <c r="G696" s="99"/>
      <c r="H696" s="99"/>
      <c r="AE696" s="1605">
        <v>45980</v>
      </c>
      <c r="AF696" s="1605"/>
      <c r="AG696" s="1605"/>
      <c r="AH696" s="1605"/>
      <c r="AI696" s="1605"/>
    </row>
    <row r="697" spans="1:67" ht="13" customHeight="1">
      <c r="B697" s="99"/>
      <c r="C697" s="99"/>
    </row>
    <row r="698" spans="1:67" ht="13" customHeight="1">
      <c r="B698" s="99"/>
      <c r="C698" s="99"/>
      <c r="D698" s="925" t="s">
        <v>1459</v>
      </c>
      <c r="E698" s="99"/>
      <c r="F698" s="99"/>
      <c r="G698" s="99"/>
      <c r="H698" s="99"/>
      <c r="AE698" s="1457">
        <v>46143</v>
      </c>
      <c r="AF698" s="1457"/>
      <c r="AG698" s="1457"/>
      <c r="AH698" s="1457"/>
      <c r="AI698" s="1457"/>
    </row>
    <row r="699" spans="1:67" ht="13" customHeight="1">
      <c r="B699" s="99"/>
      <c r="C699" s="99"/>
      <c r="D699" s="925" t="s">
        <v>1460</v>
      </c>
      <c r="E699" s="99"/>
      <c r="F699" s="99"/>
      <c r="G699" s="99"/>
      <c r="H699" s="99"/>
      <c r="AE699" s="1625">
        <v>0.27</v>
      </c>
      <c r="AF699" s="1625"/>
      <c r="AG699" s="1625"/>
      <c r="AH699" s="1625"/>
      <c r="AI699" s="1625"/>
    </row>
    <row r="700" spans="1:67" ht="13" customHeight="1">
      <c r="B700" s="99"/>
      <c r="C700" s="99"/>
      <c r="D700" s="925" t="s">
        <v>1461</v>
      </c>
      <c r="E700" s="99"/>
      <c r="F700" s="99"/>
      <c r="G700" s="99"/>
      <c r="H700" s="99"/>
      <c r="W700" s="1435" t="str">
        <f>H335</f>
        <v>California Municipal Finance Authority</v>
      </c>
      <c r="X700" s="1435"/>
      <c r="Y700" s="1435"/>
      <c r="Z700" s="1435"/>
      <c r="AA700" s="1435"/>
      <c r="AB700" s="1435"/>
      <c r="AC700" s="1435"/>
      <c r="AD700" s="1435"/>
      <c r="AE700" s="1435"/>
      <c r="AF700" s="1435"/>
      <c r="AG700" s="1435"/>
      <c r="AH700" s="1435"/>
      <c r="AI700" s="1435"/>
      <c r="AJ700" s="1435"/>
      <c r="AK700" s="1435"/>
    </row>
    <row r="701" spans="1:67" ht="13" customHeight="1">
      <c r="B701" s="99"/>
      <c r="C701" s="99"/>
      <c r="D701" s="925"/>
      <c r="E701" s="99"/>
      <c r="F701" s="99"/>
      <c r="G701" s="99"/>
      <c r="H701" s="99"/>
    </row>
    <row r="702" spans="1:67" ht="13" customHeight="1">
      <c r="B702" s="99"/>
      <c r="C702" s="99"/>
      <c r="D702" s="925" t="s">
        <v>1462</v>
      </c>
      <c r="E702" s="99"/>
      <c r="F702" s="99"/>
      <c r="G702" s="99"/>
      <c r="H702" s="99"/>
      <c r="AE702" s="1367" t="s">
        <v>692</v>
      </c>
      <c r="AF702" s="1367"/>
      <c r="AZ702" s="3" t="s">
        <v>827</v>
      </c>
    </row>
    <row r="703" spans="1:67" ht="13" customHeight="1">
      <c r="B703" s="99"/>
      <c r="C703" s="99"/>
      <c r="D703" s="925" t="s">
        <v>1463</v>
      </c>
      <c r="E703" s="99"/>
      <c r="F703" s="99"/>
      <c r="G703" s="99"/>
      <c r="H703" s="99"/>
      <c r="W703" s="1359"/>
      <c r="X703" s="1359"/>
      <c r="Y703" s="1359"/>
      <c r="Z703" s="1359"/>
      <c r="AA703" s="1359"/>
      <c r="AB703" s="1359"/>
      <c r="AC703" s="1359"/>
      <c r="AD703" s="1359"/>
      <c r="AE703" s="1359"/>
      <c r="AF703" s="1359"/>
      <c r="AG703" s="1359"/>
      <c r="AH703" s="1359"/>
      <c r="AI703" s="1359"/>
      <c r="AJ703" s="1359"/>
      <c r="AK703" s="1359"/>
      <c r="AZ703" s="3" t="s">
        <v>828</v>
      </c>
    </row>
    <row r="704" spans="1:67" ht="13" customHeight="1">
      <c r="B704" s="99"/>
      <c r="C704" s="99"/>
      <c r="D704" s="925" t="s">
        <v>1065</v>
      </c>
      <c r="E704" s="99"/>
      <c r="F704" s="99"/>
      <c r="G704" s="99"/>
      <c r="H704" s="99"/>
      <c r="J704" s="1359"/>
      <c r="K704" s="1359"/>
      <c r="L704" s="1359"/>
      <c r="M704" s="1359"/>
      <c r="N704" s="1359"/>
      <c r="O704" s="1359"/>
      <c r="P704" s="1359"/>
      <c r="Q704" s="1359"/>
      <c r="R704" s="1359"/>
      <c r="S704" s="1359"/>
      <c r="T704" s="1359"/>
      <c r="U704" s="1359"/>
      <c r="V704" s="1359"/>
      <c r="W704" s="1359"/>
      <c r="X704" s="1359"/>
      <c r="AZ704" s="3" t="s">
        <v>829</v>
      </c>
      <c r="BB704" s="3"/>
      <c r="BC704" s="3"/>
      <c r="BD704" s="3"/>
      <c r="BE704" s="3"/>
      <c r="BF704" s="3"/>
      <c r="BJ704" s="3"/>
      <c r="BK704" s="3"/>
      <c r="BL704" s="3"/>
      <c r="BM704" s="3"/>
      <c r="BN704" s="3"/>
      <c r="BO704" s="3"/>
    </row>
    <row r="705" spans="1:185" ht="13" customHeight="1">
      <c r="B705" s="99"/>
      <c r="C705" s="99"/>
      <c r="D705" s="925" t="s">
        <v>1067</v>
      </c>
      <c r="J705" s="1439"/>
      <c r="K705" s="1439"/>
      <c r="L705" s="1439"/>
      <c r="M705" s="1439"/>
      <c r="N705" s="1439"/>
      <c r="O705" s="1439"/>
      <c r="P705" s="3" t="s">
        <v>1069</v>
      </c>
      <c r="Q705" s="3"/>
      <c r="R705" s="1423"/>
      <c r="S705" s="1423"/>
      <c r="T705" s="1423"/>
      <c r="AZ705" s="3" t="s">
        <v>830</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99"/>
      <c r="C706" s="99"/>
      <c r="D706" s="925" t="s">
        <v>1464</v>
      </c>
      <c r="W706" s="1359" t="s">
        <v>309</v>
      </c>
      <c r="X706" s="1359"/>
      <c r="Y706" s="1359"/>
      <c r="Z706" s="1359"/>
      <c r="AA706" s="1359"/>
      <c r="AB706" s="1359"/>
      <c r="AC706" s="1359"/>
      <c r="AD706" s="1359"/>
      <c r="AE706" s="1359"/>
      <c r="AF706" s="1359"/>
      <c r="AG706" s="1359"/>
      <c r="AH706" s="1359"/>
      <c r="AI706" s="1359"/>
      <c r="AJ706" s="1359"/>
      <c r="AK706" s="1359"/>
      <c r="AZ706" s="3" t="s">
        <v>831</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99"/>
      <c r="C707" s="99"/>
      <c r="D707" s="925"/>
      <c r="E707" s="1359" t="s">
        <v>1261</v>
      </c>
      <c r="F707" s="1359"/>
      <c r="G707" s="1359"/>
      <c r="H707" s="1359"/>
      <c r="I707" s="1359"/>
      <c r="J707" s="1359"/>
      <c r="K707" s="1359"/>
      <c r="L707" s="1359"/>
      <c r="M707" s="1359"/>
      <c r="N707" s="1359"/>
      <c r="O707" s="1359"/>
      <c r="P707" s="1359"/>
      <c r="Q707" s="1359"/>
      <c r="R707" s="1359"/>
      <c r="S707" s="1359"/>
      <c r="T707" s="1359"/>
      <c r="U707" s="1359"/>
      <c r="V707" s="1359"/>
      <c r="W707" s="1359"/>
      <c r="X707" s="1359"/>
      <c r="Y707" s="1359"/>
      <c r="Z707" s="1359"/>
      <c r="AA707" s="1359"/>
      <c r="AB707" s="1359"/>
      <c r="AC707" s="1359"/>
      <c r="AD707" s="1359"/>
      <c r="AE707" s="1359"/>
      <c r="AF707" s="1359"/>
      <c r="AG707" s="1359"/>
      <c r="AH707" s="1359"/>
      <c r="AI707" s="1359"/>
      <c r="AJ707" s="1359"/>
      <c r="AK707" s="1359"/>
      <c r="AZ707" s="3" t="s">
        <v>832</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31" t="s">
        <v>1465</v>
      </c>
      <c r="B709" s="1231"/>
      <c r="C709" s="1231"/>
      <c r="D709" s="1231"/>
      <c r="E709" s="1231"/>
      <c r="F709" s="1231"/>
      <c r="G709" s="1231"/>
      <c r="H709" s="1231"/>
      <c r="I709" s="1231"/>
      <c r="J709" s="1231"/>
      <c r="K709" s="1231"/>
      <c r="L709" s="1231"/>
      <c r="M709" s="1231"/>
      <c r="N709" s="1231"/>
      <c r="O709" s="1231"/>
      <c r="P709" s="1231"/>
      <c r="Q709" s="1231"/>
      <c r="R709" s="1231"/>
      <c r="S709" s="1231"/>
      <c r="T709" s="1231"/>
      <c r="U709" s="1231"/>
      <c r="V709" s="1231"/>
      <c r="W709" s="1231"/>
      <c r="X709" s="1231"/>
      <c r="Y709" s="1231"/>
      <c r="Z709" s="1231"/>
      <c r="AA709" s="1231"/>
      <c r="AB709" s="1231"/>
      <c r="AC709" s="1231"/>
      <c r="AD709" s="1231"/>
      <c r="AE709" s="1231"/>
      <c r="AF709" s="1231"/>
      <c r="AG709" s="1231"/>
      <c r="AH709" s="1231"/>
      <c r="AI709" s="1231"/>
      <c r="AJ709" s="1231"/>
      <c r="AK709" s="1231"/>
      <c r="AL709" s="1231"/>
      <c r="AM709" s="1231"/>
      <c r="AN709" s="1231"/>
      <c r="AO709" s="1231"/>
      <c r="AP709" s="1231"/>
      <c r="AQ709" s="1231"/>
      <c r="AR709" s="1231"/>
      <c r="AS709" s="1231"/>
      <c r="AT709" s="123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31"/>
      <c r="B710" s="1231"/>
      <c r="C710" s="1231"/>
      <c r="D710" s="1231"/>
      <c r="E710" s="1231"/>
      <c r="F710" s="1231"/>
      <c r="G710" s="1231"/>
      <c r="H710" s="1231"/>
      <c r="I710" s="1231"/>
      <c r="J710" s="1231"/>
      <c r="K710" s="1231"/>
      <c r="L710" s="1231"/>
      <c r="M710" s="1231"/>
      <c r="N710" s="1231"/>
      <c r="O710" s="1231"/>
      <c r="P710" s="1231"/>
      <c r="Q710" s="1231"/>
      <c r="R710" s="1231"/>
      <c r="S710" s="1231"/>
      <c r="T710" s="1231"/>
      <c r="U710" s="1231"/>
      <c r="V710" s="1231"/>
      <c r="W710" s="1231"/>
      <c r="X710" s="1231"/>
      <c r="Y710" s="1231"/>
      <c r="Z710" s="1231"/>
      <c r="AA710" s="1231"/>
      <c r="AB710" s="1231"/>
      <c r="AC710" s="1231"/>
      <c r="AD710" s="1231"/>
      <c r="AE710" s="1231"/>
      <c r="AF710" s="1231"/>
      <c r="AG710" s="1231"/>
      <c r="AH710" s="1231"/>
      <c r="AI710" s="1231"/>
      <c r="AJ710" s="1231"/>
      <c r="AK710" s="1231"/>
      <c r="AL710" s="1231"/>
      <c r="AM710" s="1231"/>
      <c r="AN710" s="1231"/>
      <c r="AO710" s="1231"/>
      <c r="AP710" s="1231"/>
      <c r="AQ710" s="1231"/>
      <c r="AR710" s="1231"/>
      <c r="AS710" s="1231"/>
      <c r="AT710" s="123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31"/>
      <c r="B711" s="1231"/>
      <c r="C711" s="1231"/>
      <c r="D711" s="1231"/>
      <c r="E711" s="1231"/>
      <c r="F711" s="1231"/>
      <c r="G711" s="1231"/>
      <c r="H711" s="1231"/>
      <c r="I711" s="1231"/>
      <c r="J711" s="1231"/>
      <c r="K711" s="1231"/>
      <c r="L711" s="1231"/>
      <c r="M711" s="1231"/>
      <c r="N711" s="1231"/>
      <c r="O711" s="1231"/>
      <c r="P711" s="1231"/>
      <c r="Q711" s="1231"/>
      <c r="R711" s="1231"/>
      <c r="S711" s="1231"/>
      <c r="T711" s="1231"/>
      <c r="U711" s="1231"/>
      <c r="V711" s="1231"/>
      <c r="W711" s="1231"/>
      <c r="X711" s="1231"/>
      <c r="Y711" s="1231"/>
      <c r="Z711" s="1231"/>
      <c r="AA711" s="1231"/>
      <c r="AB711" s="1231"/>
      <c r="AC711" s="1231"/>
      <c r="AD711" s="1231"/>
      <c r="AE711" s="1231"/>
      <c r="AF711" s="1231"/>
      <c r="AG711" s="1231"/>
      <c r="AH711" s="1231"/>
      <c r="AI711" s="1231"/>
      <c r="AJ711" s="1231"/>
      <c r="AK711" s="1231"/>
      <c r="AL711" s="1231"/>
      <c r="AM711" s="1231"/>
      <c r="AN711" s="1231"/>
      <c r="AO711" s="1231"/>
      <c r="AP711" s="1231"/>
      <c r="AQ711" s="1231"/>
      <c r="AR711" s="1231"/>
      <c r="AS711" s="1231"/>
      <c r="AT711" s="123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867</v>
      </c>
      <c r="B712" s="2"/>
      <c r="C712" s="2" t="s">
        <v>1466</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411"/>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45" t="s">
        <v>1467</v>
      </c>
      <c r="C714" s="1446"/>
      <c r="D714" s="1446"/>
      <c r="E714" s="1446"/>
      <c r="F714" s="1447"/>
      <c r="G714" s="1445" t="s">
        <v>1468</v>
      </c>
      <c r="H714" s="1446"/>
      <c r="I714" s="1446"/>
      <c r="J714" s="1447"/>
      <c r="K714" s="1461" t="s">
        <v>1469</v>
      </c>
      <c r="L714" s="1462"/>
      <c r="M714" s="1462"/>
      <c r="N714" s="1463"/>
      <c r="O714" s="1445" t="s">
        <v>1470</v>
      </c>
      <c r="P714" s="1446"/>
      <c r="Q714" s="1446"/>
      <c r="R714" s="1446"/>
      <c r="S714" s="1447"/>
      <c r="T714" s="1445" t="s">
        <v>1471</v>
      </c>
      <c r="U714" s="1446"/>
      <c r="V714" s="1446"/>
      <c r="W714" s="1447"/>
      <c r="X714" s="1445" t="s">
        <v>1472</v>
      </c>
      <c r="Y714" s="1446"/>
      <c r="Z714" s="1446"/>
      <c r="AA714" s="1446"/>
      <c r="AB714" s="1447"/>
      <c r="AC714" s="1445" t="s">
        <v>1473</v>
      </c>
      <c r="AD714" s="1446"/>
      <c r="AE714" s="1446"/>
      <c r="AF714" s="1446"/>
      <c r="AG714" s="1447"/>
      <c r="AH714" s="1445" t="s">
        <v>1474</v>
      </c>
      <c r="AI714" s="1446"/>
      <c r="AJ714" s="1447"/>
      <c r="AK714" s="1445" t="s">
        <v>1475</v>
      </c>
      <c r="AL714" s="1446"/>
      <c r="AM714" s="1446"/>
      <c r="AN714" s="1446"/>
      <c r="AO714" s="144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448"/>
      <c r="C715" s="1449"/>
      <c r="D715" s="1449"/>
      <c r="E715" s="1449"/>
      <c r="F715" s="1450"/>
      <c r="G715" s="1448"/>
      <c r="H715" s="1449"/>
      <c r="I715" s="1449"/>
      <c r="J715" s="1450"/>
      <c r="K715" s="1464"/>
      <c r="L715" s="1465"/>
      <c r="M715" s="1465"/>
      <c r="N715" s="1466"/>
      <c r="O715" s="1448"/>
      <c r="P715" s="1449"/>
      <c r="Q715" s="1449"/>
      <c r="R715" s="1449"/>
      <c r="S715" s="1450"/>
      <c r="T715" s="1448"/>
      <c r="U715" s="1449"/>
      <c r="V715" s="1449"/>
      <c r="W715" s="1450"/>
      <c r="X715" s="1448"/>
      <c r="Y715" s="1449"/>
      <c r="Z715" s="1449"/>
      <c r="AA715" s="1449"/>
      <c r="AB715" s="1450"/>
      <c r="AC715" s="1448"/>
      <c r="AD715" s="1449"/>
      <c r="AE715" s="1449"/>
      <c r="AF715" s="1449"/>
      <c r="AG715" s="1450"/>
      <c r="AH715" s="1448"/>
      <c r="AI715" s="1449"/>
      <c r="AJ715" s="1450"/>
      <c r="AK715" s="1448"/>
      <c r="AL715" s="1449"/>
      <c r="AM715" s="1449"/>
      <c r="AN715" s="1449"/>
      <c r="AO715" s="145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3"/>
      <c r="B716" s="1448"/>
      <c r="C716" s="1449"/>
      <c r="D716" s="1449"/>
      <c r="E716" s="1449"/>
      <c r="F716" s="1450"/>
      <c r="G716" s="1448"/>
      <c r="H716" s="1449"/>
      <c r="I716" s="1449"/>
      <c r="J716" s="1450"/>
      <c r="K716" s="1464"/>
      <c r="L716" s="1465"/>
      <c r="M716" s="1465"/>
      <c r="N716" s="1466"/>
      <c r="O716" s="1448"/>
      <c r="P716" s="1449"/>
      <c r="Q716" s="1449"/>
      <c r="R716" s="1449"/>
      <c r="S716" s="1450"/>
      <c r="T716" s="1448"/>
      <c r="U716" s="1449"/>
      <c r="V716" s="1449"/>
      <c r="W716" s="1450"/>
      <c r="X716" s="1448"/>
      <c r="Y716" s="1449"/>
      <c r="Z716" s="1449"/>
      <c r="AA716" s="1449"/>
      <c r="AB716" s="1450"/>
      <c r="AC716" s="1448"/>
      <c r="AD716" s="1449"/>
      <c r="AE716" s="1449"/>
      <c r="AF716" s="1449"/>
      <c r="AG716" s="1450"/>
      <c r="AH716" s="1448"/>
      <c r="AI716" s="1449"/>
      <c r="AJ716" s="1450"/>
      <c r="AK716" s="1448"/>
      <c r="AL716" s="1449"/>
      <c r="AM716" s="1449"/>
      <c r="AN716" s="1449"/>
      <c r="AO716" s="1450"/>
      <c r="AP716" s="3"/>
      <c r="AQ716" s="3"/>
      <c r="AR716" s="3"/>
      <c r="AS716" s="3"/>
      <c r="BA716" s="3"/>
      <c r="BB716" s="3"/>
      <c r="BC716" s="3"/>
      <c r="BD716" s="3"/>
      <c r="BE716" s="135"/>
      <c r="BF716" s="136" t="s">
        <v>1476</v>
      </c>
      <c r="BG716" s="135"/>
      <c r="BH716" s="135"/>
      <c r="BI716" s="3"/>
      <c r="BJ716" s="3"/>
      <c r="BK716" s="3"/>
      <c r="BL716" s="3"/>
      <c r="BM716" s="3"/>
      <c r="BN716" s="3"/>
      <c r="BS716" s="136" t="s">
        <v>1477</v>
      </c>
      <c r="BT716" s="135"/>
      <c r="BU716" s="135"/>
      <c r="CC716" s="3"/>
      <c r="CD716" s="3"/>
      <c r="CE716" s="3"/>
      <c r="CF716" s="3"/>
      <c r="CG716" s="3"/>
      <c r="CH716" s="3"/>
      <c r="CI716" s="3"/>
      <c r="CJ716" s="3"/>
      <c r="CK716" s="3"/>
      <c r="CL716" s="3"/>
      <c r="CM716" s="3"/>
      <c r="CN716" s="3"/>
      <c r="CO716" s="3"/>
      <c r="CP716" s="3" t="s">
        <v>1478</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1479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1480</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3"/>
      <c r="B717" s="1451"/>
      <c r="C717" s="1452"/>
      <c r="D717" s="1452"/>
      <c r="E717" s="1452"/>
      <c r="F717" s="1453"/>
      <c r="G717" s="1451"/>
      <c r="H717" s="1452"/>
      <c r="I717" s="1452"/>
      <c r="J717" s="1453"/>
      <c r="K717" s="1464"/>
      <c r="L717" s="1465"/>
      <c r="M717" s="1465"/>
      <c r="N717" s="1466"/>
      <c r="O717" s="1451"/>
      <c r="P717" s="1452"/>
      <c r="Q717" s="1452"/>
      <c r="R717" s="1452"/>
      <c r="S717" s="1453"/>
      <c r="T717" s="1451"/>
      <c r="U717" s="1452"/>
      <c r="V717" s="1452"/>
      <c r="W717" s="1453"/>
      <c r="X717" s="1451"/>
      <c r="Y717" s="1452"/>
      <c r="Z717" s="1452"/>
      <c r="AA717" s="1452"/>
      <c r="AB717" s="1453"/>
      <c r="AC717" s="1451"/>
      <c r="AD717" s="1452"/>
      <c r="AE717" s="1452"/>
      <c r="AF717" s="1452"/>
      <c r="AG717" s="1453"/>
      <c r="AH717" s="1451"/>
      <c r="AI717" s="1452"/>
      <c r="AJ717" s="1453"/>
      <c r="AK717" s="1451"/>
      <c r="AL717" s="1452"/>
      <c r="AM717" s="1452"/>
      <c r="AN717" s="1452"/>
      <c r="AO717" s="1453"/>
      <c r="AP717" s="3"/>
      <c r="AQ717" s="3"/>
      <c r="AR717" s="3"/>
      <c r="AS717" s="3"/>
      <c r="AZ717" s="73" t="s">
        <v>1481</v>
      </c>
      <c r="BA717" s="3"/>
      <c r="BB717" s="3"/>
      <c r="BC717" s="3"/>
      <c r="BD717" s="3"/>
      <c r="BE717" s="135"/>
      <c r="BF717" s="200" t="s">
        <v>1482</v>
      </c>
      <c r="BG717" s="204" t="s">
        <v>1483</v>
      </c>
      <c r="BH717" s="203" t="s">
        <v>1484</v>
      </c>
      <c r="BI717" s="3"/>
      <c r="BJ717" s="3"/>
      <c r="BK717" s="3"/>
      <c r="BL717" s="3"/>
      <c r="BM717" s="3"/>
      <c r="BN717" s="3"/>
      <c r="BS717" s="200" t="s">
        <v>1482</v>
      </c>
      <c r="BT717" s="204" t="s">
        <v>1483</v>
      </c>
      <c r="BU717" s="203" t="s">
        <v>1484</v>
      </c>
      <c r="CC717" s="3"/>
      <c r="CD717" s="3"/>
      <c r="CE717" s="3"/>
      <c r="CF717" s="3"/>
      <c r="CG717" s="87" t="s">
        <v>1485</v>
      </c>
      <c r="CH717" s="88"/>
      <c r="CI717" s="1296"/>
      <c r="CJ717" s="1298"/>
      <c r="CK717" s="87" t="s">
        <v>1486</v>
      </c>
      <c r="CL717" s="88"/>
      <c r="CM717" s="1296"/>
      <c r="CN717" s="1298"/>
      <c r="CO717" s="3"/>
      <c r="CP717" s="1729" t="s">
        <v>833</v>
      </c>
      <c r="CQ717" s="1730"/>
      <c r="CR717" s="1730"/>
      <c r="CS717" s="1730"/>
      <c r="CT717" s="1731"/>
      <c r="CU717" s="1440" t="s">
        <v>828</v>
      </c>
      <c r="CV717" s="1440"/>
      <c r="CW717" s="1440"/>
      <c r="CX717" s="1440"/>
      <c r="CY717" s="1440"/>
      <c r="CZ717" s="1440" t="s">
        <v>829</v>
      </c>
      <c r="DA717" s="1440"/>
      <c r="DB717" s="1440"/>
      <c r="DC717" s="1440"/>
      <c r="DD717" s="1440"/>
      <c r="DE717" s="1440" t="s">
        <v>830</v>
      </c>
      <c r="DF717" s="1440"/>
      <c r="DG717" s="1440"/>
      <c r="DH717" s="1440"/>
      <c r="DI717" s="1440"/>
      <c r="DJ717" s="1440" t="s">
        <v>834</v>
      </c>
      <c r="DK717" s="1440"/>
      <c r="DL717" s="1440"/>
      <c r="DM717" s="1440"/>
      <c r="DN717" s="1440"/>
      <c r="DO717" s="1440" t="s">
        <v>832</v>
      </c>
      <c r="DP717" s="1440"/>
      <c r="DQ717" s="1440"/>
      <c r="DR717" s="1440"/>
      <c r="DS717" s="1440"/>
      <c r="DT717" s="65"/>
      <c r="DU717" s="1440" t="s">
        <v>833</v>
      </c>
      <c r="DV717" s="1440"/>
      <c r="DW717" s="1440"/>
      <c r="DX717" s="1440"/>
      <c r="DY717" s="1440"/>
      <c r="DZ717" s="1440" t="s">
        <v>828</v>
      </c>
      <c r="EA717" s="1440"/>
      <c r="EB717" s="1440"/>
      <c r="EC717" s="1440"/>
      <c r="ED717" s="1440"/>
      <c r="EE717" s="1440" t="s">
        <v>829</v>
      </c>
      <c r="EF717" s="1440"/>
      <c r="EG717" s="1440"/>
      <c r="EH717" s="1440"/>
      <c r="EI717" s="1440"/>
      <c r="EJ717" s="1440" t="s">
        <v>830</v>
      </c>
      <c r="EK717" s="1440"/>
      <c r="EL717" s="1440"/>
      <c r="EM717" s="1440"/>
      <c r="EN717" s="1440"/>
      <c r="EO717" s="1440" t="s">
        <v>834</v>
      </c>
      <c r="EP717" s="1440"/>
      <c r="EQ717" s="1440"/>
      <c r="ER717" s="1440"/>
      <c r="ES717" s="1440"/>
      <c r="ET717" s="1440" t="s">
        <v>832</v>
      </c>
      <c r="EU717" s="1440"/>
      <c r="EV717" s="1440"/>
      <c r="EW717" s="1440"/>
      <c r="EX717" s="1440"/>
      <c r="EY717" s="3"/>
      <c r="EZ717" s="1440" t="s">
        <v>833</v>
      </c>
      <c r="FA717" s="1440"/>
      <c r="FB717" s="1440"/>
      <c r="FC717" s="1440"/>
      <c r="FD717" s="1440"/>
      <c r="FE717" s="1440" t="s">
        <v>828</v>
      </c>
      <c r="FF717" s="1440"/>
      <c r="FG717" s="1440"/>
      <c r="FH717" s="1440"/>
      <c r="FI717" s="1440"/>
      <c r="FJ717" s="1440" t="s">
        <v>829</v>
      </c>
      <c r="FK717" s="1440"/>
      <c r="FL717" s="1440"/>
      <c r="FM717" s="1440"/>
      <c r="FN717" s="1440"/>
      <c r="FO717" s="1440" t="s">
        <v>830</v>
      </c>
      <c r="FP717" s="1440"/>
      <c r="FQ717" s="1440"/>
      <c r="FR717" s="1440"/>
      <c r="FS717" s="1440"/>
      <c r="FT717" s="1440" t="s">
        <v>834</v>
      </c>
      <c r="FU717" s="1440"/>
      <c r="FV717" s="1440"/>
      <c r="FW717" s="1440"/>
      <c r="FX717" s="1440"/>
      <c r="FY717" s="1440" t="s">
        <v>832</v>
      </c>
      <c r="FZ717" s="1440"/>
      <c r="GA717" s="1440"/>
      <c r="GB717" s="1440"/>
      <c r="GC717" s="1440"/>
    </row>
    <row r="718" spans="1:185" ht="13" customHeight="1">
      <c r="A718" s="3"/>
      <c r="B718" s="1310" t="s">
        <v>828</v>
      </c>
      <c r="C718" s="1311"/>
      <c r="D718" s="1311"/>
      <c r="E718" s="1311"/>
      <c r="F718" s="1312"/>
      <c r="G718" s="1319">
        <v>2</v>
      </c>
      <c r="H718" s="1320"/>
      <c r="I718" s="1320"/>
      <c r="J718" s="1321"/>
      <c r="K718" s="1546">
        <v>673</v>
      </c>
      <c r="L718" s="1547"/>
      <c r="M718" s="1547"/>
      <c r="N718" s="1548"/>
      <c r="O718" s="1420">
        <v>654</v>
      </c>
      <c r="P718" s="1421"/>
      <c r="Q718" s="1421"/>
      <c r="R718" s="1421"/>
      <c r="S718" s="1422"/>
      <c r="T718" s="1420">
        <v>71</v>
      </c>
      <c r="U718" s="1421"/>
      <c r="V718" s="1421"/>
      <c r="W718" s="1422"/>
      <c r="X718" s="1313">
        <f t="shared" ref="X718:X741" si="10">O718+T718</f>
        <v>725</v>
      </c>
      <c r="Y718" s="1314"/>
      <c r="Z718" s="1314"/>
      <c r="AA718" s="1314"/>
      <c r="AB718" s="1315"/>
      <c r="AC718" s="1555">
        <v>0.2</v>
      </c>
      <c r="AD718" s="1556"/>
      <c r="AE718" s="1556"/>
      <c r="AF718" s="1556"/>
      <c r="AG718" s="1557"/>
      <c r="AH718" s="1316">
        <f>IF($AC718&gt;0,($X718/$AZ718), "")</f>
        <v>0.19994484280198566</v>
      </c>
      <c r="AI718" s="1317"/>
      <c r="AJ718" s="1318"/>
      <c r="AK718" s="1310" t="s">
        <v>942</v>
      </c>
      <c r="AL718" s="1311"/>
      <c r="AM718" s="1311"/>
      <c r="AN718" s="1311"/>
      <c r="AO718" s="1312"/>
      <c r="AP718" s="3"/>
      <c r="AQ718" s="3"/>
      <c r="AR718" s="3"/>
      <c r="AS718" s="3"/>
      <c r="AZ718" s="84">
        <f t="shared" ref="AZ718:AZ752" si="11">IF($G718=0,"N/A",VLOOKUP($T$189,TC_Rent,(MATCH($B718,bedrooms,FALSE)),FALSE))</f>
        <v>3626</v>
      </c>
      <c r="BA718" s="3"/>
      <c r="BB718" s="3"/>
      <c r="BC718" s="3"/>
      <c r="BD718" s="3"/>
      <c r="BE718" s="135"/>
      <c r="BF718" s="201">
        <f t="shared" ref="BF718:BF752" si="12">G718</f>
        <v>2</v>
      </c>
      <c r="BG718" s="205">
        <f t="shared" ref="BG718:BG752" si="13">IF($BF$753=0,0,BF718/$BF$753)</f>
        <v>2.564102564102564E-2</v>
      </c>
      <c r="BH718" s="206">
        <f t="shared" ref="BH718:BH752" si="14">IF(BG718=0,"",BG718*AC718)</f>
        <v>5.1282051282051282E-3</v>
      </c>
      <c r="BI718" s="3"/>
      <c r="BJ718" s="3"/>
      <c r="BK718" s="3"/>
      <c r="BL718" s="3"/>
      <c r="BM718" s="3"/>
      <c r="BN718" s="3"/>
      <c r="BS718" s="201">
        <f t="shared" ref="BS718:BS752" si="15">G718</f>
        <v>2</v>
      </c>
      <c r="BT718" s="205">
        <f t="shared" ref="BT718:BT752" si="16">IF($BS$753=0,0,BS718/$BS$753)</f>
        <v>2.564102564102564E-2</v>
      </c>
      <c r="BU718" s="206">
        <f t="shared" ref="BU718:BU752" si="17">IF(BT718=0,"",BT718*AH718)</f>
        <v>5.1267908410765547E-3</v>
      </c>
      <c r="CC718" s="3"/>
      <c r="CD718" s="3"/>
      <c r="CE718" s="3"/>
      <c r="CF718" s="3"/>
      <c r="CG718" s="1296">
        <f>IF(AND(AC718&lt;=0.5,AC718&gt;=0.36),1,0)</f>
        <v>0</v>
      </c>
      <c r="CH718" s="1298"/>
      <c r="CI718" s="1296">
        <f>IF(CG718=1,G718,0)</f>
        <v>0</v>
      </c>
      <c r="CJ718" s="1298"/>
      <c r="CK718" s="1296">
        <f t="shared" ref="CK718:CK752" si="18">IF(AND(AC718&lt;=0.35,AC718&gt;0),1,0)</f>
        <v>1</v>
      </c>
      <c r="CL718" s="1298"/>
      <c r="CM718" s="1296">
        <f t="shared" ref="CM718:CM752" si="19">IF(CK718=1,G718,0)</f>
        <v>2</v>
      </c>
      <c r="CN718" s="1298"/>
      <c r="CO718" s="3"/>
      <c r="CP718" s="1293">
        <f t="shared" ref="CP718:CP752" si="20">IF(B718="SRO/Studio",G718,0)</f>
        <v>0</v>
      </c>
      <c r="CQ718" s="1294"/>
      <c r="CR718" s="1294"/>
      <c r="CS718" s="1294"/>
      <c r="CT718" s="1295"/>
      <c r="CU718" s="1309">
        <f t="shared" ref="CU718:CU752" si="21">IF(B718="1 Bedroom",G718,0)</f>
        <v>2</v>
      </c>
      <c r="CV718" s="1309"/>
      <c r="CW718" s="1309"/>
      <c r="CX718" s="1309"/>
      <c r="CY718" s="1309"/>
      <c r="CZ718" s="1309">
        <f t="shared" ref="CZ718:CZ752" si="22">IF(B718="2 Bedrooms",G718,0)</f>
        <v>0</v>
      </c>
      <c r="DA718" s="1309"/>
      <c r="DB718" s="1309"/>
      <c r="DC718" s="1309"/>
      <c r="DD718" s="1309"/>
      <c r="DE718" s="1309">
        <f t="shared" ref="DE718:DE752" si="23">IF(B718="3 Bedrooms",G718,0)</f>
        <v>0</v>
      </c>
      <c r="DF718" s="1309"/>
      <c r="DG718" s="1309"/>
      <c r="DH718" s="1309"/>
      <c r="DI718" s="1309"/>
      <c r="DJ718" s="1309">
        <f t="shared" ref="DJ718:DJ752" si="24">IF(B718="4 Bedrooms",G718,0)</f>
        <v>0</v>
      </c>
      <c r="DK718" s="1309"/>
      <c r="DL718" s="1309"/>
      <c r="DM718" s="1309"/>
      <c r="DN718" s="1309"/>
      <c r="DO718" s="1309">
        <f t="shared" ref="DO718:DO752" si="25">IF(B718="5 Bedrooms",G718,0)</f>
        <v>0</v>
      </c>
      <c r="DP718" s="1309"/>
      <c r="DQ718" s="1309"/>
      <c r="DR718" s="1309"/>
      <c r="DS718" s="1309"/>
      <c r="DT718" s="256"/>
      <c r="DU718" s="1323">
        <f t="shared" ref="DU718:DU752" si="26">IF(AND(B718="SRO/Studio",AC718&lt;=0.3),G718,0)</f>
        <v>0</v>
      </c>
      <c r="DV718" s="1323"/>
      <c r="DW718" s="1323"/>
      <c r="DX718" s="1323"/>
      <c r="DY718" s="1323"/>
      <c r="DZ718" s="1323">
        <f t="shared" ref="DZ718:DZ752" si="27">IF(AND(B718="1 Bedroom",AC718&lt;=0.3),G718,0)</f>
        <v>2</v>
      </c>
      <c r="EA718" s="1323"/>
      <c r="EB718" s="1323"/>
      <c r="EC718" s="1323"/>
      <c r="ED718" s="1323"/>
      <c r="EE718" s="1323">
        <f t="shared" ref="EE718:EE752" si="28">IF(AND(B718="2 Bedrooms",AC718&lt;=0.3),G718,0)</f>
        <v>0</v>
      </c>
      <c r="EF718" s="1323"/>
      <c r="EG718" s="1323"/>
      <c r="EH718" s="1323"/>
      <c r="EI718" s="1323"/>
      <c r="EJ718" s="1323">
        <f t="shared" ref="EJ718:EJ752" si="29">IF(AND(B718="3 Bedrooms",AC718&lt;=0.3),G718,0)</f>
        <v>0</v>
      </c>
      <c r="EK718" s="1323"/>
      <c r="EL718" s="1323"/>
      <c r="EM718" s="1323"/>
      <c r="EN718" s="1323"/>
      <c r="EO718" s="1323">
        <f t="shared" ref="EO718:EO752" si="30">IF(AND(B718="4 Bedrooms",AC718&lt;=0.3),G718,0)</f>
        <v>0</v>
      </c>
      <c r="EP718" s="1323"/>
      <c r="EQ718" s="1323"/>
      <c r="ER718" s="1323"/>
      <c r="ES718" s="1323"/>
      <c r="ET718" s="1323">
        <f t="shared" ref="ET718:ET752" si="31">IF(AND(B718="5 Bedrooms",AC718&lt;=0.3),G718,0)</f>
        <v>0</v>
      </c>
      <c r="EU718" s="1323"/>
      <c r="EV718" s="1323"/>
      <c r="EW718" s="1323"/>
      <c r="EX718" s="1323"/>
      <c r="EY718" s="3"/>
      <c r="EZ718" s="1296" t="str">
        <f t="shared" ref="EZ718:EZ752" si="32">IF(CP718&gt;0,O718,"")</f>
        <v/>
      </c>
      <c r="FA718" s="1297"/>
      <c r="FB718" s="1297"/>
      <c r="FC718" s="1297"/>
      <c r="FD718" s="1298"/>
      <c r="FE718" s="1296">
        <f t="shared" ref="FE718:FE752" si="33">IF(CU718&gt;0,O718,"")</f>
        <v>654</v>
      </c>
      <c r="FF718" s="1297"/>
      <c r="FG718" s="1297"/>
      <c r="FH718" s="1297"/>
      <c r="FI718" s="1298"/>
      <c r="FJ718" s="1296" t="str">
        <f t="shared" ref="FJ718:FJ752" si="34">IF(CZ718&gt;0,O718,"")</f>
        <v/>
      </c>
      <c r="FK718" s="1297"/>
      <c r="FL718" s="1297"/>
      <c r="FM718" s="1297"/>
      <c r="FN718" s="1298"/>
      <c r="FO718" s="1296" t="str">
        <f t="shared" ref="FO718:FO752" si="35">IF(DE718&gt;0,O718,"")</f>
        <v/>
      </c>
      <c r="FP718" s="1297"/>
      <c r="FQ718" s="1297"/>
      <c r="FR718" s="1297"/>
      <c r="FS718" s="1298"/>
      <c r="FT718" s="1296" t="str">
        <f t="shared" ref="FT718:FT752" si="36">IF(DJ718&gt;0,O718,"")</f>
        <v/>
      </c>
      <c r="FU718" s="1297"/>
      <c r="FV718" s="1297"/>
      <c r="FW718" s="1297"/>
      <c r="FX718" s="1298"/>
      <c r="FY718" s="1296" t="str">
        <f t="shared" ref="FY718:FY752" si="37">IF(DO718&gt;0,O718,"")</f>
        <v/>
      </c>
      <c r="FZ718" s="1297"/>
      <c r="GA718" s="1297"/>
      <c r="GB718" s="1297"/>
      <c r="GC718" s="1298"/>
    </row>
    <row r="719" spans="1:185" ht="13" customHeight="1">
      <c r="A719" s="3"/>
      <c r="B719" s="1310" t="s">
        <v>829</v>
      </c>
      <c r="C719" s="1311"/>
      <c r="D719" s="1311"/>
      <c r="E719" s="1311"/>
      <c r="F719" s="1312"/>
      <c r="G719" s="1319">
        <v>2</v>
      </c>
      <c r="H719" s="1320"/>
      <c r="I719" s="1320"/>
      <c r="J719" s="1321"/>
      <c r="K719" s="1546">
        <v>958</v>
      </c>
      <c r="L719" s="1547"/>
      <c r="M719" s="1547"/>
      <c r="N719" s="1548"/>
      <c r="O719" s="1420">
        <v>718</v>
      </c>
      <c r="P719" s="1421"/>
      <c r="Q719" s="1421"/>
      <c r="R719" s="1421"/>
      <c r="S719" s="1422"/>
      <c r="T719" s="1420">
        <v>98</v>
      </c>
      <c r="U719" s="1421"/>
      <c r="V719" s="1421"/>
      <c r="W719" s="1422"/>
      <c r="X719" s="1313">
        <f t="shared" si="10"/>
        <v>816</v>
      </c>
      <c r="Y719" s="1314"/>
      <c r="Z719" s="1314"/>
      <c r="AA719" s="1314"/>
      <c r="AB719" s="1315"/>
      <c r="AC719" s="1555">
        <v>0.2</v>
      </c>
      <c r="AD719" s="1556"/>
      <c r="AE719" s="1556"/>
      <c r="AF719" s="1556"/>
      <c r="AG719" s="1557"/>
      <c r="AH719" s="1316">
        <f t="shared" ref="AH719:AH752" si="38">IF($AC719&gt;0,($X719/$AZ719), "")</f>
        <v>0.1875</v>
      </c>
      <c r="AI719" s="1317"/>
      <c r="AJ719" s="1318"/>
      <c r="AK719" s="1310" t="s">
        <v>942</v>
      </c>
      <c r="AL719" s="1311"/>
      <c r="AM719" s="1311"/>
      <c r="AN719" s="1311"/>
      <c r="AO719" s="1312"/>
      <c r="AP719" s="3"/>
      <c r="AQ719" s="3"/>
      <c r="AR719" s="3"/>
      <c r="AS719" s="3"/>
      <c r="AZ719" s="84">
        <f t="shared" si="11"/>
        <v>4352</v>
      </c>
      <c r="BA719" s="3"/>
      <c r="BB719" s="3"/>
      <c r="BC719" s="3"/>
      <c r="BD719" s="3"/>
      <c r="BE719" s="135"/>
      <c r="BF719" s="202">
        <f t="shared" si="12"/>
        <v>2</v>
      </c>
      <c r="BG719" s="205">
        <f t="shared" si="13"/>
        <v>2.564102564102564E-2</v>
      </c>
      <c r="BH719" s="206">
        <f t="shared" si="14"/>
        <v>5.1282051282051282E-3</v>
      </c>
      <c r="BI719" s="3"/>
      <c r="BJ719" s="3"/>
      <c r="BK719" s="3"/>
      <c r="BL719" s="3"/>
      <c r="BM719" s="3"/>
      <c r="BN719" s="3"/>
      <c r="BS719" s="202">
        <f t="shared" si="15"/>
        <v>2</v>
      </c>
      <c r="BT719" s="205">
        <f t="shared" si="16"/>
        <v>2.564102564102564E-2</v>
      </c>
      <c r="BU719" s="206">
        <f t="shared" si="17"/>
        <v>4.807692307692308E-3</v>
      </c>
      <c r="CC719" s="3"/>
      <c r="CD719" s="3"/>
      <c r="CE719" s="3"/>
      <c r="CF719" s="3"/>
      <c r="CG719" s="1296">
        <f t="shared" ref="CG719:CG752" si="39">IF(AND(AC719&lt;=0.5,AC719&gt;=0.36),1,0)</f>
        <v>0</v>
      </c>
      <c r="CH719" s="1298"/>
      <c r="CI719" s="1296">
        <f t="shared" ref="CI719:CI752" si="40">IF(CG719=1,G719,0)</f>
        <v>0</v>
      </c>
      <c r="CJ719" s="1298"/>
      <c r="CK719" s="1296">
        <f t="shared" si="18"/>
        <v>1</v>
      </c>
      <c r="CL719" s="1298"/>
      <c r="CM719" s="1296">
        <f t="shared" si="19"/>
        <v>2</v>
      </c>
      <c r="CN719" s="1298"/>
      <c r="CO719" s="3"/>
      <c r="CP719" s="1293">
        <f t="shared" si="20"/>
        <v>0</v>
      </c>
      <c r="CQ719" s="1294"/>
      <c r="CR719" s="1294"/>
      <c r="CS719" s="1294"/>
      <c r="CT719" s="1295"/>
      <c r="CU719" s="1309">
        <f t="shared" si="21"/>
        <v>0</v>
      </c>
      <c r="CV719" s="1309"/>
      <c r="CW719" s="1309"/>
      <c r="CX719" s="1309"/>
      <c r="CY719" s="1309"/>
      <c r="CZ719" s="1309">
        <f t="shared" si="22"/>
        <v>2</v>
      </c>
      <c r="DA719" s="1309"/>
      <c r="DB719" s="1309"/>
      <c r="DC719" s="1309"/>
      <c r="DD719" s="1309"/>
      <c r="DE719" s="1309">
        <f t="shared" si="23"/>
        <v>0</v>
      </c>
      <c r="DF719" s="1309"/>
      <c r="DG719" s="1309"/>
      <c r="DH719" s="1309"/>
      <c r="DI719" s="1309"/>
      <c r="DJ719" s="1309">
        <f t="shared" si="24"/>
        <v>0</v>
      </c>
      <c r="DK719" s="1309"/>
      <c r="DL719" s="1309"/>
      <c r="DM719" s="1309"/>
      <c r="DN719" s="1309"/>
      <c r="DO719" s="1309">
        <f t="shared" si="25"/>
        <v>0</v>
      </c>
      <c r="DP719" s="1309"/>
      <c r="DQ719" s="1309"/>
      <c r="DR719" s="1309"/>
      <c r="DS719" s="1309"/>
      <c r="DT719" s="256"/>
      <c r="DU719" s="1323">
        <f t="shared" si="26"/>
        <v>0</v>
      </c>
      <c r="DV719" s="1323"/>
      <c r="DW719" s="1323"/>
      <c r="DX719" s="1323"/>
      <c r="DY719" s="1323"/>
      <c r="DZ719" s="1323">
        <f t="shared" si="27"/>
        <v>0</v>
      </c>
      <c r="EA719" s="1323"/>
      <c r="EB719" s="1323"/>
      <c r="EC719" s="1323"/>
      <c r="ED719" s="1323"/>
      <c r="EE719" s="1323">
        <f t="shared" si="28"/>
        <v>2</v>
      </c>
      <c r="EF719" s="1323"/>
      <c r="EG719" s="1323"/>
      <c r="EH719" s="1323"/>
      <c r="EI719" s="1323"/>
      <c r="EJ719" s="1323">
        <f t="shared" si="29"/>
        <v>0</v>
      </c>
      <c r="EK719" s="1323"/>
      <c r="EL719" s="1323"/>
      <c r="EM719" s="1323"/>
      <c r="EN719" s="1323"/>
      <c r="EO719" s="1323">
        <f t="shared" si="30"/>
        <v>0</v>
      </c>
      <c r="EP719" s="1323"/>
      <c r="EQ719" s="1323"/>
      <c r="ER719" s="1323"/>
      <c r="ES719" s="1323"/>
      <c r="ET719" s="1323">
        <f t="shared" si="31"/>
        <v>0</v>
      </c>
      <c r="EU719" s="1323"/>
      <c r="EV719" s="1323"/>
      <c r="EW719" s="1323"/>
      <c r="EX719" s="1323"/>
      <c r="EY719" s="3"/>
      <c r="EZ719" s="1296" t="str">
        <f t="shared" si="32"/>
        <v/>
      </c>
      <c r="FA719" s="1297"/>
      <c r="FB719" s="1297"/>
      <c r="FC719" s="1297"/>
      <c r="FD719" s="1298"/>
      <c r="FE719" s="1296" t="str">
        <f t="shared" si="33"/>
        <v/>
      </c>
      <c r="FF719" s="1297"/>
      <c r="FG719" s="1297"/>
      <c r="FH719" s="1297"/>
      <c r="FI719" s="1298"/>
      <c r="FJ719" s="1296">
        <f t="shared" si="34"/>
        <v>718</v>
      </c>
      <c r="FK719" s="1297"/>
      <c r="FL719" s="1297"/>
      <c r="FM719" s="1297"/>
      <c r="FN719" s="1298"/>
      <c r="FO719" s="1296" t="str">
        <f t="shared" si="35"/>
        <v/>
      </c>
      <c r="FP719" s="1297"/>
      <c r="FQ719" s="1297"/>
      <c r="FR719" s="1297"/>
      <c r="FS719" s="1298"/>
      <c r="FT719" s="1296" t="str">
        <f t="shared" si="36"/>
        <v/>
      </c>
      <c r="FU719" s="1297"/>
      <c r="FV719" s="1297"/>
      <c r="FW719" s="1297"/>
      <c r="FX719" s="1298"/>
      <c r="FY719" s="1296" t="str">
        <f t="shared" si="37"/>
        <v/>
      </c>
      <c r="FZ719" s="1297"/>
      <c r="GA719" s="1297"/>
      <c r="GB719" s="1297"/>
      <c r="GC719" s="1298"/>
    </row>
    <row r="720" spans="1:185" ht="13" customHeight="1">
      <c r="A720" s="3"/>
      <c r="B720" s="1310" t="s">
        <v>830</v>
      </c>
      <c r="C720" s="1311"/>
      <c r="D720" s="1311"/>
      <c r="E720" s="1311"/>
      <c r="F720" s="1312"/>
      <c r="G720" s="1319">
        <v>2</v>
      </c>
      <c r="H720" s="1320"/>
      <c r="I720" s="1320"/>
      <c r="J720" s="1321"/>
      <c r="K720" s="1546">
        <v>1047</v>
      </c>
      <c r="L720" s="1547"/>
      <c r="M720" s="1547"/>
      <c r="N720" s="1548"/>
      <c r="O720" s="1420">
        <v>855</v>
      </c>
      <c r="P720" s="1421"/>
      <c r="Q720" s="1421"/>
      <c r="R720" s="1421"/>
      <c r="S720" s="1422"/>
      <c r="T720" s="1420">
        <v>123</v>
      </c>
      <c r="U720" s="1421"/>
      <c r="V720" s="1421"/>
      <c r="W720" s="1422"/>
      <c r="X720" s="1313">
        <f t="shared" si="10"/>
        <v>978</v>
      </c>
      <c r="Y720" s="1314"/>
      <c r="Z720" s="1314"/>
      <c r="AA720" s="1314"/>
      <c r="AB720" s="1315"/>
      <c r="AC720" s="1555">
        <v>0.2</v>
      </c>
      <c r="AD720" s="1556"/>
      <c r="AE720" s="1556"/>
      <c r="AF720" s="1556"/>
      <c r="AG720" s="1557"/>
      <c r="AH720" s="1316">
        <f t="shared" si="38"/>
        <v>0.19451073985680192</v>
      </c>
      <c r="AI720" s="1317"/>
      <c r="AJ720" s="1318"/>
      <c r="AK720" s="1310" t="s">
        <v>942</v>
      </c>
      <c r="AL720" s="1311"/>
      <c r="AM720" s="1311"/>
      <c r="AN720" s="1311"/>
      <c r="AO720" s="1312"/>
      <c r="AP720" s="3"/>
      <c r="AQ720" s="3"/>
      <c r="AR720" s="3"/>
      <c r="AS720" s="3"/>
      <c r="AZ720" s="84">
        <f t="shared" si="11"/>
        <v>5028</v>
      </c>
      <c r="BA720" s="3"/>
      <c r="BB720" s="3"/>
      <c r="BC720" s="3"/>
      <c r="BD720" s="3"/>
      <c r="BE720" s="135"/>
      <c r="BF720" s="202">
        <f t="shared" si="12"/>
        <v>2</v>
      </c>
      <c r="BG720" s="205">
        <f t="shared" si="13"/>
        <v>2.564102564102564E-2</v>
      </c>
      <c r="BH720" s="206">
        <f t="shared" si="14"/>
        <v>5.1282051282051282E-3</v>
      </c>
      <c r="BI720" s="3"/>
      <c r="BJ720" s="3"/>
      <c r="BK720" s="3"/>
      <c r="BL720" s="3"/>
      <c r="BM720" s="3"/>
      <c r="BN720" s="3"/>
      <c r="BS720" s="202">
        <f t="shared" si="15"/>
        <v>2</v>
      </c>
      <c r="BT720" s="205">
        <f t="shared" si="16"/>
        <v>2.564102564102564E-2</v>
      </c>
      <c r="BU720" s="206">
        <f t="shared" si="17"/>
        <v>4.987454868123126E-3</v>
      </c>
      <c r="CC720" s="3"/>
      <c r="CD720" s="3"/>
      <c r="CE720" s="3"/>
      <c r="CF720" s="3"/>
      <c r="CG720" s="1296">
        <f t="shared" si="39"/>
        <v>0</v>
      </c>
      <c r="CH720" s="1298"/>
      <c r="CI720" s="1296">
        <f t="shared" si="40"/>
        <v>0</v>
      </c>
      <c r="CJ720" s="1298"/>
      <c r="CK720" s="1296">
        <f t="shared" si="18"/>
        <v>1</v>
      </c>
      <c r="CL720" s="1298"/>
      <c r="CM720" s="1296">
        <f t="shared" si="19"/>
        <v>2</v>
      </c>
      <c r="CN720" s="1298"/>
      <c r="CO720" s="3"/>
      <c r="CP720" s="1293">
        <f t="shared" si="20"/>
        <v>0</v>
      </c>
      <c r="CQ720" s="1294"/>
      <c r="CR720" s="1294"/>
      <c r="CS720" s="1294"/>
      <c r="CT720" s="1295"/>
      <c r="CU720" s="1309">
        <f t="shared" si="21"/>
        <v>0</v>
      </c>
      <c r="CV720" s="1309"/>
      <c r="CW720" s="1309"/>
      <c r="CX720" s="1309"/>
      <c r="CY720" s="1309"/>
      <c r="CZ720" s="1309">
        <f t="shared" si="22"/>
        <v>0</v>
      </c>
      <c r="DA720" s="1309"/>
      <c r="DB720" s="1309"/>
      <c r="DC720" s="1309"/>
      <c r="DD720" s="1309"/>
      <c r="DE720" s="1309">
        <f t="shared" si="23"/>
        <v>2</v>
      </c>
      <c r="DF720" s="1309"/>
      <c r="DG720" s="1309"/>
      <c r="DH720" s="1309"/>
      <c r="DI720" s="1309"/>
      <c r="DJ720" s="1309">
        <f t="shared" si="24"/>
        <v>0</v>
      </c>
      <c r="DK720" s="1309"/>
      <c r="DL720" s="1309"/>
      <c r="DM720" s="1309"/>
      <c r="DN720" s="1309"/>
      <c r="DO720" s="1309">
        <f t="shared" si="25"/>
        <v>0</v>
      </c>
      <c r="DP720" s="1309"/>
      <c r="DQ720" s="1309"/>
      <c r="DR720" s="1309"/>
      <c r="DS720" s="1309"/>
      <c r="DT720" s="256"/>
      <c r="DU720" s="1323">
        <f t="shared" si="26"/>
        <v>0</v>
      </c>
      <c r="DV720" s="1323"/>
      <c r="DW720" s="1323"/>
      <c r="DX720" s="1323"/>
      <c r="DY720" s="1323"/>
      <c r="DZ720" s="1323">
        <f t="shared" si="27"/>
        <v>0</v>
      </c>
      <c r="EA720" s="1323"/>
      <c r="EB720" s="1323"/>
      <c r="EC720" s="1323"/>
      <c r="ED720" s="1323"/>
      <c r="EE720" s="1323">
        <f t="shared" si="28"/>
        <v>0</v>
      </c>
      <c r="EF720" s="1323"/>
      <c r="EG720" s="1323"/>
      <c r="EH720" s="1323"/>
      <c r="EI720" s="1323"/>
      <c r="EJ720" s="1323">
        <f t="shared" si="29"/>
        <v>2</v>
      </c>
      <c r="EK720" s="1323"/>
      <c r="EL720" s="1323"/>
      <c r="EM720" s="1323"/>
      <c r="EN720" s="1323"/>
      <c r="EO720" s="1323">
        <f t="shared" si="30"/>
        <v>0</v>
      </c>
      <c r="EP720" s="1323"/>
      <c r="EQ720" s="1323"/>
      <c r="ER720" s="1323"/>
      <c r="ES720" s="1323"/>
      <c r="ET720" s="1323">
        <f t="shared" si="31"/>
        <v>0</v>
      </c>
      <c r="EU720" s="1323"/>
      <c r="EV720" s="1323"/>
      <c r="EW720" s="1323"/>
      <c r="EX720" s="1323"/>
      <c r="EZ720" s="1296" t="str">
        <f t="shared" si="32"/>
        <v/>
      </c>
      <c r="FA720" s="1297"/>
      <c r="FB720" s="1297"/>
      <c r="FC720" s="1297"/>
      <c r="FD720" s="1298"/>
      <c r="FE720" s="1296" t="str">
        <f t="shared" si="33"/>
        <v/>
      </c>
      <c r="FF720" s="1297"/>
      <c r="FG720" s="1297"/>
      <c r="FH720" s="1297"/>
      <c r="FI720" s="1298"/>
      <c r="FJ720" s="1296" t="str">
        <f t="shared" si="34"/>
        <v/>
      </c>
      <c r="FK720" s="1297"/>
      <c r="FL720" s="1297"/>
      <c r="FM720" s="1297"/>
      <c r="FN720" s="1298"/>
      <c r="FO720" s="1296">
        <f t="shared" si="35"/>
        <v>855</v>
      </c>
      <c r="FP720" s="1297"/>
      <c r="FQ720" s="1297"/>
      <c r="FR720" s="1297"/>
      <c r="FS720" s="1298"/>
      <c r="FT720" s="1296" t="str">
        <f t="shared" si="36"/>
        <v/>
      </c>
      <c r="FU720" s="1297"/>
      <c r="FV720" s="1297"/>
      <c r="FW720" s="1297"/>
      <c r="FX720" s="1298"/>
      <c r="FY720" s="1296" t="str">
        <f t="shared" si="37"/>
        <v/>
      </c>
      <c r="FZ720" s="1297"/>
      <c r="GA720" s="1297"/>
      <c r="GB720" s="1297"/>
      <c r="GC720" s="1298"/>
    </row>
    <row r="721" spans="1:185" ht="13" customHeight="1">
      <c r="B721" s="1310" t="s">
        <v>828</v>
      </c>
      <c r="C721" s="1311"/>
      <c r="D721" s="1311"/>
      <c r="E721" s="1311"/>
      <c r="F721" s="1312"/>
      <c r="G721" s="1319">
        <v>1</v>
      </c>
      <c r="H721" s="1320"/>
      <c r="I721" s="1320"/>
      <c r="J721" s="1321"/>
      <c r="K721" s="1546">
        <v>673</v>
      </c>
      <c r="L721" s="1547"/>
      <c r="M721" s="1547"/>
      <c r="N721" s="1548"/>
      <c r="O721" s="1420">
        <v>654</v>
      </c>
      <c r="P721" s="1421"/>
      <c r="Q721" s="1421"/>
      <c r="R721" s="1421"/>
      <c r="S721" s="1422"/>
      <c r="T721" s="1420">
        <v>71</v>
      </c>
      <c r="U721" s="1421"/>
      <c r="V721" s="1421"/>
      <c r="W721" s="1422"/>
      <c r="X721" s="1313">
        <f t="shared" si="10"/>
        <v>725</v>
      </c>
      <c r="Y721" s="1314"/>
      <c r="Z721" s="1314"/>
      <c r="AA721" s="1314"/>
      <c r="AB721" s="1315"/>
      <c r="AC721" s="1555">
        <v>0.2</v>
      </c>
      <c r="AD721" s="1556"/>
      <c r="AE721" s="1556"/>
      <c r="AF721" s="1556"/>
      <c r="AG721" s="1557"/>
      <c r="AH721" s="1316">
        <f t="shared" si="38"/>
        <v>0.19994484280198566</v>
      </c>
      <c r="AI721" s="1317"/>
      <c r="AJ721" s="1318"/>
      <c r="AK721" s="1310" t="s">
        <v>807</v>
      </c>
      <c r="AL721" s="1311"/>
      <c r="AM721" s="1311"/>
      <c r="AN721" s="1311"/>
      <c r="AO721" s="1312"/>
      <c r="AP721" s="3"/>
      <c r="AQ721" s="3"/>
      <c r="AR721" s="3"/>
      <c r="AS721" s="3"/>
      <c r="AY721" s="85"/>
      <c r="AZ721" s="84">
        <f t="shared" si="11"/>
        <v>3626</v>
      </c>
      <c r="BA721" s="3"/>
      <c r="BB721" s="3"/>
      <c r="BC721" s="3"/>
      <c r="BD721" s="3"/>
      <c r="BE721" s="135"/>
      <c r="BF721" s="202">
        <f t="shared" si="12"/>
        <v>1</v>
      </c>
      <c r="BG721" s="205">
        <f t="shared" si="13"/>
        <v>1.282051282051282E-2</v>
      </c>
      <c r="BH721" s="206">
        <f t="shared" si="14"/>
        <v>2.5641025641025641E-3</v>
      </c>
      <c r="BI721" s="3"/>
      <c r="BJ721" s="3"/>
      <c r="BK721" s="3"/>
      <c r="BL721" s="3"/>
      <c r="BM721" s="3"/>
      <c r="BN721" s="3"/>
      <c r="BS721" s="202">
        <f t="shared" si="15"/>
        <v>1</v>
      </c>
      <c r="BT721" s="205">
        <f t="shared" si="16"/>
        <v>1.282051282051282E-2</v>
      </c>
      <c r="BU721" s="206">
        <f t="shared" si="17"/>
        <v>2.5633954205382774E-3</v>
      </c>
      <c r="CC721" s="3"/>
      <c r="CD721" s="3"/>
      <c r="CE721" s="3"/>
      <c r="CF721" s="3"/>
      <c r="CG721" s="1296">
        <f t="shared" si="39"/>
        <v>0</v>
      </c>
      <c r="CH721" s="1298"/>
      <c r="CI721" s="1296">
        <f t="shared" si="40"/>
        <v>0</v>
      </c>
      <c r="CJ721" s="1298"/>
      <c r="CK721" s="1296">
        <f t="shared" si="18"/>
        <v>1</v>
      </c>
      <c r="CL721" s="1298"/>
      <c r="CM721" s="1296">
        <f t="shared" si="19"/>
        <v>1</v>
      </c>
      <c r="CN721" s="1298"/>
      <c r="CO721" s="3"/>
      <c r="CP721" s="1293">
        <f t="shared" si="20"/>
        <v>0</v>
      </c>
      <c r="CQ721" s="1294"/>
      <c r="CR721" s="1294"/>
      <c r="CS721" s="1294"/>
      <c r="CT721" s="1295"/>
      <c r="CU721" s="1309">
        <f t="shared" si="21"/>
        <v>1</v>
      </c>
      <c r="CV721" s="1309"/>
      <c r="CW721" s="1309"/>
      <c r="CX721" s="1309"/>
      <c r="CY721" s="1309"/>
      <c r="CZ721" s="1309">
        <f t="shared" si="22"/>
        <v>0</v>
      </c>
      <c r="DA721" s="1309"/>
      <c r="DB721" s="1309"/>
      <c r="DC721" s="1309"/>
      <c r="DD721" s="1309"/>
      <c r="DE721" s="1309">
        <f t="shared" si="23"/>
        <v>0</v>
      </c>
      <c r="DF721" s="1309"/>
      <c r="DG721" s="1309"/>
      <c r="DH721" s="1309"/>
      <c r="DI721" s="1309"/>
      <c r="DJ721" s="1309">
        <f t="shared" si="24"/>
        <v>0</v>
      </c>
      <c r="DK721" s="1309"/>
      <c r="DL721" s="1309"/>
      <c r="DM721" s="1309"/>
      <c r="DN721" s="1309"/>
      <c r="DO721" s="1309">
        <f t="shared" si="25"/>
        <v>0</v>
      </c>
      <c r="DP721" s="1309"/>
      <c r="DQ721" s="1309"/>
      <c r="DR721" s="1309"/>
      <c r="DS721" s="1309"/>
      <c r="DT721" s="256"/>
      <c r="DU721" s="1323">
        <f t="shared" si="26"/>
        <v>0</v>
      </c>
      <c r="DV721" s="1323"/>
      <c r="DW721" s="1323"/>
      <c r="DX721" s="1323"/>
      <c r="DY721" s="1323"/>
      <c r="DZ721" s="1323">
        <f t="shared" si="27"/>
        <v>1</v>
      </c>
      <c r="EA721" s="1323"/>
      <c r="EB721" s="1323"/>
      <c r="EC721" s="1323"/>
      <c r="ED721" s="1323"/>
      <c r="EE721" s="1323">
        <f t="shared" si="28"/>
        <v>0</v>
      </c>
      <c r="EF721" s="1323"/>
      <c r="EG721" s="1323"/>
      <c r="EH721" s="1323"/>
      <c r="EI721" s="1323"/>
      <c r="EJ721" s="1323">
        <f t="shared" si="29"/>
        <v>0</v>
      </c>
      <c r="EK721" s="1323"/>
      <c r="EL721" s="1323"/>
      <c r="EM721" s="1323"/>
      <c r="EN721" s="1323"/>
      <c r="EO721" s="1323">
        <f t="shared" si="30"/>
        <v>0</v>
      </c>
      <c r="EP721" s="1323"/>
      <c r="EQ721" s="1323"/>
      <c r="ER721" s="1323"/>
      <c r="ES721" s="1323"/>
      <c r="ET721" s="1323">
        <f t="shared" si="31"/>
        <v>0</v>
      </c>
      <c r="EU721" s="1323"/>
      <c r="EV721" s="1323"/>
      <c r="EW721" s="1323"/>
      <c r="EX721" s="1323"/>
      <c r="EZ721" s="1296" t="str">
        <f t="shared" si="32"/>
        <v/>
      </c>
      <c r="FA721" s="1297"/>
      <c r="FB721" s="1297"/>
      <c r="FC721" s="1297"/>
      <c r="FD721" s="1298"/>
      <c r="FE721" s="1296">
        <f t="shared" si="33"/>
        <v>654</v>
      </c>
      <c r="FF721" s="1297"/>
      <c r="FG721" s="1297"/>
      <c r="FH721" s="1297"/>
      <c r="FI721" s="1298"/>
      <c r="FJ721" s="1296" t="str">
        <f t="shared" si="34"/>
        <v/>
      </c>
      <c r="FK721" s="1297"/>
      <c r="FL721" s="1297"/>
      <c r="FM721" s="1297"/>
      <c r="FN721" s="1298"/>
      <c r="FO721" s="1296" t="str">
        <f t="shared" si="35"/>
        <v/>
      </c>
      <c r="FP721" s="1297"/>
      <c r="FQ721" s="1297"/>
      <c r="FR721" s="1297"/>
      <c r="FS721" s="1298"/>
      <c r="FT721" s="1296" t="str">
        <f t="shared" si="36"/>
        <v/>
      </c>
      <c r="FU721" s="1297"/>
      <c r="FV721" s="1297"/>
      <c r="FW721" s="1297"/>
      <c r="FX721" s="1298"/>
      <c r="FY721" s="1296" t="str">
        <f t="shared" si="37"/>
        <v/>
      </c>
      <c r="FZ721" s="1297"/>
      <c r="GA721" s="1297"/>
      <c r="GB721" s="1297"/>
      <c r="GC721" s="1298"/>
    </row>
    <row r="722" spans="1:185" ht="13" customHeight="1">
      <c r="B722" s="1310" t="s">
        <v>829</v>
      </c>
      <c r="C722" s="1311"/>
      <c r="D722" s="1311"/>
      <c r="E722" s="1311"/>
      <c r="F722" s="1312"/>
      <c r="G722" s="1319">
        <v>2</v>
      </c>
      <c r="H722" s="1320"/>
      <c r="I722" s="1320"/>
      <c r="J722" s="1321"/>
      <c r="K722" s="1546">
        <v>958</v>
      </c>
      <c r="L722" s="1547"/>
      <c r="M722" s="1547"/>
      <c r="N722" s="1548"/>
      <c r="O722" s="1420">
        <v>718</v>
      </c>
      <c r="P722" s="1421"/>
      <c r="Q722" s="1421"/>
      <c r="R722" s="1421"/>
      <c r="S722" s="1422"/>
      <c r="T722" s="1420">
        <v>98</v>
      </c>
      <c r="U722" s="1421"/>
      <c r="V722" s="1421"/>
      <c r="W722" s="1422"/>
      <c r="X722" s="1313">
        <f t="shared" si="10"/>
        <v>816</v>
      </c>
      <c r="Y722" s="1314"/>
      <c r="Z722" s="1314"/>
      <c r="AA722" s="1314"/>
      <c r="AB722" s="1315"/>
      <c r="AC722" s="1555">
        <v>0.2</v>
      </c>
      <c r="AD722" s="1556"/>
      <c r="AE722" s="1556"/>
      <c r="AF722" s="1556"/>
      <c r="AG722" s="1557"/>
      <c r="AH722" s="1316">
        <f t="shared" si="38"/>
        <v>0.1875</v>
      </c>
      <c r="AI722" s="1317"/>
      <c r="AJ722" s="1318"/>
      <c r="AK722" s="1310" t="s">
        <v>807</v>
      </c>
      <c r="AL722" s="1311"/>
      <c r="AM722" s="1311"/>
      <c r="AN722" s="1311"/>
      <c r="AO722" s="1312"/>
      <c r="AP722" s="3"/>
      <c r="AQ722" s="3"/>
      <c r="AR722" s="3"/>
      <c r="AS722" s="3"/>
      <c r="AY722" s="85"/>
      <c r="AZ722" s="84">
        <f t="shared" si="11"/>
        <v>4352</v>
      </c>
      <c r="BA722" s="3"/>
      <c r="BB722" s="3"/>
      <c r="BC722" s="3"/>
      <c r="BD722" s="3"/>
      <c r="BE722" s="135"/>
      <c r="BF722" s="202">
        <f t="shared" si="12"/>
        <v>2</v>
      </c>
      <c r="BG722" s="205">
        <f t="shared" si="13"/>
        <v>2.564102564102564E-2</v>
      </c>
      <c r="BH722" s="206">
        <f t="shared" si="14"/>
        <v>5.1282051282051282E-3</v>
      </c>
      <c r="BI722" s="3"/>
      <c r="BJ722" s="3"/>
      <c r="BK722" s="3"/>
      <c r="BL722" s="3"/>
      <c r="BM722" s="3"/>
      <c r="BN722" s="3"/>
      <c r="BS722" s="202">
        <f t="shared" si="15"/>
        <v>2</v>
      </c>
      <c r="BT722" s="205">
        <f t="shared" si="16"/>
        <v>2.564102564102564E-2</v>
      </c>
      <c r="BU722" s="206">
        <f t="shared" si="17"/>
        <v>4.807692307692308E-3</v>
      </c>
      <c r="CC722" s="3"/>
      <c r="CD722" s="3"/>
      <c r="CE722" s="3"/>
      <c r="CF722" s="3"/>
      <c r="CG722" s="1296">
        <f t="shared" si="39"/>
        <v>0</v>
      </c>
      <c r="CH722" s="1298"/>
      <c r="CI722" s="1296">
        <f t="shared" si="40"/>
        <v>0</v>
      </c>
      <c r="CJ722" s="1298"/>
      <c r="CK722" s="1296">
        <f t="shared" si="18"/>
        <v>1</v>
      </c>
      <c r="CL722" s="1298"/>
      <c r="CM722" s="1296">
        <f t="shared" si="19"/>
        <v>2</v>
      </c>
      <c r="CN722" s="1298"/>
      <c r="CO722" s="3"/>
      <c r="CP722" s="1293">
        <f t="shared" si="20"/>
        <v>0</v>
      </c>
      <c r="CQ722" s="1294"/>
      <c r="CR722" s="1294"/>
      <c r="CS722" s="1294"/>
      <c r="CT722" s="1295"/>
      <c r="CU722" s="1309">
        <f t="shared" si="21"/>
        <v>0</v>
      </c>
      <c r="CV722" s="1309"/>
      <c r="CW722" s="1309"/>
      <c r="CX722" s="1309"/>
      <c r="CY722" s="1309"/>
      <c r="CZ722" s="1309">
        <f t="shared" si="22"/>
        <v>2</v>
      </c>
      <c r="DA722" s="1309"/>
      <c r="DB722" s="1309"/>
      <c r="DC722" s="1309"/>
      <c r="DD722" s="1309"/>
      <c r="DE722" s="1309">
        <f t="shared" si="23"/>
        <v>0</v>
      </c>
      <c r="DF722" s="1309"/>
      <c r="DG722" s="1309"/>
      <c r="DH722" s="1309"/>
      <c r="DI722" s="1309"/>
      <c r="DJ722" s="1309">
        <f t="shared" si="24"/>
        <v>0</v>
      </c>
      <c r="DK722" s="1309"/>
      <c r="DL722" s="1309"/>
      <c r="DM722" s="1309"/>
      <c r="DN722" s="1309"/>
      <c r="DO722" s="1309">
        <f t="shared" si="25"/>
        <v>0</v>
      </c>
      <c r="DP722" s="1309"/>
      <c r="DQ722" s="1309"/>
      <c r="DR722" s="1309"/>
      <c r="DS722" s="1309"/>
      <c r="DT722" s="256"/>
      <c r="DU722" s="1323">
        <f t="shared" si="26"/>
        <v>0</v>
      </c>
      <c r="DV722" s="1323"/>
      <c r="DW722" s="1323"/>
      <c r="DX722" s="1323"/>
      <c r="DY722" s="1323"/>
      <c r="DZ722" s="1323">
        <f t="shared" si="27"/>
        <v>0</v>
      </c>
      <c r="EA722" s="1323"/>
      <c r="EB722" s="1323"/>
      <c r="EC722" s="1323"/>
      <c r="ED722" s="1323"/>
      <c r="EE722" s="1323">
        <f t="shared" si="28"/>
        <v>2</v>
      </c>
      <c r="EF722" s="1323"/>
      <c r="EG722" s="1323"/>
      <c r="EH722" s="1323"/>
      <c r="EI722" s="1323"/>
      <c r="EJ722" s="1323">
        <f t="shared" si="29"/>
        <v>0</v>
      </c>
      <c r="EK722" s="1323"/>
      <c r="EL722" s="1323"/>
      <c r="EM722" s="1323"/>
      <c r="EN722" s="1323"/>
      <c r="EO722" s="1323">
        <f t="shared" si="30"/>
        <v>0</v>
      </c>
      <c r="EP722" s="1323"/>
      <c r="EQ722" s="1323"/>
      <c r="ER722" s="1323"/>
      <c r="ES722" s="1323"/>
      <c r="ET722" s="1323">
        <f t="shared" si="31"/>
        <v>0</v>
      </c>
      <c r="EU722" s="1323"/>
      <c r="EV722" s="1323"/>
      <c r="EW722" s="1323"/>
      <c r="EX722" s="1323"/>
      <c r="EZ722" s="1296" t="str">
        <f t="shared" si="32"/>
        <v/>
      </c>
      <c r="FA722" s="1297"/>
      <c r="FB722" s="1297"/>
      <c r="FC722" s="1297"/>
      <c r="FD722" s="1298"/>
      <c r="FE722" s="1296" t="str">
        <f t="shared" si="33"/>
        <v/>
      </c>
      <c r="FF722" s="1297"/>
      <c r="FG722" s="1297"/>
      <c r="FH722" s="1297"/>
      <c r="FI722" s="1298"/>
      <c r="FJ722" s="1296">
        <f t="shared" si="34"/>
        <v>718</v>
      </c>
      <c r="FK722" s="1297"/>
      <c r="FL722" s="1297"/>
      <c r="FM722" s="1297"/>
      <c r="FN722" s="1298"/>
      <c r="FO722" s="1296" t="str">
        <f t="shared" si="35"/>
        <v/>
      </c>
      <c r="FP722" s="1297"/>
      <c r="FQ722" s="1297"/>
      <c r="FR722" s="1297"/>
      <c r="FS722" s="1298"/>
      <c r="FT722" s="1296" t="str">
        <f t="shared" si="36"/>
        <v/>
      </c>
      <c r="FU722" s="1297"/>
      <c r="FV722" s="1297"/>
      <c r="FW722" s="1297"/>
      <c r="FX722" s="1298"/>
      <c r="FY722" s="1296" t="str">
        <f t="shared" si="37"/>
        <v/>
      </c>
      <c r="FZ722" s="1297"/>
      <c r="GA722" s="1297"/>
      <c r="GB722" s="1297"/>
      <c r="GC722" s="1298"/>
    </row>
    <row r="723" spans="1:185" ht="13" customHeight="1">
      <c r="B723" s="1310" t="s">
        <v>829</v>
      </c>
      <c r="C723" s="1311"/>
      <c r="D723" s="1311"/>
      <c r="E723" s="1311"/>
      <c r="F723" s="1312"/>
      <c r="G723" s="1319">
        <v>1</v>
      </c>
      <c r="H723" s="1320"/>
      <c r="I723" s="1320"/>
      <c r="J723" s="1321"/>
      <c r="K723" s="1546">
        <v>958</v>
      </c>
      <c r="L723" s="1547"/>
      <c r="M723" s="1547"/>
      <c r="N723" s="1548"/>
      <c r="O723" s="1420">
        <v>718</v>
      </c>
      <c r="P723" s="1421"/>
      <c r="Q723" s="1421"/>
      <c r="R723" s="1421"/>
      <c r="S723" s="1422"/>
      <c r="T723" s="1420">
        <v>98</v>
      </c>
      <c r="U723" s="1421"/>
      <c r="V723" s="1421"/>
      <c r="W723" s="1422"/>
      <c r="X723" s="1313">
        <f t="shared" si="10"/>
        <v>816</v>
      </c>
      <c r="Y723" s="1314"/>
      <c r="Z723" s="1314"/>
      <c r="AA723" s="1314"/>
      <c r="AB723" s="1315"/>
      <c r="AC723" s="1555">
        <v>0.2</v>
      </c>
      <c r="AD723" s="1556"/>
      <c r="AE723" s="1556"/>
      <c r="AF723" s="1556"/>
      <c r="AG723" s="1557"/>
      <c r="AH723" s="1316">
        <f t="shared" si="38"/>
        <v>0.1875</v>
      </c>
      <c r="AI723" s="1317"/>
      <c r="AJ723" s="1318"/>
      <c r="AK723" s="1310" t="s">
        <v>807</v>
      </c>
      <c r="AL723" s="1311"/>
      <c r="AM723" s="1311"/>
      <c r="AN723" s="1311"/>
      <c r="AO723" s="1312"/>
      <c r="AP723" s="3"/>
      <c r="AQ723" s="3"/>
      <c r="AR723" s="3"/>
      <c r="AS723" s="3"/>
      <c r="AY723" s="85"/>
      <c r="AZ723" s="84">
        <f t="shared" si="11"/>
        <v>4352</v>
      </c>
      <c r="BA723" s="3"/>
      <c r="BB723" s="3"/>
      <c r="BC723" s="3"/>
      <c r="BD723" s="3"/>
      <c r="BE723" s="135"/>
      <c r="BF723" s="202">
        <f t="shared" si="12"/>
        <v>1</v>
      </c>
      <c r="BG723" s="205">
        <f t="shared" si="13"/>
        <v>1.282051282051282E-2</v>
      </c>
      <c r="BH723" s="206">
        <f t="shared" si="14"/>
        <v>2.5641025641025641E-3</v>
      </c>
      <c r="BI723" s="3"/>
      <c r="BJ723" s="3"/>
      <c r="BK723" s="3"/>
      <c r="BL723" s="3"/>
      <c r="BM723" s="3"/>
      <c r="BN723" s="3"/>
      <c r="BS723" s="202">
        <f t="shared" si="15"/>
        <v>1</v>
      </c>
      <c r="BT723" s="205">
        <f t="shared" si="16"/>
        <v>1.282051282051282E-2</v>
      </c>
      <c r="BU723" s="206">
        <f t="shared" si="17"/>
        <v>2.403846153846154E-3</v>
      </c>
      <c r="CC723" s="3"/>
      <c r="CD723" s="3"/>
      <c r="CE723" s="3"/>
      <c r="CF723" s="3"/>
      <c r="CG723" s="1296">
        <f t="shared" si="39"/>
        <v>0</v>
      </c>
      <c r="CH723" s="1298"/>
      <c r="CI723" s="1296">
        <f t="shared" si="40"/>
        <v>0</v>
      </c>
      <c r="CJ723" s="1298"/>
      <c r="CK723" s="1296">
        <f t="shared" si="18"/>
        <v>1</v>
      </c>
      <c r="CL723" s="1298"/>
      <c r="CM723" s="1296">
        <f t="shared" si="19"/>
        <v>1</v>
      </c>
      <c r="CN723" s="1298"/>
      <c r="CO723" s="3"/>
      <c r="CP723" s="1293">
        <f t="shared" si="20"/>
        <v>0</v>
      </c>
      <c r="CQ723" s="1294"/>
      <c r="CR723" s="1294"/>
      <c r="CS723" s="1294"/>
      <c r="CT723" s="1295"/>
      <c r="CU723" s="1309">
        <f t="shared" si="21"/>
        <v>0</v>
      </c>
      <c r="CV723" s="1309"/>
      <c r="CW723" s="1309"/>
      <c r="CX723" s="1309"/>
      <c r="CY723" s="1309"/>
      <c r="CZ723" s="1309">
        <f t="shared" si="22"/>
        <v>1</v>
      </c>
      <c r="DA723" s="1309"/>
      <c r="DB723" s="1309"/>
      <c r="DC723" s="1309"/>
      <c r="DD723" s="1309"/>
      <c r="DE723" s="1309">
        <f t="shared" si="23"/>
        <v>0</v>
      </c>
      <c r="DF723" s="1309"/>
      <c r="DG723" s="1309"/>
      <c r="DH723" s="1309"/>
      <c r="DI723" s="1309"/>
      <c r="DJ723" s="1309">
        <f t="shared" si="24"/>
        <v>0</v>
      </c>
      <c r="DK723" s="1309"/>
      <c r="DL723" s="1309"/>
      <c r="DM723" s="1309"/>
      <c r="DN723" s="1309"/>
      <c r="DO723" s="1309">
        <f t="shared" si="25"/>
        <v>0</v>
      </c>
      <c r="DP723" s="1309"/>
      <c r="DQ723" s="1309"/>
      <c r="DR723" s="1309"/>
      <c r="DS723" s="1309"/>
      <c r="DT723" s="256"/>
      <c r="DU723" s="1323">
        <f t="shared" si="26"/>
        <v>0</v>
      </c>
      <c r="DV723" s="1323"/>
      <c r="DW723" s="1323"/>
      <c r="DX723" s="1323"/>
      <c r="DY723" s="1323"/>
      <c r="DZ723" s="1323">
        <f t="shared" si="27"/>
        <v>0</v>
      </c>
      <c r="EA723" s="1323"/>
      <c r="EB723" s="1323"/>
      <c r="EC723" s="1323"/>
      <c r="ED723" s="1323"/>
      <c r="EE723" s="1323">
        <f t="shared" si="28"/>
        <v>1</v>
      </c>
      <c r="EF723" s="1323"/>
      <c r="EG723" s="1323"/>
      <c r="EH723" s="1323"/>
      <c r="EI723" s="1323"/>
      <c r="EJ723" s="1323">
        <f t="shared" si="29"/>
        <v>0</v>
      </c>
      <c r="EK723" s="1323"/>
      <c r="EL723" s="1323"/>
      <c r="EM723" s="1323"/>
      <c r="EN723" s="1323"/>
      <c r="EO723" s="1323">
        <f t="shared" si="30"/>
        <v>0</v>
      </c>
      <c r="EP723" s="1323"/>
      <c r="EQ723" s="1323"/>
      <c r="ER723" s="1323"/>
      <c r="ES723" s="1323"/>
      <c r="ET723" s="1323">
        <f t="shared" si="31"/>
        <v>0</v>
      </c>
      <c r="EU723" s="1323"/>
      <c r="EV723" s="1323"/>
      <c r="EW723" s="1323"/>
      <c r="EX723" s="1323"/>
      <c r="EZ723" s="1296" t="str">
        <f t="shared" si="32"/>
        <v/>
      </c>
      <c r="FA723" s="1297"/>
      <c r="FB723" s="1297"/>
      <c r="FC723" s="1297"/>
      <c r="FD723" s="1298"/>
      <c r="FE723" s="1296" t="str">
        <f t="shared" si="33"/>
        <v/>
      </c>
      <c r="FF723" s="1297"/>
      <c r="FG723" s="1297"/>
      <c r="FH723" s="1297"/>
      <c r="FI723" s="1298"/>
      <c r="FJ723" s="1296">
        <f t="shared" si="34"/>
        <v>718</v>
      </c>
      <c r="FK723" s="1297"/>
      <c r="FL723" s="1297"/>
      <c r="FM723" s="1297"/>
      <c r="FN723" s="1298"/>
      <c r="FO723" s="1296" t="str">
        <f t="shared" si="35"/>
        <v/>
      </c>
      <c r="FP723" s="1297"/>
      <c r="FQ723" s="1297"/>
      <c r="FR723" s="1297"/>
      <c r="FS723" s="1298"/>
      <c r="FT723" s="1296" t="str">
        <f t="shared" si="36"/>
        <v/>
      </c>
      <c r="FU723" s="1297"/>
      <c r="FV723" s="1297"/>
      <c r="FW723" s="1297"/>
      <c r="FX723" s="1298"/>
      <c r="FY723" s="1296" t="str">
        <f t="shared" si="37"/>
        <v/>
      </c>
      <c r="FZ723" s="1297"/>
      <c r="GA723" s="1297"/>
      <c r="GB723" s="1297"/>
      <c r="GC723" s="1298"/>
    </row>
    <row r="724" spans="1:185" ht="13" customHeight="1">
      <c r="B724" s="1310" t="s">
        <v>830</v>
      </c>
      <c r="C724" s="1311"/>
      <c r="D724" s="1311"/>
      <c r="E724" s="1311"/>
      <c r="F724" s="1312"/>
      <c r="G724" s="1319">
        <v>3</v>
      </c>
      <c r="H724" s="1320"/>
      <c r="I724" s="1320"/>
      <c r="J724" s="1321"/>
      <c r="K724" s="1546">
        <v>1047</v>
      </c>
      <c r="L724" s="1547"/>
      <c r="M724" s="1547"/>
      <c r="N724" s="1548"/>
      <c r="O724" s="1420">
        <v>855</v>
      </c>
      <c r="P724" s="1421"/>
      <c r="Q724" s="1421"/>
      <c r="R724" s="1421"/>
      <c r="S724" s="1422"/>
      <c r="T724" s="1420">
        <v>123</v>
      </c>
      <c r="U724" s="1421"/>
      <c r="V724" s="1421"/>
      <c r="W724" s="1422"/>
      <c r="X724" s="1313">
        <f t="shared" si="10"/>
        <v>978</v>
      </c>
      <c r="Y724" s="1314"/>
      <c r="Z724" s="1314"/>
      <c r="AA724" s="1314"/>
      <c r="AB724" s="1315"/>
      <c r="AC724" s="1555">
        <v>0.2</v>
      </c>
      <c r="AD724" s="1556"/>
      <c r="AE724" s="1556"/>
      <c r="AF724" s="1556"/>
      <c r="AG724" s="1557"/>
      <c r="AH724" s="1316">
        <f t="shared" si="38"/>
        <v>0.19451073985680192</v>
      </c>
      <c r="AI724" s="1317"/>
      <c r="AJ724" s="1318"/>
      <c r="AK724" s="1310" t="s">
        <v>807</v>
      </c>
      <c r="AL724" s="1311"/>
      <c r="AM724" s="1311"/>
      <c r="AN724" s="1311"/>
      <c r="AO724" s="1312"/>
      <c r="AP724" s="3"/>
      <c r="AQ724" s="3"/>
      <c r="AR724" s="3"/>
      <c r="AS724" s="3"/>
      <c r="AY724" s="85"/>
      <c r="AZ724" s="84">
        <f t="shared" si="11"/>
        <v>5028</v>
      </c>
      <c r="BA724" s="3"/>
      <c r="BB724" s="3"/>
      <c r="BC724" s="3"/>
      <c r="BD724" s="3"/>
      <c r="BE724" s="135"/>
      <c r="BF724" s="202">
        <f t="shared" si="12"/>
        <v>3</v>
      </c>
      <c r="BG724" s="205">
        <f t="shared" si="13"/>
        <v>3.8461538461538464E-2</v>
      </c>
      <c r="BH724" s="206">
        <f t="shared" si="14"/>
        <v>7.6923076923076927E-3</v>
      </c>
      <c r="BI724" s="3"/>
      <c r="BJ724" s="3"/>
      <c r="BK724" s="3"/>
      <c r="BL724" s="3"/>
      <c r="BM724" s="3"/>
      <c r="BN724" s="3"/>
      <c r="BS724" s="202">
        <f t="shared" si="15"/>
        <v>3</v>
      </c>
      <c r="BT724" s="205">
        <f t="shared" si="16"/>
        <v>3.8461538461538464E-2</v>
      </c>
      <c r="BU724" s="206">
        <f t="shared" si="17"/>
        <v>7.4811823021846899E-3</v>
      </c>
      <c r="CC724" s="3"/>
      <c r="CE724" s="3"/>
      <c r="CF724" s="3"/>
      <c r="CG724" s="1296">
        <f t="shared" si="39"/>
        <v>0</v>
      </c>
      <c r="CH724" s="1298"/>
      <c r="CI724" s="1296">
        <f t="shared" si="40"/>
        <v>0</v>
      </c>
      <c r="CJ724" s="1298"/>
      <c r="CK724" s="1296">
        <f t="shared" si="18"/>
        <v>1</v>
      </c>
      <c r="CL724" s="1298"/>
      <c r="CM724" s="1296">
        <f t="shared" si="19"/>
        <v>3</v>
      </c>
      <c r="CN724" s="1298"/>
      <c r="CO724" s="3"/>
      <c r="CP724" s="1293">
        <f t="shared" si="20"/>
        <v>0</v>
      </c>
      <c r="CQ724" s="1294"/>
      <c r="CR724" s="1294"/>
      <c r="CS724" s="1294"/>
      <c r="CT724" s="1295"/>
      <c r="CU724" s="1309">
        <f t="shared" si="21"/>
        <v>0</v>
      </c>
      <c r="CV724" s="1309"/>
      <c r="CW724" s="1309"/>
      <c r="CX724" s="1309"/>
      <c r="CY724" s="1309"/>
      <c r="CZ724" s="1309">
        <f t="shared" si="22"/>
        <v>0</v>
      </c>
      <c r="DA724" s="1309"/>
      <c r="DB724" s="1309"/>
      <c r="DC724" s="1309"/>
      <c r="DD724" s="1309"/>
      <c r="DE724" s="1309">
        <f t="shared" si="23"/>
        <v>3</v>
      </c>
      <c r="DF724" s="1309"/>
      <c r="DG724" s="1309"/>
      <c r="DH724" s="1309"/>
      <c r="DI724" s="1309"/>
      <c r="DJ724" s="1309">
        <f t="shared" si="24"/>
        <v>0</v>
      </c>
      <c r="DK724" s="1309"/>
      <c r="DL724" s="1309"/>
      <c r="DM724" s="1309"/>
      <c r="DN724" s="1309"/>
      <c r="DO724" s="1309">
        <f t="shared" si="25"/>
        <v>0</v>
      </c>
      <c r="DP724" s="1309"/>
      <c r="DQ724" s="1309"/>
      <c r="DR724" s="1309"/>
      <c r="DS724" s="1309"/>
      <c r="DT724" s="256"/>
      <c r="DU724" s="1323">
        <f t="shared" si="26"/>
        <v>0</v>
      </c>
      <c r="DV724" s="1323"/>
      <c r="DW724" s="1323"/>
      <c r="DX724" s="1323"/>
      <c r="DY724" s="1323"/>
      <c r="DZ724" s="1323">
        <f t="shared" si="27"/>
        <v>0</v>
      </c>
      <c r="EA724" s="1323"/>
      <c r="EB724" s="1323"/>
      <c r="EC724" s="1323"/>
      <c r="ED724" s="1323"/>
      <c r="EE724" s="1323">
        <f t="shared" si="28"/>
        <v>0</v>
      </c>
      <c r="EF724" s="1323"/>
      <c r="EG724" s="1323"/>
      <c r="EH724" s="1323"/>
      <c r="EI724" s="1323"/>
      <c r="EJ724" s="1323">
        <f t="shared" si="29"/>
        <v>3</v>
      </c>
      <c r="EK724" s="1323"/>
      <c r="EL724" s="1323"/>
      <c r="EM724" s="1323"/>
      <c r="EN724" s="1323"/>
      <c r="EO724" s="1323">
        <f t="shared" si="30"/>
        <v>0</v>
      </c>
      <c r="EP724" s="1323"/>
      <c r="EQ724" s="1323"/>
      <c r="ER724" s="1323"/>
      <c r="ES724" s="1323"/>
      <c r="ET724" s="1323">
        <f t="shared" si="31"/>
        <v>0</v>
      </c>
      <c r="EU724" s="1323"/>
      <c r="EV724" s="1323"/>
      <c r="EW724" s="1323"/>
      <c r="EX724" s="1323"/>
      <c r="EZ724" s="1296" t="str">
        <f t="shared" si="32"/>
        <v/>
      </c>
      <c r="FA724" s="1297"/>
      <c r="FB724" s="1297"/>
      <c r="FC724" s="1297"/>
      <c r="FD724" s="1298"/>
      <c r="FE724" s="1296" t="str">
        <f t="shared" si="33"/>
        <v/>
      </c>
      <c r="FF724" s="1297"/>
      <c r="FG724" s="1297"/>
      <c r="FH724" s="1297"/>
      <c r="FI724" s="1298"/>
      <c r="FJ724" s="1296" t="str">
        <f t="shared" si="34"/>
        <v/>
      </c>
      <c r="FK724" s="1297"/>
      <c r="FL724" s="1297"/>
      <c r="FM724" s="1297"/>
      <c r="FN724" s="1298"/>
      <c r="FO724" s="1296">
        <f t="shared" si="35"/>
        <v>855</v>
      </c>
      <c r="FP724" s="1297"/>
      <c r="FQ724" s="1297"/>
      <c r="FR724" s="1297"/>
      <c r="FS724" s="1298"/>
      <c r="FT724" s="1296" t="str">
        <f t="shared" si="36"/>
        <v/>
      </c>
      <c r="FU724" s="1297"/>
      <c r="FV724" s="1297"/>
      <c r="FW724" s="1297"/>
      <c r="FX724" s="1298"/>
      <c r="FY724" s="1296" t="str">
        <f t="shared" si="37"/>
        <v/>
      </c>
      <c r="FZ724" s="1297"/>
      <c r="GA724" s="1297"/>
      <c r="GB724" s="1297"/>
      <c r="GC724" s="1298"/>
    </row>
    <row r="725" spans="1:185" ht="13" customHeight="1">
      <c r="B725" s="1310" t="s">
        <v>830</v>
      </c>
      <c r="C725" s="1311"/>
      <c r="D725" s="1311"/>
      <c r="E725" s="1311"/>
      <c r="F725" s="1312"/>
      <c r="G725" s="1319">
        <v>1</v>
      </c>
      <c r="H725" s="1320"/>
      <c r="I725" s="1320"/>
      <c r="J725" s="1321"/>
      <c r="K725" s="1546">
        <v>1047</v>
      </c>
      <c r="L725" s="1547"/>
      <c r="M725" s="1547"/>
      <c r="N725" s="1548"/>
      <c r="O725" s="1420">
        <v>855</v>
      </c>
      <c r="P725" s="1421"/>
      <c r="Q725" s="1421"/>
      <c r="R725" s="1421"/>
      <c r="S725" s="1422"/>
      <c r="T725" s="1420">
        <v>123</v>
      </c>
      <c r="U725" s="1421"/>
      <c r="V725" s="1421"/>
      <c r="W725" s="1422"/>
      <c r="X725" s="1313">
        <f t="shared" si="10"/>
        <v>978</v>
      </c>
      <c r="Y725" s="1314"/>
      <c r="Z725" s="1314"/>
      <c r="AA725" s="1314"/>
      <c r="AB725" s="1315"/>
      <c r="AC725" s="1555">
        <v>0.2</v>
      </c>
      <c r="AD725" s="1556"/>
      <c r="AE725" s="1556"/>
      <c r="AF725" s="1556"/>
      <c r="AG725" s="1557"/>
      <c r="AH725" s="1316">
        <f t="shared" si="38"/>
        <v>0.19451073985680192</v>
      </c>
      <c r="AI725" s="1317"/>
      <c r="AJ725" s="1318"/>
      <c r="AK725" s="1310" t="s">
        <v>807</v>
      </c>
      <c r="AL725" s="1311"/>
      <c r="AM725" s="1311"/>
      <c r="AN725" s="1311"/>
      <c r="AO725" s="1312"/>
      <c r="AP725" s="3"/>
      <c r="AQ725" s="3"/>
      <c r="AR725" s="3"/>
      <c r="AS725" s="3"/>
      <c r="AY725" s="855"/>
      <c r="AZ725" s="84">
        <f t="shared" si="11"/>
        <v>5028</v>
      </c>
      <c r="BA725" s="3"/>
      <c r="BB725" s="3"/>
      <c r="BC725" s="3"/>
      <c r="BD725" s="3"/>
      <c r="BE725" s="135"/>
      <c r="BF725" s="202">
        <f t="shared" si="12"/>
        <v>1</v>
      </c>
      <c r="BG725" s="205">
        <f t="shared" si="13"/>
        <v>1.282051282051282E-2</v>
      </c>
      <c r="BH725" s="206">
        <f t="shared" si="14"/>
        <v>2.5641025641025641E-3</v>
      </c>
      <c r="BI725" s="3"/>
      <c r="BJ725" s="3"/>
      <c r="BK725" s="3"/>
      <c r="BL725" s="3"/>
      <c r="BM725" s="3"/>
      <c r="BN725" s="3"/>
      <c r="BS725" s="202">
        <f t="shared" si="15"/>
        <v>1</v>
      </c>
      <c r="BT725" s="205">
        <f t="shared" si="16"/>
        <v>1.282051282051282E-2</v>
      </c>
      <c r="BU725" s="206">
        <f t="shared" si="17"/>
        <v>2.493727434061563E-3</v>
      </c>
      <c r="BV725" s="1173"/>
      <c r="BW725" s="3"/>
      <c r="BX725" s="3"/>
      <c r="BY725" s="3"/>
      <c r="BZ725" s="3"/>
      <c r="CA725" s="3"/>
      <c r="CB725" s="3"/>
      <c r="CC725" s="3"/>
      <c r="CE725" s="3"/>
      <c r="CF725" s="3"/>
      <c r="CG725" s="1296">
        <f t="shared" si="39"/>
        <v>0</v>
      </c>
      <c r="CH725" s="1298"/>
      <c r="CI725" s="1296">
        <f t="shared" si="40"/>
        <v>0</v>
      </c>
      <c r="CJ725" s="1298"/>
      <c r="CK725" s="1296">
        <f t="shared" si="18"/>
        <v>1</v>
      </c>
      <c r="CL725" s="1298"/>
      <c r="CM725" s="1296">
        <f t="shared" si="19"/>
        <v>1</v>
      </c>
      <c r="CN725" s="1298"/>
      <c r="CO725" s="3"/>
      <c r="CP725" s="1293">
        <f t="shared" si="20"/>
        <v>0</v>
      </c>
      <c r="CQ725" s="1294"/>
      <c r="CR725" s="1294"/>
      <c r="CS725" s="1294"/>
      <c r="CT725" s="1295"/>
      <c r="CU725" s="1309">
        <f t="shared" si="21"/>
        <v>0</v>
      </c>
      <c r="CV725" s="1309"/>
      <c r="CW725" s="1309"/>
      <c r="CX725" s="1309"/>
      <c r="CY725" s="1309"/>
      <c r="CZ725" s="1309">
        <f t="shared" si="22"/>
        <v>0</v>
      </c>
      <c r="DA725" s="1309"/>
      <c r="DB725" s="1309"/>
      <c r="DC725" s="1309"/>
      <c r="DD725" s="1309"/>
      <c r="DE725" s="1309">
        <f t="shared" si="23"/>
        <v>1</v>
      </c>
      <c r="DF725" s="1309"/>
      <c r="DG725" s="1309"/>
      <c r="DH725" s="1309"/>
      <c r="DI725" s="1309"/>
      <c r="DJ725" s="1309">
        <f t="shared" si="24"/>
        <v>0</v>
      </c>
      <c r="DK725" s="1309"/>
      <c r="DL725" s="1309"/>
      <c r="DM725" s="1309"/>
      <c r="DN725" s="1309"/>
      <c r="DO725" s="1309">
        <f t="shared" si="25"/>
        <v>0</v>
      </c>
      <c r="DP725" s="1309"/>
      <c r="DQ725" s="1309"/>
      <c r="DR725" s="1309"/>
      <c r="DS725" s="1309"/>
      <c r="DT725" s="256"/>
      <c r="DU725" s="1323">
        <f t="shared" si="26"/>
        <v>0</v>
      </c>
      <c r="DV725" s="1323"/>
      <c r="DW725" s="1323"/>
      <c r="DX725" s="1323"/>
      <c r="DY725" s="1323"/>
      <c r="DZ725" s="1323">
        <f t="shared" si="27"/>
        <v>0</v>
      </c>
      <c r="EA725" s="1323"/>
      <c r="EB725" s="1323"/>
      <c r="EC725" s="1323"/>
      <c r="ED725" s="1323"/>
      <c r="EE725" s="1323">
        <f t="shared" si="28"/>
        <v>0</v>
      </c>
      <c r="EF725" s="1323"/>
      <c r="EG725" s="1323"/>
      <c r="EH725" s="1323"/>
      <c r="EI725" s="1323"/>
      <c r="EJ725" s="1323">
        <f t="shared" si="29"/>
        <v>1</v>
      </c>
      <c r="EK725" s="1323"/>
      <c r="EL725" s="1323"/>
      <c r="EM725" s="1323"/>
      <c r="EN725" s="1323"/>
      <c r="EO725" s="1323">
        <f t="shared" si="30"/>
        <v>0</v>
      </c>
      <c r="EP725" s="1323"/>
      <c r="EQ725" s="1323"/>
      <c r="ER725" s="1323"/>
      <c r="ES725" s="1323"/>
      <c r="ET725" s="1323">
        <f t="shared" si="31"/>
        <v>0</v>
      </c>
      <c r="EU725" s="1323"/>
      <c r="EV725" s="1323"/>
      <c r="EW725" s="1323"/>
      <c r="EX725" s="1323"/>
      <c r="EZ725" s="1296" t="str">
        <f t="shared" si="32"/>
        <v/>
      </c>
      <c r="FA725" s="1297"/>
      <c r="FB725" s="1297"/>
      <c r="FC725" s="1297"/>
      <c r="FD725" s="1298"/>
      <c r="FE725" s="1296" t="str">
        <f t="shared" si="33"/>
        <v/>
      </c>
      <c r="FF725" s="1297"/>
      <c r="FG725" s="1297"/>
      <c r="FH725" s="1297"/>
      <c r="FI725" s="1298"/>
      <c r="FJ725" s="1296" t="str">
        <f t="shared" si="34"/>
        <v/>
      </c>
      <c r="FK725" s="1297"/>
      <c r="FL725" s="1297"/>
      <c r="FM725" s="1297"/>
      <c r="FN725" s="1298"/>
      <c r="FO725" s="1296">
        <f t="shared" si="35"/>
        <v>855</v>
      </c>
      <c r="FP725" s="1297"/>
      <c r="FQ725" s="1297"/>
      <c r="FR725" s="1297"/>
      <c r="FS725" s="1298"/>
      <c r="FT725" s="1296" t="str">
        <f t="shared" si="36"/>
        <v/>
      </c>
      <c r="FU725" s="1297"/>
      <c r="FV725" s="1297"/>
      <c r="FW725" s="1297"/>
      <c r="FX725" s="1298"/>
      <c r="FY725" s="1296" t="str">
        <f t="shared" si="37"/>
        <v/>
      </c>
      <c r="FZ725" s="1297"/>
      <c r="GA725" s="1297"/>
      <c r="GB725" s="1297"/>
      <c r="GC725" s="1298"/>
    </row>
    <row r="726" spans="1:185" ht="13" customHeight="1">
      <c r="B726" s="1310" t="s">
        <v>828</v>
      </c>
      <c r="C726" s="1311"/>
      <c r="D726" s="1311"/>
      <c r="E726" s="1311"/>
      <c r="F726" s="1312"/>
      <c r="G726" s="1319">
        <v>2</v>
      </c>
      <c r="H726" s="1320"/>
      <c r="I726" s="1320"/>
      <c r="J726" s="1321"/>
      <c r="K726" s="1546">
        <v>673</v>
      </c>
      <c r="L726" s="1547"/>
      <c r="M726" s="1547"/>
      <c r="N726" s="1548"/>
      <c r="O726" s="1420">
        <v>783</v>
      </c>
      <c r="P726" s="1421"/>
      <c r="Q726" s="1421"/>
      <c r="R726" s="1421"/>
      <c r="S726" s="1422"/>
      <c r="T726" s="1420">
        <v>71</v>
      </c>
      <c r="U726" s="1421"/>
      <c r="V726" s="1421"/>
      <c r="W726" s="1422"/>
      <c r="X726" s="1313">
        <f t="shared" si="10"/>
        <v>854</v>
      </c>
      <c r="Y726" s="1314"/>
      <c r="Z726" s="1314"/>
      <c r="AA726" s="1314"/>
      <c r="AB726" s="1315"/>
      <c r="AC726" s="1555">
        <v>0.25</v>
      </c>
      <c r="AD726" s="1556"/>
      <c r="AE726" s="1556"/>
      <c r="AF726" s="1556"/>
      <c r="AG726" s="1557"/>
      <c r="AH726" s="1316">
        <f t="shared" si="38"/>
        <v>0.23552123552123552</v>
      </c>
      <c r="AI726" s="1317"/>
      <c r="AJ726" s="1318"/>
      <c r="AK726" s="1310" t="s">
        <v>942</v>
      </c>
      <c r="AL726" s="1311"/>
      <c r="AM726" s="1311"/>
      <c r="AN726" s="1311"/>
      <c r="AO726" s="1312"/>
      <c r="AP726" s="3"/>
      <c r="AQ726" s="3"/>
      <c r="AR726" s="3"/>
      <c r="AS726" s="3"/>
      <c r="AY726" s="855"/>
      <c r="AZ726" s="84">
        <f t="shared" si="11"/>
        <v>3626</v>
      </c>
      <c r="BA726" s="3"/>
      <c r="BB726" s="3"/>
      <c r="BC726" s="3"/>
      <c r="BD726" s="3"/>
      <c r="BE726" s="135"/>
      <c r="BF726" s="202">
        <f t="shared" si="12"/>
        <v>2</v>
      </c>
      <c r="BG726" s="205">
        <f t="shared" si="13"/>
        <v>2.564102564102564E-2</v>
      </c>
      <c r="BH726" s="206">
        <f t="shared" si="14"/>
        <v>6.41025641025641E-3</v>
      </c>
      <c r="BI726" s="3"/>
      <c r="BJ726" s="3"/>
      <c r="BK726" s="3"/>
      <c r="BL726" s="3"/>
      <c r="BM726" s="3"/>
      <c r="BN726" s="3"/>
      <c r="BS726" s="202">
        <f t="shared" si="15"/>
        <v>2</v>
      </c>
      <c r="BT726" s="205">
        <f t="shared" si="16"/>
        <v>2.564102564102564E-2</v>
      </c>
      <c r="BU726" s="206">
        <f t="shared" si="17"/>
        <v>6.0390060390060393E-3</v>
      </c>
      <c r="BV726" s="3"/>
      <c r="BW726" s="3"/>
      <c r="BX726" s="3"/>
      <c r="BY726" s="3"/>
      <c r="BZ726" s="3"/>
      <c r="CA726" s="3"/>
      <c r="CB726" s="3"/>
      <c r="CC726" s="3"/>
      <c r="CE726" s="3"/>
      <c r="CF726" s="3"/>
      <c r="CG726" s="1296">
        <f t="shared" si="39"/>
        <v>0</v>
      </c>
      <c r="CH726" s="1298"/>
      <c r="CI726" s="1296">
        <f t="shared" si="40"/>
        <v>0</v>
      </c>
      <c r="CJ726" s="1298"/>
      <c r="CK726" s="1296">
        <f t="shared" si="18"/>
        <v>1</v>
      </c>
      <c r="CL726" s="1298"/>
      <c r="CM726" s="1296">
        <f t="shared" si="19"/>
        <v>2</v>
      </c>
      <c r="CN726" s="1298"/>
      <c r="CO726" s="3"/>
      <c r="CP726" s="1293">
        <f t="shared" si="20"/>
        <v>0</v>
      </c>
      <c r="CQ726" s="1294"/>
      <c r="CR726" s="1294"/>
      <c r="CS726" s="1294"/>
      <c r="CT726" s="1295"/>
      <c r="CU726" s="1309">
        <f t="shared" si="21"/>
        <v>2</v>
      </c>
      <c r="CV726" s="1309"/>
      <c r="CW726" s="1309"/>
      <c r="CX726" s="1309"/>
      <c r="CY726" s="1309"/>
      <c r="CZ726" s="1309">
        <f t="shared" si="22"/>
        <v>0</v>
      </c>
      <c r="DA726" s="1309"/>
      <c r="DB726" s="1309"/>
      <c r="DC726" s="1309"/>
      <c r="DD726" s="1309"/>
      <c r="DE726" s="1309">
        <f t="shared" si="23"/>
        <v>0</v>
      </c>
      <c r="DF726" s="1309"/>
      <c r="DG726" s="1309"/>
      <c r="DH726" s="1309"/>
      <c r="DI726" s="1309"/>
      <c r="DJ726" s="1309">
        <f t="shared" si="24"/>
        <v>0</v>
      </c>
      <c r="DK726" s="1309"/>
      <c r="DL726" s="1309"/>
      <c r="DM726" s="1309"/>
      <c r="DN726" s="1309"/>
      <c r="DO726" s="1309">
        <f t="shared" si="25"/>
        <v>0</v>
      </c>
      <c r="DP726" s="1309"/>
      <c r="DQ726" s="1309"/>
      <c r="DR726" s="1309"/>
      <c r="DS726" s="1309"/>
      <c r="DT726" s="256"/>
      <c r="DU726" s="1323">
        <f t="shared" si="26"/>
        <v>0</v>
      </c>
      <c r="DV726" s="1323"/>
      <c r="DW726" s="1323"/>
      <c r="DX726" s="1323"/>
      <c r="DY726" s="1323"/>
      <c r="DZ726" s="1323">
        <f t="shared" si="27"/>
        <v>2</v>
      </c>
      <c r="EA726" s="1323"/>
      <c r="EB726" s="1323"/>
      <c r="EC726" s="1323"/>
      <c r="ED726" s="1323"/>
      <c r="EE726" s="1323">
        <f t="shared" si="28"/>
        <v>0</v>
      </c>
      <c r="EF726" s="1323"/>
      <c r="EG726" s="1323"/>
      <c r="EH726" s="1323"/>
      <c r="EI726" s="1323"/>
      <c r="EJ726" s="1323">
        <f t="shared" si="29"/>
        <v>0</v>
      </c>
      <c r="EK726" s="1323"/>
      <c r="EL726" s="1323"/>
      <c r="EM726" s="1323"/>
      <c r="EN726" s="1323"/>
      <c r="EO726" s="1323">
        <f t="shared" si="30"/>
        <v>0</v>
      </c>
      <c r="EP726" s="1323"/>
      <c r="EQ726" s="1323"/>
      <c r="ER726" s="1323"/>
      <c r="ES726" s="1323"/>
      <c r="ET726" s="1323">
        <f t="shared" si="31"/>
        <v>0</v>
      </c>
      <c r="EU726" s="1323"/>
      <c r="EV726" s="1323"/>
      <c r="EW726" s="1323"/>
      <c r="EX726" s="1323"/>
      <c r="EY726" s="3"/>
      <c r="EZ726" s="1296" t="str">
        <f t="shared" si="32"/>
        <v/>
      </c>
      <c r="FA726" s="1297"/>
      <c r="FB726" s="1297"/>
      <c r="FC726" s="1297"/>
      <c r="FD726" s="1298"/>
      <c r="FE726" s="1296">
        <f t="shared" si="33"/>
        <v>783</v>
      </c>
      <c r="FF726" s="1297"/>
      <c r="FG726" s="1297"/>
      <c r="FH726" s="1297"/>
      <c r="FI726" s="1298"/>
      <c r="FJ726" s="1296" t="str">
        <f t="shared" si="34"/>
        <v/>
      </c>
      <c r="FK726" s="1297"/>
      <c r="FL726" s="1297"/>
      <c r="FM726" s="1297"/>
      <c r="FN726" s="1298"/>
      <c r="FO726" s="1296" t="str">
        <f t="shared" si="35"/>
        <v/>
      </c>
      <c r="FP726" s="1297"/>
      <c r="FQ726" s="1297"/>
      <c r="FR726" s="1297"/>
      <c r="FS726" s="1298"/>
      <c r="FT726" s="1296" t="str">
        <f t="shared" si="36"/>
        <v/>
      </c>
      <c r="FU726" s="1297"/>
      <c r="FV726" s="1297"/>
      <c r="FW726" s="1297"/>
      <c r="FX726" s="1298"/>
      <c r="FY726" s="1296" t="str">
        <f t="shared" si="37"/>
        <v/>
      </c>
      <c r="FZ726" s="1297"/>
      <c r="GA726" s="1297"/>
      <c r="GB726" s="1297"/>
      <c r="GC726" s="1298"/>
    </row>
    <row r="727" spans="1:185" ht="13" customHeight="1">
      <c r="A727" s="3"/>
      <c r="B727" s="1310" t="s">
        <v>828</v>
      </c>
      <c r="C727" s="1311"/>
      <c r="D727" s="1311"/>
      <c r="E727" s="1311"/>
      <c r="F727" s="1312"/>
      <c r="G727" s="1319">
        <v>2</v>
      </c>
      <c r="H727" s="1320"/>
      <c r="I727" s="1320"/>
      <c r="J727" s="1321"/>
      <c r="K727" s="1546">
        <v>673</v>
      </c>
      <c r="L727" s="1547"/>
      <c r="M727" s="1547"/>
      <c r="N727" s="1548"/>
      <c r="O727" s="1420">
        <v>783</v>
      </c>
      <c r="P727" s="1421"/>
      <c r="Q727" s="1421"/>
      <c r="R727" s="1421"/>
      <c r="S727" s="1422"/>
      <c r="T727" s="1420">
        <v>71</v>
      </c>
      <c r="U727" s="1421"/>
      <c r="V727" s="1421"/>
      <c r="W727" s="1422"/>
      <c r="X727" s="1313">
        <f t="shared" si="10"/>
        <v>854</v>
      </c>
      <c r="Y727" s="1314"/>
      <c r="Z727" s="1314"/>
      <c r="AA727" s="1314"/>
      <c r="AB727" s="1315"/>
      <c r="AC727" s="1555">
        <v>0.25</v>
      </c>
      <c r="AD727" s="1556"/>
      <c r="AE727" s="1556"/>
      <c r="AF727" s="1556"/>
      <c r="AG727" s="1557"/>
      <c r="AH727" s="1316">
        <f t="shared" si="38"/>
        <v>0.23552123552123552</v>
      </c>
      <c r="AI727" s="1317"/>
      <c r="AJ727" s="1318"/>
      <c r="AK727" s="1310" t="s">
        <v>942</v>
      </c>
      <c r="AL727" s="1311"/>
      <c r="AM727" s="1311"/>
      <c r="AN727" s="1311"/>
      <c r="AO727" s="1312"/>
      <c r="AP727" s="3"/>
      <c r="AQ727" s="3"/>
      <c r="AR727" s="3"/>
      <c r="AS727" s="3"/>
      <c r="AY727" s="855"/>
      <c r="AZ727" s="84">
        <f t="shared" si="11"/>
        <v>3626</v>
      </c>
      <c r="BA727" s="3"/>
      <c r="BB727" s="3"/>
      <c r="BC727" s="3"/>
      <c r="BD727" s="3"/>
      <c r="BE727" s="135"/>
      <c r="BF727" s="202">
        <f t="shared" si="12"/>
        <v>2</v>
      </c>
      <c r="BG727" s="205">
        <f t="shared" si="13"/>
        <v>2.564102564102564E-2</v>
      </c>
      <c r="BH727" s="206">
        <f t="shared" si="14"/>
        <v>6.41025641025641E-3</v>
      </c>
      <c r="BI727" s="3"/>
      <c r="BJ727" s="3"/>
      <c r="BK727" s="3"/>
      <c r="BL727" s="3"/>
      <c r="BM727" s="3"/>
      <c r="BN727" s="3"/>
      <c r="BS727" s="202">
        <f t="shared" si="15"/>
        <v>2</v>
      </c>
      <c r="BT727" s="205">
        <f t="shared" si="16"/>
        <v>2.564102564102564E-2</v>
      </c>
      <c r="BU727" s="206">
        <f t="shared" si="17"/>
        <v>6.0390060390060393E-3</v>
      </c>
      <c r="BV727" s="3"/>
      <c r="BW727" s="3"/>
      <c r="BX727" s="3"/>
      <c r="BY727" s="3"/>
      <c r="BZ727" s="3"/>
      <c r="CA727" s="3"/>
      <c r="CB727" s="3"/>
      <c r="CC727" s="3"/>
      <c r="CE727" s="3"/>
      <c r="CF727" s="3"/>
      <c r="CG727" s="1296">
        <f t="shared" si="39"/>
        <v>0</v>
      </c>
      <c r="CH727" s="1298"/>
      <c r="CI727" s="1296">
        <f t="shared" si="40"/>
        <v>0</v>
      </c>
      <c r="CJ727" s="1298"/>
      <c r="CK727" s="1296">
        <f t="shared" si="18"/>
        <v>1</v>
      </c>
      <c r="CL727" s="1298"/>
      <c r="CM727" s="1296">
        <f t="shared" si="19"/>
        <v>2</v>
      </c>
      <c r="CN727" s="1298"/>
      <c r="CO727" s="3"/>
      <c r="CP727" s="1293">
        <f t="shared" si="20"/>
        <v>0</v>
      </c>
      <c r="CQ727" s="1294"/>
      <c r="CR727" s="1294"/>
      <c r="CS727" s="1294"/>
      <c r="CT727" s="1295"/>
      <c r="CU727" s="1309">
        <f t="shared" si="21"/>
        <v>2</v>
      </c>
      <c r="CV727" s="1309"/>
      <c r="CW727" s="1309"/>
      <c r="CX727" s="1309"/>
      <c r="CY727" s="1309"/>
      <c r="CZ727" s="1309">
        <f t="shared" si="22"/>
        <v>0</v>
      </c>
      <c r="DA727" s="1309"/>
      <c r="DB727" s="1309"/>
      <c r="DC727" s="1309"/>
      <c r="DD727" s="1309"/>
      <c r="DE727" s="1309">
        <f t="shared" si="23"/>
        <v>0</v>
      </c>
      <c r="DF727" s="1309"/>
      <c r="DG727" s="1309"/>
      <c r="DH727" s="1309"/>
      <c r="DI727" s="1309"/>
      <c r="DJ727" s="1309">
        <f t="shared" si="24"/>
        <v>0</v>
      </c>
      <c r="DK727" s="1309"/>
      <c r="DL727" s="1309"/>
      <c r="DM727" s="1309"/>
      <c r="DN727" s="1309"/>
      <c r="DO727" s="1309">
        <f t="shared" si="25"/>
        <v>0</v>
      </c>
      <c r="DP727" s="1309"/>
      <c r="DQ727" s="1309"/>
      <c r="DR727" s="1309"/>
      <c r="DS727" s="1309"/>
      <c r="DT727" s="256"/>
      <c r="DU727" s="1323">
        <f t="shared" si="26"/>
        <v>0</v>
      </c>
      <c r="DV727" s="1323"/>
      <c r="DW727" s="1323"/>
      <c r="DX727" s="1323"/>
      <c r="DY727" s="1323"/>
      <c r="DZ727" s="1323">
        <f t="shared" si="27"/>
        <v>2</v>
      </c>
      <c r="EA727" s="1323"/>
      <c r="EB727" s="1323"/>
      <c r="EC727" s="1323"/>
      <c r="ED727" s="1323"/>
      <c r="EE727" s="1323">
        <f t="shared" si="28"/>
        <v>0</v>
      </c>
      <c r="EF727" s="1323"/>
      <c r="EG727" s="1323"/>
      <c r="EH727" s="1323"/>
      <c r="EI727" s="1323"/>
      <c r="EJ727" s="1323">
        <f t="shared" si="29"/>
        <v>0</v>
      </c>
      <c r="EK727" s="1323"/>
      <c r="EL727" s="1323"/>
      <c r="EM727" s="1323"/>
      <c r="EN727" s="1323"/>
      <c r="EO727" s="1323">
        <f t="shared" si="30"/>
        <v>0</v>
      </c>
      <c r="EP727" s="1323"/>
      <c r="EQ727" s="1323"/>
      <c r="ER727" s="1323"/>
      <c r="ES727" s="1323"/>
      <c r="ET727" s="1323">
        <f t="shared" si="31"/>
        <v>0</v>
      </c>
      <c r="EU727" s="1323"/>
      <c r="EV727" s="1323"/>
      <c r="EW727" s="1323"/>
      <c r="EX727" s="1323"/>
      <c r="EY727" s="3"/>
      <c r="EZ727" s="1296" t="str">
        <f t="shared" si="32"/>
        <v/>
      </c>
      <c r="FA727" s="1297"/>
      <c r="FB727" s="1297"/>
      <c r="FC727" s="1297"/>
      <c r="FD727" s="1298"/>
      <c r="FE727" s="1296">
        <f t="shared" si="33"/>
        <v>783</v>
      </c>
      <c r="FF727" s="1297"/>
      <c r="FG727" s="1297"/>
      <c r="FH727" s="1297"/>
      <c r="FI727" s="1298"/>
      <c r="FJ727" s="1296" t="str">
        <f t="shared" si="34"/>
        <v/>
      </c>
      <c r="FK727" s="1297"/>
      <c r="FL727" s="1297"/>
      <c r="FM727" s="1297"/>
      <c r="FN727" s="1298"/>
      <c r="FO727" s="1296" t="str">
        <f t="shared" si="35"/>
        <v/>
      </c>
      <c r="FP727" s="1297"/>
      <c r="FQ727" s="1297"/>
      <c r="FR727" s="1297"/>
      <c r="FS727" s="1298"/>
      <c r="FT727" s="1296" t="str">
        <f t="shared" si="36"/>
        <v/>
      </c>
      <c r="FU727" s="1297"/>
      <c r="FV727" s="1297"/>
      <c r="FW727" s="1297"/>
      <c r="FX727" s="1298"/>
      <c r="FY727" s="1296" t="str">
        <f t="shared" si="37"/>
        <v/>
      </c>
      <c r="FZ727" s="1297"/>
      <c r="GA727" s="1297"/>
      <c r="GB727" s="1297"/>
      <c r="GC727" s="1298"/>
    </row>
    <row r="728" spans="1:185" ht="13" customHeight="1">
      <c r="A728" s="3"/>
      <c r="B728" s="1310" t="s">
        <v>829</v>
      </c>
      <c r="C728" s="1311"/>
      <c r="D728" s="1311"/>
      <c r="E728" s="1311"/>
      <c r="F728" s="1312"/>
      <c r="G728" s="1319">
        <v>1</v>
      </c>
      <c r="H728" s="1320"/>
      <c r="I728" s="1320"/>
      <c r="J728" s="1321"/>
      <c r="K728" s="1546">
        <v>958</v>
      </c>
      <c r="L728" s="1547"/>
      <c r="M728" s="1547"/>
      <c r="N728" s="1548"/>
      <c r="O728" s="1420">
        <v>885</v>
      </c>
      <c r="P728" s="1421"/>
      <c r="Q728" s="1421"/>
      <c r="R728" s="1421"/>
      <c r="S728" s="1422"/>
      <c r="T728" s="1420">
        <v>98</v>
      </c>
      <c r="U728" s="1421"/>
      <c r="V728" s="1421"/>
      <c r="W728" s="1422"/>
      <c r="X728" s="1313">
        <f t="shared" si="10"/>
        <v>983</v>
      </c>
      <c r="Y728" s="1314"/>
      <c r="Z728" s="1314"/>
      <c r="AA728" s="1314"/>
      <c r="AB728" s="1315"/>
      <c r="AC728" s="1555">
        <v>0.25</v>
      </c>
      <c r="AD728" s="1556"/>
      <c r="AE728" s="1556"/>
      <c r="AF728" s="1556"/>
      <c r="AG728" s="1557"/>
      <c r="AH728" s="1316">
        <f t="shared" si="38"/>
        <v>0.22587316176470587</v>
      </c>
      <c r="AI728" s="1317"/>
      <c r="AJ728" s="1318"/>
      <c r="AK728" s="1310" t="s">
        <v>942</v>
      </c>
      <c r="AL728" s="1311"/>
      <c r="AM728" s="1311"/>
      <c r="AN728" s="1311"/>
      <c r="AO728" s="1312"/>
      <c r="AP728" s="3"/>
      <c r="AQ728" s="3"/>
      <c r="AR728" s="3"/>
      <c r="AS728" s="3"/>
      <c r="AY728" s="855"/>
      <c r="AZ728" s="84">
        <f t="shared" si="11"/>
        <v>4352</v>
      </c>
      <c r="BA728" s="3"/>
      <c r="BB728" s="3"/>
      <c r="BC728" s="3"/>
      <c r="BD728" s="3"/>
      <c r="BE728" s="135"/>
      <c r="BF728" s="202">
        <f t="shared" si="12"/>
        <v>1</v>
      </c>
      <c r="BG728" s="205">
        <f t="shared" si="13"/>
        <v>1.282051282051282E-2</v>
      </c>
      <c r="BH728" s="206">
        <f t="shared" si="14"/>
        <v>3.205128205128205E-3</v>
      </c>
      <c r="BI728" s="3"/>
      <c r="BJ728" s="3"/>
      <c r="BK728" s="3"/>
      <c r="BL728" s="3"/>
      <c r="BM728" s="3"/>
      <c r="BN728" s="3"/>
      <c r="BS728" s="202">
        <f t="shared" si="15"/>
        <v>1</v>
      </c>
      <c r="BT728" s="205">
        <f t="shared" si="16"/>
        <v>1.282051282051282E-2</v>
      </c>
      <c r="BU728" s="206">
        <f t="shared" si="17"/>
        <v>2.8958097662141777E-3</v>
      </c>
      <c r="BV728" s="3"/>
      <c r="BW728" s="3"/>
      <c r="BX728" s="3"/>
      <c r="BY728" s="3"/>
      <c r="BZ728" s="3"/>
      <c r="CA728" s="3"/>
      <c r="CB728" s="3"/>
      <c r="CC728" s="3"/>
      <c r="CE728" s="3"/>
      <c r="CF728" s="3"/>
      <c r="CG728" s="1296">
        <f t="shared" si="39"/>
        <v>0</v>
      </c>
      <c r="CH728" s="1298"/>
      <c r="CI728" s="1296">
        <f t="shared" si="40"/>
        <v>0</v>
      </c>
      <c r="CJ728" s="1298"/>
      <c r="CK728" s="1296">
        <f t="shared" si="18"/>
        <v>1</v>
      </c>
      <c r="CL728" s="1298"/>
      <c r="CM728" s="1296">
        <f t="shared" si="19"/>
        <v>1</v>
      </c>
      <c r="CN728" s="1298"/>
      <c r="CO728" s="3"/>
      <c r="CP728" s="1293">
        <f t="shared" si="20"/>
        <v>0</v>
      </c>
      <c r="CQ728" s="1294"/>
      <c r="CR728" s="1294"/>
      <c r="CS728" s="1294"/>
      <c r="CT728" s="1295"/>
      <c r="CU728" s="1309">
        <f t="shared" si="21"/>
        <v>0</v>
      </c>
      <c r="CV728" s="1309"/>
      <c r="CW728" s="1309"/>
      <c r="CX728" s="1309"/>
      <c r="CY728" s="1309"/>
      <c r="CZ728" s="1309">
        <f t="shared" si="22"/>
        <v>1</v>
      </c>
      <c r="DA728" s="1309"/>
      <c r="DB728" s="1309"/>
      <c r="DC728" s="1309"/>
      <c r="DD728" s="1309"/>
      <c r="DE728" s="1309">
        <f t="shared" si="23"/>
        <v>0</v>
      </c>
      <c r="DF728" s="1309"/>
      <c r="DG728" s="1309"/>
      <c r="DH728" s="1309"/>
      <c r="DI728" s="1309"/>
      <c r="DJ728" s="1309">
        <f t="shared" si="24"/>
        <v>0</v>
      </c>
      <c r="DK728" s="1309"/>
      <c r="DL728" s="1309"/>
      <c r="DM728" s="1309"/>
      <c r="DN728" s="1309"/>
      <c r="DO728" s="1309">
        <f t="shared" si="25"/>
        <v>0</v>
      </c>
      <c r="DP728" s="1309"/>
      <c r="DQ728" s="1309"/>
      <c r="DR728" s="1309"/>
      <c r="DS728" s="1309"/>
      <c r="DT728" s="256"/>
      <c r="DU728" s="1323">
        <f t="shared" si="26"/>
        <v>0</v>
      </c>
      <c r="DV728" s="1323"/>
      <c r="DW728" s="1323"/>
      <c r="DX728" s="1323"/>
      <c r="DY728" s="1323"/>
      <c r="DZ728" s="1323">
        <f t="shared" si="27"/>
        <v>0</v>
      </c>
      <c r="EA728" s="1323"/>
      <c r="EB728" s="1323"/>
      <c r="EC728" s="1323"/>
      <c r="ED728" s="1323"/>
      <c r="EE728" s="1323">
        <f t="shared" si="28"/>
        <v>1</v>
      </c>
      <c r="EF728" s="1323"/>
      <c r="EG728" s="1323"/>
      <c r="EH728" s="1323"/>
      <c r="EI728" s="1323"/>
      <c r="EJ728" s="1323">
        <f t="shared" si="29"/>
        <v>0</v>
      </c>
      <c r="EK728" s="1323"/>
      <c r="EL728" s="1323"/>
      <c r="EM728" s="1323"/>
      <c r="EN728" s="1323"/>
      <c r="EO728" s="1323">
        <f t="shared" si="30"/>
        <v>0</v>
      </c>
      <c r="EP728" s="1323"/>
      <c r="EQ728" s="1323"/>
      <c r="ER728" s="1323"/>
      <c r="ES728" s="1323"/>
      <c r="ET728" s="1323">
        <f t="shared" si="31"/>
        <v>0</v>
      </c>
      <c r="EU728" s="1323"/>
      <c r="EV728" s="1323"/>
      <c r="EW728" s="1323"/>
      <c r="EX728" s="1323"/>
      <c r="EY728" s="3"/>
      <c r="EZ728" s="1296" t="str">
        <f t="shared" si="32"/>
        <v/>
      </c>
      <c r="FA728" s="1297"/>
      <c r="FB728" s="1297"/>
      <c r="FC728" s="1297"/>
      <c r="FD728" s="1298"/>
      <c r="FE728" s="1296" t="str">
        <f t="shared" si="33"/>
        <v/>
      </c>
      <c r="FF728" s="1297"/>
      <c r="FG728" s="1297"/>
      <c r="FH728" s="1297"/>
      <c r="FI728" s="1298"/>
      <c r="FJ728" s="1296">
        <f t="shared" si="34"/>
        <v>885</v>
      </c>
      <c r="FK728" s="1297"/>
      <c r="FL728" s="1297"/>
      <c r="FM728" s="1297"/>
      <c r="FN728" s="1298"/>
      <c r="FO728" s="1296" t="str">
        <f t="shared" si="35"/>
        <v/>
      </c>
      <c r="FP728" s="1297"/>
      <c r="FQ728" s="1297"/>
      <c r="FR728" s="1297"/>
      <c r="FS728" s="1298"/>
      <c r="FT728" s="1296" t="str">
        <f t="shared" si="36"/>
        <v/>
      </c>
      <c r="FU728" s="1297"/>
      <c r="FV728" s="1297"/>
      <c r="FW728" s="1297"/>
      <c r="FX728" s="1298"/>
      <c r="FY728" s="1296" t="str">
        <f t="shared" si="37"/>
        <v/>
      </c>
      <c r="FZ728" s="1297"/>
      <c r="GA728" s="1297"/>
      <c r="GB728" s="1297"/>
      <c r="GC728" s="1298"/>
    </row>
    <row r="729" spans="1:185" ht="13" customHeight="1">
      <c r="A729" s="3"/>
      <c r="B729" s="1310" t="s">
        <v>829</v>
      </c>
      <c r="C729" s="1311"/>
      <c r="D729" s="1311"/>
      <c r="E729" s="1311"/>
      <c r="F729" s="1312"/>
      <c r="G729" s="1319">
        <v>5</v>
      </c>
      <c r="H729" s="1320"/>
      <c r="I729" s="1320"/>
      <c r="J729" s="1321"/>
      <c r="K729" s="1546">
        <v>958</v>
      </c>
      <c r="L729" s="1547"/>
      <c r="M729" s="1547"/>
      <c r="N729" s="1548"/>
      <c r="O729" s="1420">
        <f>+O728</f>
        <v>885</v>
      </c>
      <c r="P729" s="1421"/>
      <c r="Q729" s="1421"/>
      <c r="R729" s="1421"/>
      <c r="S729" s="1422"/>
      <c r="T729" s="1420">
        <v>98</v>
      </c>
      <c r="U729" s="1421"/>
      <c r="V729" s="1421"/>
      <c r="W729" s="1422"/>
      <c r="X729" s="1313">
        <f t="shared" si="10"/>
        <v>983</v>
      </c>
      <c r="Y729" s="1314"/>
      <c r="Z729" s="1314"/>
      <c r="AA729" s="1314"/>
      <c r="AB729" s="1315"/>
      <c r="AC729" s="1555">
        <v>0.25</v>
      </c>
      <c r="AD729" s="1556"/>
      <c r="AE729" s="1556"/>
      <c r="AF729" s="1556"/>
      <c r="AG729" s="1557"/>
      <c r="AH729" s="1316">
        <f t="shared" si="38"/>
        <v>0.22587316176470587</v>
      </c>
      <c r="AI729" s="1317"/>
      <c r="AJ729" s="1318"/>
      <c r="AK729" s="1310" t="s">
        <v>807</v>
      </c>
      <c r="AL729" s="1311"/>
      <c r="AM729" s="1311"/>
      <c r="AN729" s="1311"/>
      <c r="AO729" s="1312"/>
      <c r="AP729" s="3"/>
      <c r="AQ729" s="3"/>
      <c r="AR729" s="3"/>
      <c r="AS729" s="3"/>
      <c r="AY729" s="855"/>
      <c r="AZ729" s="84">
        <f t="shared" si="11"/>
        <v>4352</v>
      </c>
      <c r="BA729" s="3"/>
      <c r="BB729" s="3"/>
      <c r="BC729" s="3"/>
      <c r="BD729" s="3"/>
      <c r="BE729" s="135"/>
      <c r="BF729" s="202">
        <f t="shared" si="12"/>
        <v>5</v>
      </c>
      <c r="BG729" s="205">
        <f t="shared" si="13"/>
        <v>6.4102564102564097E-2</v>
      </c>
      <c r="BH729" s="206">
        <f t="shared" si="14"/>
        <v>1.6025641025641024E-2</v>
      </c>
      <c r="BI729" s="3"/>
      <c r="BJ729" s="3"/>
      <c r="BK729" s="3"/>
      <c r="BL729" s="3"/>
      <c r="BM729" s="3"/>
      <c r="BN729" s="3"/>
      <c r="BS729" s="202">
        <f t="shared" si="15"/>
        <v>5</v>
      </c>
      <c r="BT729" s="205">
        <f t="shared" si="16"/>
        <v>6.4102564102564097E-2</v>
      </c>
      <c r="BU729" s="206">
        <f t="shared" si="17"/>
        <v>1.4479048831070887E-2</v>
      </c>
      <c r="BV729" s="3"/>
      <c r="BW729" s="3"/>
      <c r="BX729" s="3"/>
      <c r="BY729" s="3"/>
      <c r="BZ729" s="3"/>
      <c r="CA729" s="3"/>
      <c r="CB729" s="3"/>
      <c r="CC729" s="3"/>
      <c r="CE729" s="3"/>
      <c r="CF729" s="3"/>
      <c r="CG729" s="1296">
        <f t="shared" si="39"/>
        <v>0</v>
      </c>
      <c r="CH729" s="1298"/>
      <c r="CI729" s="1296">
        <f t="shared" si="40"/>
        <v>0</v>
      </c>
      <c r="CJ729" s="1298"/>
      <c r="CK729" s="1296">
        <f t="shared" si="18"/>
        <v>1</v>
      </c>
      <c r="CL729" s="1298"/>
      <c r="CM729" s="1296">
        <f t="shared" si="19"/>
        <v>5</v>
      </c>
      <c r="CN729" s="1298"/>
      <c r="CO729" s="3"/>
      <c r="CP729" s="1293">
        <f t="shared" si="20"/>
        <v>0</v>
      </c>
      <c r="CQ729" s="1294"/>
      <c r="CR729" s="1294"/>
      <c r="CS729" s="1294"/>
      <c r="CT729" s="1295"/>
      <c r="CU729" s="1309">
        <f t="shared" si="21"/>
        <v>0</v>
      </c>
      <c r="CV729" s="1309"/>
      <c r="CW729" s="1309"/>
      <c r="CX729" s="1309"/>
      <c r="CY729" s="1309"/>
      <c r="CZ729" s="1309">
        <f t="shared" si="22"/>
        <v>5</v>
      </c>
      <c r="DA729" s="1309"/>
      <c r="DB729" s="1309"/>
      <c r="DC729" s="1309"/>
      <c r="DD729" s="1309"/>
      <c r="DE729" s="1309">
        <f t="shared" si="23"/>
        <v>0</v>
      </c>
      <c r="DF729" s="1309"/>
      <c r="DG729" s="1309"/>
      <c r="DH729" s="1309"/>
      <c r="DI729" s="1309"/>
      <c r="DJ729" s="1309">
        <f t="shared" si="24"/>
        <v>0</v>
      </c>
      <c r="DK729" s="1309"/>
      <c r="DL729" s="1309"/>
      <c r="DM729" s="1309"/>
      <c r="DN729" s="1309"/>
      <c r="DO729" s="1309">
        <f t="shared" si="25"/>
        <v>0</v>
      </c>
      <c r="DP729" s="1309"/>
      <c r="DQ729" s="1309"/>
      <c r="DR729" s="1309"/>
      <c r="DS729" s="1309"/>
      <c r="DT729" s="256"/>
      <c r="DU729" s="1323">
        <f t="shared" si="26"/>
        <v>0</v>
      </c>
      <c r="DV729" s="1323"/>
      <c r="DW729" s="1323"/>
      <c r="DX729" s="1323"/>
      <c r="DY729" s="1323"/>
      <c r="DZ729" s="1323">
        <f t="shared" si="27"/>
        <v>0</v>
      </c>
      <c r="EA729" s="1323"/>
      <c r="EB729" s="1323"/>
      <c r="EC729" s="1323"/>
      <c r="ED729" s="1323"/>
      <c r="EE729" s="1323">
        <f t="shared" si="28"/>
        <v>5</v>
      </c>
      <c r="EF729" s="1323"/>
      <c r="EG729" s="1323"/>
      <c r="EH729" s="1323"/>
      <c r="EI729" s="1323"/>
      <c r="EJ729" s="1323">
        <f t="shared" si="29"/>
        <v>0</v>
      </c>
      <c r="EK729" s="1323"/>
      <c r="EL729" s="1323"/>
      <c r="EM729" s="1323"/>
      <c r="EN729" s="1323"/>
      <c r="EO729" s="1323">
        <f t="shared" si="30"/>
        <v>0</v>
      </c>
      <c r="EP729" s="1323"/>
      <c r="EQ729" s="1323"/>
      <c r="ER729" s="1323"/>
      <c r="ES729" s="1323"/>
      <c r="ET729" s="1323">
        <f t="shared" si="31"/>
        <v>0</v>
      </c>
      <c r="EU729" s="1323"/>
      <c r="EV729" s="1323"/>
      <c r="EW729" s="1323"/>
      <c r="EX729" s="1323"/>
      <c r="EZ729" s="1296" t="str">
        <f t="shared" si="32"/>
        <v/>
      </c>
      <c r="FA729" s="1297"/>
      <c r="FB729" s="1297"/>
      <c r="FC729" s="1297"/>
      <c r="FD729" s="1298"/>
      <c r="FE729" s="1296" t="str">
        <f t="shared" si="33"/>
        <v/>
      </c>
      <c r="FF729" s="1297"/>
      <c r="FG729" s="1297"/>
      <c r="FH729" s="1297"/>
      <c r="FI729" s="1298"/>
      <c r="FJ729" s="1296">
        <f t="shared" si="34"/>
        <v>885</v>
      </c>
      <c r="FK729" s="1297"/>
      <c r="FL729" s="1297"/>
      <c r="FM729" s="1297"/>
      <c r="FN729" s="1298"/>
      <c r="FO729" s="1296" t="str">
        <f t="shared" si="35"/>
        <v/>
      </c>
      <c r="FP729" s="1297"/>
      <c r="FQ729" s="1297"/>
      <c r="FR729" s="1297"/>
      <c r="FS729" s="1298"/>
      <c r="FT729" s="1296" t="str">
        <f t="shared" si="36"/>
        <v/>
      </c>
      <c r="FU729" s="1297"/>
      <c r="FV729" s="1297"/>
      <c r="FW729" s="1297"/>
      <c r="FX729" s="1298"/>
      <c r="FY729" s="1296" t="str">
        <f t="shared" si="37"/>
        <v/>
      </c>
      <c r="FZ729" s="1297"/>
      <c r="GA729" s="1297"/>
      <c r="GB729" s="1297"/>
      <c r="GC729" s="1298"/>
    </row>
    <row r="730" spans="1:185" ht="13" customHeight="1">
      <c r="B730" s="1310" t="s">
        <v>829</v>
      </c>
      <c r="C730" s="1311"/>
      <c r="D730" s="1311"/>
      <c r="E730" s="1311"/>
      <c r="F730" s="1312"/>
      <c r="G730" s="1319">
        <v>3</v>
      </c>
      <c r="H730" s="1320"/>
      <c r="I730" s="1320"/>
      <c r="J730" s="1321"/>
      <c r="K730" s="1546">
        <v>958</v>
      </c>
      <c r="L730" s="1547"/>
      <c r="M730" s="1547"/>
      <c r="N730" s="1548"/>
      <c r="O730" s="1420">
        <f>+O729</f>
        <v>885</v>
      </c>
      <c r="P730" s="1421"/>
      <c r="Q730" s="1421"/>
      <c r="R730" s="1421"/>
      <c r="S730" s="1422"/>
      <c r="T730" s="1420">
        <v>98</v>
      </c>
      <c r="U730" s="1421"/>
      <c r="V730" s="1421"/>
      <c r="W730" s="1422"/>
      <c r="X730" s="1313">
        <f t="shared" si="10"/>
        <v>983</v>
      </c>
      <c r="Y730" s="1314"/>
      <c r="Z730" s="1314"/>
      <c r="AA730" s="1314"/>
      <c r="AB730" s="1315"/>
      <c r="AC730" s="1555">
        <v>0.25</v>
      </c>
      <c r="AD730" s="1556"/>
      <c r="AE730" s="1556"/>
      <c r="AF730" s="1556"/>
      <c r="AG730" s="1557"/>
      <c r="AH730" s="1316">
        <f t="shared" si="38"/>
        <v>0.22587316176470587</v>
      </c>
      <c r="AI730" s="1317"/>
      <c r="AJ730" s="1318"/>
      <c r="AK730" s="1310" t="s">
        <v>807</v>
      </c>
      <c r="AL730" s="1311"/>
      <c r="AM730" s="1311"/>
      <c r="AN730" s="1311"/>
      <c r="AO730" s="1312"/>
      <c r="AP730" s="3"/>
      <c r="AQ730" s="3"/>
      <c r="AR730" s="3"/>
      <c r="AS730" s="3"/>
      <c r="AY730" s="855"/>
      <c r="AZ730" s="84">
        <f t="shared" si="11"/>
        <v>4352</v>
      </c>
      <c r="BA730" s="3"/>
      <c r="BB730" s="3"/>
      <c r="BC730" s="3"/>
      <c r="BD730" s="3"/>
      <c r="BE730" s="135"/>
      <c r="BF730" s="202">
        <f t="shared" si="12"/>
        <v>3</v>
      </c>
      <c r="BG730" s="205">
        <f t="shared" si="13"/>
        <v>3.8461538461538464E-2</v>
      </c>
      <c r="BH730" s="206">
        <f t="shared" si="14"/>
        <v>9.6153846153846159E-3</v>
      </c>
      <c r="BI730" s="3"/>
      <c r="BJ730" s="3"/>
      <c r="BK730" s="3"/>
      <c r="BL730" s="3"/>
      <c r="BM730" s="3"/>
      <c r="BN730" s="3"/>
      <c r="BS730" s="202">
        <f t="shared" si="15"/>
        <v>3</v>
      </c>
      <c r="BT730" s="205">
        <f t="shared" si="16"/>
        <v>3.8461538461538464E-2</v>
      </c>
      <c r="BU730" s="206">
        <f t="shared" si="17"/>
        <v>8.6874292986425343E-3</v>
      </c>
      <c r="BV730" s="3"/>
      <c r="BW730" s="3"/>
      <c r="BX730" s="3"/>
      <c r="BY730" s="3"/>
      <c r="BZ730" s="3"/>
      <c r="CA730" s="3"/>
      <c r="CB730" s="3"/>
      <c r="CC730" s="3"/>
      <c r="CE730" s="3"/>
      <c r="CF730" s="3"/>
      <c r="CG730" s="1296">
        <f t="shared" si="39"/>
        <v>0</v>
      </c>
      <c r="CH730" s="1298"/>
      <c r="CI730" s="1296">
        <f t="shared" si="40"/>
        <v>0</v>
      </c>
      <c r="CJ730" s="1298"/>
      <c r="CK730" s="1296">
        <f t="shared" si="18"/>
        <v>1</v>
      </c>
      <c r="CL730" s="1298"/>
      <c r="CM730" s="1296">
        <f t="shared" si="19"/>
        <v>3</v>
      </c>
      <c r="CN730" s="1298"/>
      <c r="CO730" s="3"/>
      <c r="CP730" s="1293">
        <f t="shared" si="20"/>
        <v>0</v>
      </c>
      <c r="CQ730" s="1294"/>
      <c r="CR730" s="1294"/>
      <c r="CS730" s="1294"/>
      <c r="CT730" s="1295"/>
      <c r="CU730" s="1309">
        <f t="shared" si="21"/>
        <v>0</v>
      </c>
      <c r="CV730" s="1309"/>
      <c r="CW730" s="1309"/>
      <c r="CX730" s="1309"/>
      <c r="CY730" s="1309"/>
      <c r="CZ730" s="1309">
        <f t="shared" si="22"/>
        <v>3</v>
      </c>
      <c r="DA730" s="1309"/>
      <c r="DB730" s="1309"/>
      <c r="DC730" s="1309"/>
      <c r="DD730" s="1309"/>
      <c r="DE730" s="1309">
        <f t="shared" si="23"/>
        <v>0</v>
      </c>
      <c r="DF730" s="1309"/>
      <c r="DG730" s="1309"/>
      <c r="DH730" s="1309"/>
      <c r="DI730" s="1309"/>
      <c r="DJ730" s="1309">
        <f t="shared" si="24"/>
        <v>0</v>
      </c>
      <c r="DK730" s="1309"/>
      <c r="DL730" s="1309"/>
      <c r="DM730" s="1309"/>
      <c r="DN730" s="1309"/>
      <c r="DO730" s="1309">
        <f t="shared" si="25"/>
        <v>0</v>
      </c>
      <c r="DP730" s="1309"/>
      <c r="DQ730" s="1309"/>
      <c r="DR730" s="1309"/>
      <c r="DS730" s="1309"/>
      <c r="DT730" s="256"/>
      <c r="DU730" s="1323">
        <f t="shared" si="26"/>
        <v>0</v>
      </c>
      <c r="DV730" s="1323"/>
      <c r="DW730" s="1323"/>
      <c r="DX730" s="1323"/>
      <c r="DY730" s="1323"/>
      <c r="DZ730" s="1323">
        <f t="shared" si="27"/>
        <v>0</v>
      </c>
      <c r="EA730" s="1323"/>
      <c r="EB730" s="1323"/>
      <c r="EC730" s="1323"/>
      <c r="ED730" s="1323"/>
      <c r="EE730" s="1323">
        <f t="shared" si="28"/>
        <v>3</v>
      </c>
      <c r="EF730" s="1323"/>
      <c r="EG730" s="1323"/>
      <c r="EH730" s="1323"/>
      <c r="EI730" s="1323"/>
      <c r="EJ730" s="1323">
        <f t="shared" si="29"/>
        <v>0</v>
      </c>
      <c r="EK730" s="1323"/>
      <c r="EL730" s="1323"/>
      <c r="EM730" s="1323"/>
      <c r="EN730" s="1323"/>
      <c r="EO730" s="1323">
        <f t="shared" si="30"/>
        <v>0</v>
      </c>
      <c r="EP730" s="1323"/>
      <c r="EQ730" s="1323"/>
      <c r="ER730" s="1323"/>
      <c r="ES730" s="1323"/>
      <c r="ET730" s="1323">
        <f t="shared" si="31"/>
        <v>0</v>
      </c>
      <c r="EU730" s="1323"/>
      <c r="EV730" s="1323"/>
      <c r="EW730" s="1323"/>
      <c r="EX730" s="1323"/>
      <c r="EZ730" s="1296" t="str">
        <f t="shared" si="32"/>
        <v/>
      </c>
      <c r="FA730" s="1297"/>
      <c r="FB730" s="1297"/>
      <c r="FC730" s="1297"/>
      <c r="FD730" s="1298"/>
      <c r="FE730" s="1296" t="str">
        <f t="shared" si="33"/>
        <v/>
      </c>
      <c r="FF730" s="1297"/>
      <c r="FG730" s="1297"/>
      <c r="FH730" s="1297"/>
      <c r="FI730" s="1298"/>
      <c r="FJ730" s="1296">
        <f t="shared" si="34"/>
        <v>885</v>
      </c>
      <c r="FK730" s="1297"/>
      <c r="FL730" s="1297"/>
      <c r="FM730" s="1297"/>
      <c r="FN730" s="1298"/>
      <c r="FO730" s="1296" t="str">
        <f t="shared" si="35"/>
        <v/>
      </c>
      <c r="FP730" s="1297"/>
      <c r="FQ730" s="1297"/>
      <c r="FR730" s="1297"/>
      <c r="FS730" s="1298"/>
      <c r="FT730" s="1296" t="str">
        <f t="shared" si="36"/>
        <v/>
      </c>
      <c r="FU730" s="1297"/>
      <c r="FV730" s="1297"/>
      <c r="FW730" s="1297"/>
      <c r="FX730" s="1298"/>
      <c r="FY730" s="1296" t="str">
        <f t="shared" si="37"/>
        <v/>
      </c>
      <c r="FZ730" s="1297"/>
      <c r="GA730" s="1297"/>
      <c r="GB730" s="1297"/>
      <c r="GC730" s="1298"/>
    </row>
    <row r="731" spans="1:185" ht="13" customHeight="1">
      <c r="B731" s="1310" t="s">
        <v>830</v>
      </c>
      <c r="C731" s="1311"/>
      <c r="D731" s="1311"/>
      <c r="E731" s="1311"/>
      <c r="F731" s="1312"/>
      <c r="G731" s="1319">
        <v>3</v>
      </c>
      <c r="H731" s="1320"/>
      <c r="I731" s="1320"/>
      <c r="J731" s="1321"/>
      <c r="K731" s="1546">
        <v>1047</v>
      </c>
      <c r="L731" s="1547"/>
      <c r="M731" s="1547"/>
      <c r="N731" s="1548"/>
      <c r="O731" s="1420">
        <v>779</v>
      </c>
      <c r="P731" s="1421"/>
      <c r="Q731" s="1421"/>
      <c r="R731" s="1421"/>
      <c r="S731" s="1422"/>
      <c r="T731" s="1420">
        <v>123</v>
      </c>
      <c r="U731" s="1421"/>
      <c r="V731" s="1421"/>
      <c r="W731" s="1422"/>
      <c r="X731" s="1313">
        <f t="shared" si="10"/>
        <v>902</v>
      </c>
      <c r="Y731" s="1314"/>
      <c r="Z731" s="1314"/>
      <c r="AA731" s="1314"/>
      <c r="AB731" s="1315"/>
      <c r="AC731" s="1555">
        <v>0.25</v>
      </c>
      <c r="AD731" s="1556"/>
      <c r="AE731" s="1556"/>
      <c r="AF731" s="1556"/>
      <c r="AG731" s="1557"/>
      <c r="AH731" s="1316">
        <f t="shared" si="38"/>
        <v>0.17939538583929993</v>
      </c>
      <c r="AI731" s="1317"/>
      <c r="AJ731" s="1318"/>
      <c r="AK731" s="1310" t="s">
        <v>807</v>
      </c>
      <c r="AL731" s="1311"/>
      <c r="AM731" s="1311"/>
      <c r="AN731" s="1311"/>
      <c r="AO731" s="1312"/>
      <c r="AP731" s="3"/>
      <c r="AQ731" s="3"/>
      <c r="AR731" s="3"/>
      <c r="AS731" s="3"/>
      <c r="AY731" s="855"/>
      <c r="AZ731" s="84">
        <f t="shared" si="11"/>
        <v>5028</v>
      </c>
      <c r="BA731" s="3"/>
      <c r="BB731" s="3"/>
      <c r="BC731" s="3"/>
      <c r="BD731" s="3"/>
      <c r="BE731" s="135"/>
      <c r="BF731" s="202">
        <f t="shared" si="12"/>
        <v>3</v>
      </c>
      <c r="BG731" s="205">
        <f t="shared" si="13"/>
        <v>3.8461538461538464E-2</v>
      </c>
      <c r="BH731" s="206">
        <f t="shared" si="14"/>
        <v>9.6153846153846159E-3</v>
      </c>
      <c r="BI731" s="3"/>
      <c r="BJ731" s="3"/>
      <c r="BK731" s="3"/>
      <c r="BL731" s="3"/>
      <c r="BM731" s="3"/>
      <c r="BN731" s="3"/>
      <c r="BS731" s="202">
        <f t="shared" si="15"/>
        <v>3</v>
      </c>
      <c r="BT731" s="205">
        <f t="shared" si="16"/>
        <v>3.8461538461538464E-2</v>
      </c>
      <c r="BU731" s="206">
        <f t="shared" si="17"/>
        <v>6.8998225322807671E-3</v>
      </c>
      <c r="BV731" s="3"/>
      <c r="BW731" s="3"/>
      <c r="BX731" s="3"/>
      <c r="BY731" s="3"/>
      <c r="BZ731" s="3"/>
      <c r="CA731" s="3"/>
      <c r="CB731" s="3"/>
      <c r="CC731" s="3"/>
      <c r="CE731" s="3"/>
      <c r="CF731" s="3"/>
      <c r="CG731" s="1296">
        <f t="shared" si="39"/>
        <v>0</v>
      </c>
      <c r="CH731" s="1298"/>
      <c r="CI731" s="1296">
        <f t="shared" si="40"/>
        <v>0</v>
      </c>
      <c r="CJ731" s="1298"/>
      <c r="CK731" s="1296">
        <f t="shared" si="18"/>
        <v>1</v>
      </c>
      <c r="CL731" s="1298"/>
      <c r="CM731" s="1296">
        <f t="shared" si="19"/>
        <v>3</v>
      </c>
      <c r="CN731" s="1298"/>
      <c r="CO731" s="3"/>
      <c r="CP731" s="1293">
        <f t="shared" si="20"/>
        <v>0</v>
      </c>
      <c r="CQ731" s="1294"/>
      <c r="CR731" s="1294"/>
      <c r="CS731" s="1294"/>
      <c r="CT731" s="1295"/>
      <c r="CU731" s="1309">
        <f t="shared" si="21"/>
        <v>0</v>
      </c>
      <c r="CV731" s="1309"/>
      <c r="CW731" s="1309"/>
      <c r="CX731" s="1309"/>
      <c r="CY731" s="1309"/>
      <c r="CZ731" s="1309">
        <f t="shared" si="22"/>
        <v>0</v>
      </c>
      <c r="DA731" s="1309"/>
      <c r="DB731" s="1309"/>
      <c r="DC731" s="1309"/>
      <c r="DD731" s="1309"/>
      <c r="DE731" s="1309">
        <f t="shared" si="23"/>
        <v>3</v>
      </c>
      <c r="DF731" s="1309"/>
      <c r="DG731" s="1309"/>
      <c r="DH731" s="1309"/>
      <c r="DI731" s="1309"/>
      <c r="DJ731" s="1309">
        <f t="shared" si="24"/>
        <v>0</v>
      </c>
      <c r="DK731" s="1309"/>
      <c r="DL731" s="1309"/>
      <c r="DM731" s="1309"/>
      <c r="DN731" s="1309"/>
      <c r="DO731" s="1309">
        <f t="shared" si="25"/>
        <v>0</v>
      </c>
      <c r="DP731" s="1309"/>
      <c r="DQ731" s="1309"/>
      <c r="DR731" s="1309"/>
      <c r="DS731" s="1309"/>
      <c r="DT731" s="256"/>
      <c r="DU731" s="1323">
        <f t="shared" si="26"/>
        <v>0</v>
      </c>
      <c r="DV731" s="1323"/>
      <c r="DW731" s="1323"/>
      <c r="DX731" s="1323"/>
      <c r="DY731" s="1323"/>
      <c r="DZ731" s="1323">
        <f t="shared" si="27"/>
        <v>0</v>
      </c>
      <c r="EA731" s="1323"/>
      <c r="EB731" s="1323"/>
      <c r="EC731" s="1323"/>
      <c r="ED731" s="1323"/>
      <c r="EE731" s="1323">
        <f t="shared" si="28"/>
        <v>0</v>
      </c>
      <c r="EF731" s="1323"/>
      <c r="EG731" s="1323"/>
      <c r="EH731" s="1323"/>
      <c r="EI731" s="1323"/>
      <c r="EJ731" s="1323">
        <f t="shared" si="29"/>
        <v>3</v>
      </c>
      <c r="EK731" s="1323"/>
      <c r="EL731" s="1323"/>
      <c r="EM731" s="1323"/>
      <c r="EN731" s="1323"/>
      <c r="EO731" s="1323">
        <f t="shared" si="30"/>
        <v>0</v>
      </c>
      <c r="EP731" s="1323"/>
      <c r="EQ731" s="1323"/>
      <c r="ER731" s="1323"/>
      <c r="ES731" s="1323"/>
      <c r="ET731" s="1323">
        <f t="shared" si="31"/>
        <v>0</v>
      </c>
      <c r="EU731" s="1323"/>
      <c r="EV731" s="1323"/>
      <c r="EW731" s="1323"/>
      <c r="EX731" s="1323"/>
      <c r="EZ731" s="1296" t="str">
        <f t="shared" si="32"/>
        <v/>
      </c>
      <c r="FA731" s="1297"/>
      <c r="FB731" s="1297"/>
      <c r="FC731" s="1297"/>
      <c r="FD731" s="1298"/>
      <c r="FE731" s="1296" t="str">
        <f t="shared" si="33"/>
        <v/>
      </c>
      <c r="FF731" s="1297"/>
      <c r="FG731" s="1297"/>
      <c r="FH731" s="1297"/>
      <c r="FI731" s="1298"/>
      <c r="FJ731" s="1296" t="str">
        <f t="shared" si="34"/>
        <v/>
      </c>
      <c r="FK731" s="1297"/>
      <c r="FL731" s="1297"/>
      <c r="FM731" s="1297"/>
      <c r="FN731" s="1298"/>
      <c r="FO731" s="1296">
        <f t="shared" si="35"/>
        <v>779</v>
      </c>
      <c r="FP731" s="1297"/>
      <c r="FQ731" s="1297"/>
      <c r="FR731" s="1297"/>
      <c r="FS731" s="1298"/>
      <c r="FT731" s="1296" t="str">
        <f t="shared" si="36"/>
        <v/>
      </c>
      <c r="FU731" s="1297"/>
      <c r="FV731" s="1297"/>
      <c r="FW731" s="1297"/>
      <c r="FX731" s="1298"/>
      <c r="FY731" s="1296" t="str">
        <f t="shared" si="37"/>
        <v/>
      </c>
      <c r="FZ731" s="1297"/>
      <c r="GA731" s="1297"/>
      <c r="GB731" s="1297"/>
      <c r="GC731" s="1298"/>
    </row>
    <row r="732" spans="1:185" ht="13" customHeight="1">
      <c r="B732" s="1310" t="s">
        <v>830</v>
      </c>
      <c r="C732" s="1311"/>
      <c r="D732" s="1311"/>
      <c r="E732" s="1311"/>
      <c r="F732" s="1312"/>
      <c r="G732" s="1319">
        <v>1</v>
      </c>
      <c r="H732" s="1320"/>
      <c r="I732" s="1320"/>
      <c r="J732" s="1321"/>
      <c r="K732" s="1546">
        <v>1047</v>
      </c>
      <c r="L732" s="1547"/>
      <c r="M732" s="1547"/>
      <c r="N732" s="1548"/>
      <c r="O732" s="1420">
        <v>779</v>
      </c>
      <c r="P732" s="1421"/>
      <c r="Q732" s="1421"/>
      <c r="R732" s="1421"/>
      <c r="S732" s="1422"/>
      <c r="T732" s="1420">
        <v>123</v>
      </c>
      <c r="U732" s="1421"/>
      <c r="V732" s="1421"/>
      <c r="W732" s="1422"/>
      <c r="X732" s="1313">
        <f t="shared" si="10"/>
        <v>902</v>
      </c>
      <c r="Y732" s="1314"/>
      <c r="Z732" s="1314"/>
      <c r="AA732" s="1314"/>
      <c r="AB732" s="1315"/>
      <c r="AC732" s="1555">
        <v>0.25</v>
      </c>
      <c r="AD732" s="1556"/>
      <c r="AE732" s="1556"/>
      <c r="AF732" s="1556"/>
      <c r="AG732" s="1557"/>
      <c r="AH732" s="1316">
        <f t="shared" si="38"/>
        <v>0.17939538583929993</v>
      </c>
      <c r="AI732" s="1317"/>
      <c r="AJ732" s="1318"/>
      <c r="AK732" s="1310" t="s">
        <v>807</v>
      </c>
      <c r="AL732" s="1311"/>
      <c r="AM732" s="1311"/>
      <c r="AN732" s="1311"/>
      <c r="AO732" s="1312"/>
      <c r="AP732" s="3"/>
      <c r="AQ732" s="3"/>
      <c r="AR732" s="3"/>
      <c r="AS732" s="3"/>
      <c r="AY732" s="855"/>
      <c r="AZ732" s="84">
        <f t="shared" si="11"/>
        <v>5028</v>
      </c>
      <c r="BA732" s="3"/>
      <c r="BB732" s="3"/>
      <c r="BC732" s="3"/>
      <c r="BD732" s="3"/>
      <c r="BE732" s="135"/>
      <c r="BF732" s="202">
        <f t="shared" si="12"/>
        <v>1</v>
      </c>
      <c r="BG732" s="205">
        <f t="shared" si="13"/>
        <v>1.282051282051282E-2</v>
      </c>
      <c r="BH732" s="206">
        <f t="shared" si="14"/>
        <v>3.205128205128205E-3</v>
      </c>
      <c r="BI732" s="3"/>
      <c r="BJ732" s="3"/>
      <c r="BK732" s="3"/>
      <c r="BL732" s="3"/>
      <c r="BM732" s="3"/>
      <c r="BN732" s="3"/>
      <c r="BS732" s="202">
        <f t="shared" si="15"/>
        <v>1</v>
      </c>
      <c r="BT732" s="205">
        <f t="shared" si="16"/>
        <v>1.282051282051282E-2</v>
      </c>
      <c r="BU732" s="206">
        <f t="shared" si="17"/>
        <v>2.2999408440935887E-3</v>
      </c>
      <c r="BV732" s="3"/>
      <c r="BW732" s="3"/>
      <c r="BX732" s="3"/>
      <c r="BY732" s="3"/>
      <c r="BZ732" s="3"/>
      <c r="CA732" s="3"/>
      <c r="CB732" s="3"/>
      <c r="CC732" s="3"/>
      <c r="CE732" s="3"/>
      <c r="CF732" s="3"/>
      <c r="CG732" s="1296">
        <f t="shared" si="39"/>
        <v>0</v>
      </c>
      <c r="CH732" s="1298"/>
      <c r="CI732" s="1296">
        <f t="shared" si="40"/>
        <v>0</v>
      </c>
      <c r="CJ732" s="1298"/>
      <c r="CK732" s="1296">
        <f t="shared" si="18"/>
        <v>1</v>
      </c>
      <c r="CL732" s="1298"/>
      <c r="CM732" s="1296">
        <f t="shared" si="19"/>
        <v>1</v>
      </c>
      <c r="CN732" s="1298"/>
      <c r="CO732" s="3"/>
      <c r="CP732" s="1293">
        <f t="shared" si="20"/>
        <v>0</v>
      </c>
      <c r="CQ732" s="1294"/>
      <c r="CR732" s="1294"/>
      <c r="CS732" s="1294"/>
      <c r="CT732" s="1295"/>
      <c r="CU732" s="1309">
        <f t="shared" si="21"/>
        <v>0</v>
      </c>
      <c r="CV732" s="1309"/>
      <c r="CW732" s="1309"/>
      <c r="CX732" s="1309"/>
      <c r="CY732" s="1309"/>
      <c r="CZ732" s="1309">
        <f t="shared" si="22"/>
        <v>0</v>
      </c>
      <c r="DA732" s="1309"/>
      <c r="DB732" s="1309"/>
      <c r="DC732" s="1309"/>
      <c r="DD732" s="1309"/>
      <c r="DE732" s="1309">
        <f t="shared" si="23"/>
        <v>1</v>
      </c>
      <c r="DF732" s="1309"/>
      <c r="DG732" s="1309"/>
      <c r="DH732" s="1309"/>
      <c r="DI732" s="1309"/>
      <c r="DJ732" s="1309">
        <f t="shared" si="24"/>
        <v>0</v>
      </c>
      <c r="DK732" s="1309"/>
      <c r="DL732" s="1309"/>
      <c r="DM732" s="1309"/>
      <c r="DN732" s="1309"/>
      <c r="DO732" s="1309">
        <f t="shared" si="25"/>
        <v>0</v>
      </c>
      <c r="DP732" s="1309"/>
      <c r="DQ732" s="1309"/>
      <c r="DR732" s="1309"/>
      <c r="DS732" s="1309"/>
      <c r="DT732" s="256"/>
      <c r="DU732" s="1323">
        <f t="shared" si="26"/>
        <v>0</v>
      </c>
      <c r="DV732" s="1323"/>
      <c r="DW732" s="1323"/>
      <c r="DX732" s="1323"/>
      <c r="DY732" s="1323"/>
      <c r="DZ732" s="1323">
        <f t="shared" si="27"/>
        <v>0</v>
      </c>
      <c r="EA732" s="1323"/>
      <c r="EB732" s="1323"/>
      <c r="EC732" s="1323"/>
      <c r="ED732" s="1323"/>
      <c r="EE732" s="1323">
        <f t="shared" si="28"/>
        <v>0</v>
      </c>
      <c r="EF732" s="1323"/>
      <c r="EG732" s="1323"/>
      <c r="EH732" s="1323"/>
      <c r="EI732" s="1323"/>
      <c r="EJ732" s="1323">
        <f t="shared" si="29"/>
        <v>1</v>
      </c>
      <c r="EK732" s="1323"/>
      <c r="EL732" s="1323"/>
      <c r="EM732" s="1323"/>
      <c r="EN732" s="1323"/>
      <c r="EO732" s="1323">
        <f t="shared" si="30"/>
        <v>0</v>
      </c>
      <c r="EP732" s="1323"/>
      <c r="EQ732" s="1323"/>
      <c r="ER732" s="1323"/>
      <c r="ES732" s="1323"/>
      <c r="ET732" s="1323">
        <f t="shared" si="31"/>
        <v>0</v>
      </c>
      <c r="EU732" s="1323"/>
      <c r="EV732" s="1323"/>
      <c r="EW732" s="1323"/>
      <c r="EX732" s="1323"/>
      <c r="EZ732" s="1296" t="str">
        <f t="shared" si="32"/>
        <v/>
      </c>
      <c r="FA732" s="1297"/>
      <c r="FB732" s="1297"/>
      <c r="FC732" s="1297"/>
      <c r="FD732" s="1298"/>
      <c r="FE732" s="1296" t="str">
        <f t="shared" si="33"/>
        <v/>
      </c>
      <c r="FF732" s="1297"/>
      <c r="FG732" s="1297"/>
      <c r="FH732" s="1297"/>
      <c r="FI732" s="1298"/>
      <c r="FJ732" s="1296" t="str">
        <f t="shared" si="34"/>
        <v/>
      </c>
      <c r="FK732" s="1297"/>
      <c r="FL732" s="1297"/>
      <c r="FM732" s="1297"/>
      <c r="FN732" s="1298"/>
      <c r="FO732" s="1296">
        <f t="shared" si="35"/>
        <v>779</v>
      </c>
      <c r="FP732" s="1297"/>
      <c r="FQ732" s="1297"/>
      <c r="FR732" s="1297"/>
      <c r="FS732" s="1298"/>
      <c r="FT732" s="1296" t="str">
        <f t="shared" si="36"/>
        <v/>
      </c>
      <c r="FU732" s="1297"/>
      <c r="FV732" s="1297"/>
      <c r="FW732" s="1297"/>
      <c r="FX732" s="1298"/>
      <c r="FY732" s="1296" t="str">
        <f t="shared" si="37"/>
        <v/>
      </c>
      <c r="FZ732" s="1297"/>
      <c r="GA732" s="1297"/>
      <c r="GB732" s="1297"/>
      <c r="GC732" s="1298"/>
    </row>
    <row r="733" spans="1:185" ht="13" customHeight="1">
      <c r="B733" s="1310" t="s">
        <v>830</v>
      </c>
      <c r="C733" s="1311"/>
      <c r="D733" s="1311"/>
      <c r="E733" s="1311"/>
      <c r="F733" s="1312"/>
      <c r="G733" s="1319">
        <v>1</v>
      </c>
      <c r="H733" s="1320"/>
      <c r="I733" s="1320"/>
      <c r="J733" s="1321"/>
      <c r="K733" s="1546">
        <v>1047</v>
      </c>
      <c r="L733" s="1547"/>
      <c r="M733" s="1547"/>
      <c r="N733" s="1548"/>
      <c r="O733" s="1420">
        <v>779</v>
      </c>
      <c r="P733" s="1421"/>
      <c r="Q733" s="1421"/>
      <c r="R733" s="1421"/>
      <c r="S733" s="1422"/>
      <c r="T733" s="1420">
        <v>123</v>
      </c>
      <c r="U733" s="1421"/>
      <c r="V733" s="1421"/>
      <c r="W733" s="1422"/>
      <c r="X733" s="1313">
        <f t="shared" si="10"/>
        <v>902</v>
      </c>
      <c r="Y733" s="1314"/>
      <c r="Z733" s="1314"/>
      <c r="AA733" s="1314"/>
      <c r="AB733" s="1315"/>
      <c r="AC733" s="1555">
        <v>0.25</v>
      </c>
      <c r="AD733" s="1556"/>
      <c r="AE733" s="1556"/>
      <c r="AF733" s="1556"/>
      <c r="AG733" s="1557"/>
      <c r="AH733" s="1316">
        <f t="shared" si="38"/>
        <v>0.17939538583929993</v>
      </c>
      <c r="AI733" s="1317"/>
      <c r="AJ733" s="1318"/>
      <c r="AK733" s="1310" t="s">
        <v>807</v>
      </c>
      <c r="AL733" s="1311"/>
      <c r="AM733" s="1311"/>
      <c r="AN733" s="1311"/>
      <c r="AO733" s="1312"/>
      <c r="AP733" s="3"/>
      <c r="AQ733" s="3"/>
      <c r="AR733" s="3"/>
      <c r="AS733" s="3"/>
      <c r="AY733" s="855"/>
      <c r="AZ733" s="84">
        <f t="shared" si="11"/>
        <v>5028</v>
      </c>
      <c r="BA733" s="3"/>
      <c r="BB733" s="3"/>
      <c r="BC733" s="3"/>
      <c r="BD733" s="3"/>
      <c r="BE733" s="135"/>
      <c r="BF733" s="202">
        <f t="shared" si="12"/>
        <v>1</v>
      </c>
      <c r="BG733" s="205">
        <f t="shared" si="13"/>
        <v>1.282051282051282E-2</v>
      </c>
      <c r="BH733" s="206">
        <f t="shared" si="14"/>
        <v>3.205128205128205E-3</v>
      </c>
      <c r="BI733" s="3"/>
      <c r="BJ733" s="3"/>
      <c r="BK733" s="3"/>
      <c r="BL733" s="3"/>
      <c r="BM733" s="3"/>
      <c r="BN733" s="3"/>
      <c r="BS733" s="202">
        <f t="shared" si="15"/>
        <v>1</v>
      </c>
      <c r="BT733" s="205">
        <f t="shared" si="16"/>
        <v>1.282051282051282E-2</v>
      </c>
      <c r="BU733" s="206">
        <f t="shared" si="17"/>
        <v>2.2999408440935887E-3</v>
      </c>
      <c r="BV733" s="3"/>
      <c r="BW733" s="3"/>
      <c r="BX733" s="3"/>
      <c r="BY733" s="3"/>
      <c r="BZ733" s="3"/>
      <c r="CA733" s="3"/>
      <c r="CB733" s="3"/>
      <c r="CC733" s="3"/>
      <c r="CE733" s="3"/>
      <c r="CF733" s="3"/>
      <c r="CG733" s="1296">
        <f t="shared" si="39"/>
        <v>0</v>
      </c>
      <c r="CH733" s="1298"/>
      <c r="CI733" s="1296">
        <f t="shared" si="40"/>
        <v>0</v>
      </c>
      <c r="CJ733" s="1298"/>
      <c r="CK733" s="1296">
        <f t="shared" si="18"/>
        <v>1</v>
      </c>
      <c r="CL733" s="1298"/>
      <c r="CM733" s="1296">
        <f t="shared" si="19"/>
        <v>1</v>
      </c>
      <c r="CN733" s="1298"/>
      <c r="CO733" s="3"/>
      <c r="CP733" s="1293">
        <f t="shared" si="20"/>
        <v>0</v>
      </c>
      <c r="CQ733" s="1294"/>
      <c r="CR733" s="1294"/>
      <c r="CS733" s="1294"/>
      <c r="CT733" s="1295"/>
      <c r="CU733" s="1309">
        <f t="shared" si="21"/>
        <v>0</v>
      </c>
      <c r="CV733" s="1309"/>
      <c r="CW733" s="1309"/>
      <c r="CX733" s="1309"/>
      <c r="CY733" s="1309"/>
      <c r="CZ733" s="1309">
        <f t="shared" si="22"/>
        <v>0</v>
      </c>
      <c r="DA733" s="1309"/>
      <c r="DB733" s="1309"/>
      <c r="DC733" s="1309"/>
      <c r="DD733" s="1309"/>
      <c r="DE733" s="1309">
        <f t="shared" si="23"/>
        <v>1</v>
      </c>
      <c r="DF733" s="1309"/>
      <c r="DG733" s="1309"/>
      <c r="DH733" s="1309"/>
      <c r="DI733" s="1309"/>
      <c r="DJ733" s="1309">
        <f t="shared" si="24"/>
        <v>0</v>
      </c>
      <c r="DK733" s="1309"/>
      <c r="DL733" s="1309"/>
      <c r="DM733" s="1309"/>
      <c r="DN733" s="1309"/>
      <c r="DO733" s="1309">
        <f t="shared" si="25"/>
        <v>0</v>
      </c>
      <c r="DP733" s="1309"/>
      <c r="DQ733" s="1309"/>
      <c r="DR733" s="1309"/>
      <c r="DS733" s="1309"/>
      <c r="DT733" s="256"/>
      <c r="DU733" s="1323">
        <f t="shared" si="26"/>
        <v>0</v>
      </c>
      <c r="DV733" s="1323"/>
      <c r="DW733" s="1323"/>
      <c r="DX733" s="1323"/>
      <c r="DY733" s="1323"/>
      <c r="DZ733" s="1323">
        <f t="shared" si="27"/>
        <v>0</v>
      </c>
      <c r="EA733" s="1323"/>
      <c r="EB733" s="1323"/>
      <c r="EC733" s="1323"/>
      <c r="ED733" s="1323"/>
      <c r="EE733" s="1323">
        <f t="shared" si="28"/>
        <v>0</v>
      </c>
      <c r="EF733" s="1323"/>
      <c r="EG733" s="1323"/>
      <c r="EH733" s="1323"/>
      <c r="EI733" s="1323"/>
      <c r="EJ733" s="1323">
        <f t="shared" si="29"/>
        <v>1</v>
      </c>
      <c r="EK733" s="1323"/>
      <c r="EL733" s="1323"/>
      <c r="EM733" s="1323"/>
      <c r="EN733" s="1323"/>
      <c r="EO733" s="1323">
        <f t="shared" si="30"/>
        <v>0</v>
      </c>
      <c r="EP733" s="1323"/>
      <c r="EQ733" s="1323"/>
      <c r="ER733" s="1323"/>
      <c r="ES733" s="1323"/>
      <c r="ET733" s="1323">
        <f t="shared" si="31"/>
        <v>0</v>
      </c>
      <c r="EU733" s="1323"/>
      <c r="EV733" s="1323"/>
      <c r="EW733" s="1323"/>
      <c r="EX733" s="1323"/>
      <c r="EZ733" s="1296" t="str">
        <f t="shared" si="32"/>
        <v/>
      </c>
      <c r="FA733" s="1297"/>
      <c r="FB733" s="1297"/>
      <c r="FC733" s="1297"/>
      <c r="FD733" s="1298"/>
      <c r="FE733" s="1296" t="str">
        <f t="shared" si="33"/>
        <v/>
      </c>
      <c r="FF733" s="1297"/>
      <c r="FG733" s="1297"/>
      <c r="FH733" s="1297"/>
      <c r="FI733" s="1298"/>
      <c r="FJ733" s="1296" t="str">
        <f t="shared" si="34"/>
        <v/>
      </c>
      <c r="FK733" s="1297"/>
      <c r="FL733" s="1297"/>
      <c r="FM733" s="1297"/>
      <c r="FN733" s="1298"/>
      <c r="FO733" s="1296">
        <f t="shared" si="35"/>
        <v>779</v>
      </c>
      <c r="FP733" s="1297"/>
      <c r="FQ733" s="1297"/>
      <c r="FR733" s="1297"/>
      <c r="FS733" s="1298"/>
      <c r="FT733" s="1296" t="str">
        <f t="shared" si="36"/>
        <v/>
      </c>
      <c r="FU733" s="1297"/>
      <c r="FV733" s="1297"/>
      <c r="FW733" s="1297"/>
      <c r="FX733" s="1298"/>
      <c r="FY733" s="1296" t="str">
        <f t="shared" si="37"/>
        <v/>
      </c>
      <c r="FZ733" s="1297"/>
      <c r="GA733" s="1297"/>
      <c r="GB733" s="1297"/>
      <c r="GC733" s="1298"/>
    </row>
    <row r="734" spans="1:185" ht="13" customHeight="1">
      <c r="B734" s="1310" t="s">
        <v>828</v>
      </c>
      <c r="C734" s="1311"/>
      <c r="D734" s="1311"/>
      <c r="E734" s="1311"/>
      <c r="F734" s="1312"/>
      <c r="G734" s="1319">
        <v>7</v>
      </c>
      <c r="H734" s="1320"/>
      <c r="I734" s="1320"/>
      <c r="J734" s="1321"/>
      <c r="K734" s="1546">
        <v>673</v>
      </c>
      <c r="L734" s="1547"/>
      <c r="M734" s="1547"/>
      <c r="N734" s="1548"/>
      <c r="O734" s="1420">
        <v>1680</v>
      </c>
      <c r="P734" s="1421"/>
      <c r="Q734" s="1421"/>
      <c r="R734" s="1421"/>
      <c r="S734" s="1422"/>
      <c r="T734" s="1420">
        <v>71</v>
      </c>
      <c r="U734" s="1421"/>
      <c r="V734" s="1421"/>
      <c r="W734" s="1422"/>
      <c r="X734" s="1313">
        <f t="shared" si="10"/>
        <v>1751</v>
      </c>
      <c r="Y734" s="1314"/>
      <c r="Z734" s="1314"/>
      <c r="AA734" s="1314"/>
      <c r="AB734" s="1315"/>
      <c r="AC734" s="1555">
        <v>0.5</v>
      </c>
      <c r="AD734" s="1556"/>
      <c r="AE734" s="1556"/>
      <c r="AF734" s="1556"/>
      <c r="AG734" s="1557"/>
      <c r="AH734" s="1316">
        <f t="shared" si="38"/>
        <v>0.48290126861555432</v>
      </c>
      <c r="AI734" s="1317"/>
      <c r="AJ734" s="1318"/>
      <c r="AK734" s="1310" t="s">
        <v>807</v>
      </c>
      <c r="AL734" s="1311"/>
      <c r="AM734" s="1311"/>
      <c r="AN734" s="1311"/>
      <c r="AO734" s="1312"/>
      <c r="AP734" s="3"/>
      <c r="AQ734" s="3"/>
      <c r="AR734" s="3"/>
      <c r="AS734" s="3"/>
      <c r="AY734" s="855"/>
      <c r="AZ734" s="84">
        <f t="shared" si="11"/>
        <v>3626</v>
      </c>
      <c r="BA734" s="3"/>
      <c r="BB734" s="3"/>
      <c r="BC734" s="3"/>
      <c r="BD734" s="3"/>
      <c r="BE734" s="135"/>
      <c r="BF734" s="202">
        <f t="shared" si="12"/>
        <v>7</v>
      </c>
      <c r="BG734" s="205">
        <f t="shared" si="13"/>
        <v>8.9743589743589744E-2</v>
      </c>
      <c r="BH734" s="206">
        <f t="shared" si="14"/>
        <v>4.4871794871794872E-2</v>
      </c>
      <c r="BI734" s="3"/>
      <c r="BJ734" s="3"/>
      <c r="BK734" s="3"/>
      <c r="BL734" s="3"/>
      <c r="BM734" s="3"/>
      <c r="BN734" s="3"/>
      <c r="BS734" s="202">
        <f t="shared" si="15"/>
        <v>7</v>
      </c>
      <c r="BT734" s="205">
        <f t="shared" si="16"/>
        <v>8.9743589743589744E-2</v>
      </c>
      <c r="BU734" s="206">
        <f t="shared" si="17"/>
        <v>4.3337293337293338E-2</v>
      </c>
      <c r="BV734" s="3"/>
      <c r="BW734" s="3"/>
      <c r="BX734" s="3"/>
      <c r="BY734" s="3"/>
      <c r="BZ734" s="3"/>
      <c r="CA734" s="3"/>
      <c r="CB734" s="3"/>
      <c r="CC734" s="3"/>
      <c r="CE734" s="3"/>
      <c r="CF734" s="3"/>
      <c r="CG734" s="1296">
        <f t="shared" si="39"/>
        <v>1</v>
      </c>
      <c r="CH734" s="1298"/>
      <c r="CI734" s="1296">
        <f t="shared" si="40"/>
        <v>7</v>
      </c>
      <c r="CJ734" s="1298"/>
      <c r="CK734" s="1296">
        <f t="shared" si="18"/>
        <v>0</v>
      </c>
      <c r="CL734" s="1298"/>
      <c r="CM734" s="1296">
        <f t="shared" si="19"/>
        <v>0</v>
      </c>
      <c r="CN734" s="1298"/>
      <c r="CO734" s="3"/>
      <c r="CP734" s="1293">
        <f t="shared" si="20"/>
        <v>0</v>
      </c>
      <c r="CQ734" s="1294"/>
      <c r="CR734" s="1294"/>
      <c r="CS734" s="1294"/>
      <c r="CT734" s="1295"/>
      <c r="CU734" s="1309">
        <f t="shared" si="21"/>
        <v>7</v>
      </c>
      <c r="CV734" s="1309"/>
      <c r="CW734" s="1309"/>
      <c r="CX734" s="1309"/>
      <c r="CY734" s="1309"/>
      <c r="CZ734" s="1309">
        <f t="shared" si="22"/>
        <v>0</v>
      </c>
      <c r="DA734" s="1309"/>
      <c r="DB734" s="1309"/>
      <c r="DC734" s="1309"/>
      <c r="DD734" s="1309"/>
      <c r="DE734" s="1309">
        <f t="shared" si="23"/>
        <v>0</v>
      </c>
      <c r="DF734" s="1309"/>
      <c r="DG734" s="1309"/>
      <c r="DH734" s="1309"/>
      <c r="DI734" s="1309"/>
      <c r="DJ734" s="1309">
        <f t="shared" si="24"/>
        <v>0</v>
      </c>
      <c r="DK734" s="1309"/>
      <c r="DL734" s="1309"/>
      <c r="DM734" s="1309"/>
      <c r="DN734" s="1309"/>
      <c r="DO734" s="1309">
        <f t="shared" si="25"/>
        <v>0</v>
      </c>
      <c r="DP734" s="1309"/>
      <c r="DQ734" s="1309"/>
      <c r="DR734" s="1309"/>
      <c r="DS734" s="1309"/>
      <c r="DT734" s="256"/>
      <c r="DU734" s="1323">
        <f t="shared" si="26"/>
        <v>0</v>
      </c>
      <c r="DV734" s="1323"/>
      <c r="DW734" s="1323"/>
      <c r="DX734" s="1323"/>
      <c r="DY734" s="1323"/>
      <c r="DZ734" s="1323">
        <f t="shared" si="27"/>
        <v>0</v>
      </c>
      <c r="EA734" s="1323"/>
      <c r="EB734" s="1323"/>
      <c r="EC734" s="1323"/>
      <c r="ED734" s="1323"/>
      <c r="EE734" s="1323">
        <f t="shared" si="28"/>
        <v>0</v>
      </c>
      <c r="EF734" s="1323"/>
      <c r="EG734" s="1323"/>
      <c r="EH734" s="1323"/>
      <c r="EI734" s="1323"/>
      <c r="EJ734" s="1323">
        <f t="shared" si="29"/>
        <v>0</v>
      </c>
      <c r="EK734" s="1323"/>
      <c r="EL734" s="1323"/>
      <c r="EM734" s="1323"/>
      <c r="EN734" s="1323"/>
      <c r="EO734" s="1323">
        <f t="shared" si="30"/>
        <v>0</v>
      </c>
      <c r="EP734" s="1323"/>
      <c r="EQ734" s="1323"/>
      <c r="ER734" s="1323"/>
      <c r="ES734" s="1323"/>
      <c r="ET734" s="1323">
        <f t="shared" si="31"/>
        <v>0</v>
      </c>
      <c r="EU734" s="1323"/>
      <c r="EV734" s="1323"/>
      <c r="EW734" s="1323"/>
      <c r="EX734" s="1323"/>
      <c r="EZ734" s="1296" t="str">
        <f t="shared" si="32"/>
        <v/>
      </c>
      <c r="FA734" s="1297"/>
      <c r="FB734" s="1297"/>
      <c r="FC734" s="1297"/>
      <c r="FD734" s="1298"/>
      <c r="FE734" s="1296">
        <f t="shared" si="33"/>
        <v>1680</v>
      </c>
      <c r="FF734" s="1297"/>
      <c r="FG734" s="1297"/>
      <c r="FH734" s="1297"/>
      <c r="FI734" s="1298"/>
      <c r="FJ734" s="1296" t="str">
        <f t="shared" si="34"/>
        <v/>
      </c>
      <c r="FK734" s="1297"/>
      <c r="FL734" s="1297"/>
      <c r="FM734" s="1297"/>
      <c r="FN734" s="1298"/>
      <c r="FO734" s="1296" t="str">
        <f t="shared" si="35"/>
        <v/>
      </c>
      <c r="FP734" s="1297"/>
      <c r="FQ734" s="1297"/>
      <c r="FR734" s="1297"/>
      <c r="FS734" s="1298"/>
      <c r="FT734" s="1296" t="str">
        <f t="shared" si="36"/>
        <v/>
      </c>
      <c r="FU734" s="1297"/>
      <c r="FV734" s="1297"/>
      <c r="FW734" s="1297"/>
      <c r="FX734" s="1298"/>
      <c r="FY734" s="1296" t="str">
        <f t="shared" si="37"/>
        <v/>
      </c>
      <c r="FZ734" s="1297"/>
      <c r="GA734" s="1297"/>
      <c r="GB734" s="1297"/>
      <c r="GC734" s="1298"/>
    </row>
    <row r="735" spans="1:185" ht="13" customHeight="1">
      <c r="B735" s="1310" t="s">
        <v>828</v>
      </c>
      <c r="C735" s="1311"/>
      <c r="D735" s="1311"/>
      <c r="E735" s="1311"/>
      <c r="F735" s="1312"/>
      <c r="G735" s="1319">
        <v>1</v>
      </c>
      <c r="H735" s="1320"/>
      <c r="I735" s="1320"/>
      <c r="J735" s="1321"/>
      <c r="K735" s="1546">
        <v>673</v>
      </c>
      <c r="L735" s="1547"/>
      <c r="M735" s="1547"/>
      <c r="N735" s="1548"/>
      <c r="O735" s="1420">
        <v>1680</v>
      </c>
      <c r="P735" s="1421"/>
      <c r="Q735" s="1421"/>
      <c r="R735" s="1421"/>
      <c r="S735" s="1422"/>
      <c r="T735" s="1420">
        <v>71</v>
      </c>
      <c r="U735" s="1421"/>
      <c r="V735" s="1421"/>
      <c r="W735" s="1422"/>
      <c r="X735" s="1313">
        <f t="shared" si="10"/>
        <v>1751</v>
      </c>
      <c r="Y735" s="1314"/>
      <c r="Z735" s="1314"/>
      <c r="AA735" s="1314"/>
      <c r="AB735" s="1315"/>
      <c r="AC735" s="1555">
        <v>0.5</v>
      </c>
      <c r="AD735" s="1556"/>
      <c r="AE735" s="1556"/>
      <c r="AF735" s="1556"/>
      <c r="AG735" s="1557"/>
      <c r="AH735" s="1316">
        <f t="shared" si="38"/>
        <v>0.48290126861555432</v>
      </c>
      <c r="AI735" s="1317"/>
      <c r="AJ735" s="1318"/>
      <c r="AK735" s="1310" t="s">
        <v>807</v>
      </c>
      <c r="AL735" s="1311"/>
      <c r="AM735" s="1311"/>
      <c r="AN735" s="1311"/>
      <c r="AO735" s="1312"/>
      <c r="AP735" s="3"/>
      <c r="AQ735" s="3"/>
      <c r="AR735" s="3"/>
      <c r="AS735" s="3"/>
      <c r="AY735" s="855"/>
      <c r="AZ735" s="84">
        <f t="shared" si="11"/>
        <v>3626</v>
      </c>
      <c r="BA735" s="3"/>
      <c r="BB735" s="3"/>
      <c r="BC735" s="3"/>
      <c r="BD735" s="3"/>
      <c r="BE735" s="135"/>
      <c r="BF735" s="202">
        <f t="shared" si="12"/>
        <v>1</v>
      </c>
      <c r="BG735" s="205">
        <f t="shared" si="13"/>
        <v>1.282051282051282E-2</v>
      </c>
      <c r="BH735" s="206">
        <f t="shared" si="14"/>
        <v>6.41025641025641E-3</v>
      </c>
      <c r="BI735" s="3"/>
      <c r="BJ735" s="3"/>
      <c r="BK735" s="3"/>
      <c r="BL735" s="3"/>
      <c r="BM735" s="3"/>
      <c r="BN735" s="3"/>
      <c r="BS735" s="202">
        <f t="shared" si="15"/>
        <v>1</v>
      </c>
      <c r="BT735" s="205">
        <f t="shared" si="16"/>
        <v>1.282051282051282E-2</v>
      </c>
      <c r="BU735" s="206">
        <f t="shared" si="17"/>
        <v>6.1910419053276197E-3</v>
      </c>
      <c r="BV735" s="3"/>
      <c r="BW735" s="3"/>
      <c r="BX735" s="3"/>
      <c r="BY735" s="3"/>
      <c r="BZ735" s="3"/>
      <c r="CA735" s="3"/>
      <c r="CB735" s="3"/>
      <c r="CC735" s="3"/>
      <c r="CE735" s="3"/>
      <c r="CF735" s="3"/>
      <c r="CG735" s="1296">
        <f t="shared" si="39"/>
        <v>1</v>
      </c>
      <c r="CH735" s="1298"/>
      <c r="CI735" s="1296">
        <f t="shared" si="40"/>
        <v>1</v>
      </c>
      <c r="CJ735" s="1298"/>
      <c r="CK735" s="1296">
        <f t="shared" si="18"/>
        <v>0</v>
      </c>
      <c r="CL735" s="1298"/>
      <c r="CM735" s="1296">
        <f t="shared" si="19"/>
        <v>0</v>
      </c>
      <c r="CN735" s="1298"/>
      <c r="CO735" s="3"/>
      <c r="CP735" s="1293">
        <f t="shared" si="20"/>
        <v>0</v>
      </c>
      <c r="CQ735" s="1294"/>
      <c r="CR735" s="1294"/>
      <c r="CS735" s="1294"/>
      <c r="CT735" s="1295"/>
      <c r="CU735" s="1309">
        <f t="shared" si="21"/>
        <v>1</v>
      </c>
      <c r="CV735" s="1309"/>
      <c r="CW735" s="1309"/>
      <c r="CX735" s="1309"/>
      <c r="CY735" s="1309"/>
      <c r="CZ735" s="1309">
        <f t="shared" si="22"/>
        <v>0</v>
      </c>
      <c r="DA735" s="1309"/>
      <c r="DB735" s="1309"/>
      <c r="DC735" s="1309"/>
      <c r="DD735" s="1309"/>
      <c r="DE735" s="1309">
        <f t="shared" si="23"/>
        <v>0</v>
      </c>
      <c r="DF735" s="1309"/>
      <c r="DG735" s="1309"/>
      <c r="DH735" s="1309"/>
      <c r="DI735" s="1309"/>
      <c r="DJ735" s="1309">
        <f t="shared" si="24"/>
        <v>0</v>
      </c>
      <c r="DK735" s="1309"/>
      <c r="DL735" s="1309"/>
      <c r="DM735" s="1309"/>
      <c r="DN735" s="1309"/>
      <c r="DO735" s="1309">
        <f t="shared" si="25"/>
        <v>0</v>
      </c>
      <c r="DP735" s="1309"/>
      <c r="DQ735" s="1309"/>
      <c r="DR735" s="1309"/>
      <c r="DS735" s="1309"/>
      <c r="DT735" s="256"/>
      <c r="DU735" s="1323">
        <f t="shared" si="26"/>
        <v>0</v>
      </c>
      <c r="DV735" s="1323"/>
      <c r="DW735" s="1323"/>
      <c r="DX735" s="1323"/>
      <c r="DY735" s="1323"/>
      <c r="DZ735" s="1323">
        <f t="shared" si="27"/>
        <v>0</v>
      </c>
      <c r="EA735" s="1323"/>
      <c r="EB735" s="1323"/>
      <c r="EC735" s="1323"/>
      <c r="ED735" s="1323"/>
      <c r="EE735" s="1323">
        <f t="shared" si="28"/>
        <v>0</v>
      </c>
      <c r="EF735" s="1323"/>
      <c r="EG735" s="1323"/>
      <c r="EH735" s="1323"/>
      <c r="EI735" s="1323"/>
      <c r="EJ735" s="1323">
        <f t="shared" si="29"/>
        <v>0</v>
      </c>
      <c r="EK735" s="1323"/>
      <c r="EL735" s="1323"/>
      <c r="EM735" s="1323"/>
      <c r="EN735" s="1323"/>
      <c r="EO735" s="1323">
        <f t="shared" si="30"/>
        <v>0</v>
      </c>
      <c r="EP735" s="1323"/>
      <c r="EQ735" s="1323"/>
      <c r="ER735" s="1323"/>
      <c r="ES735" s="1323"/>
      <c r="ET735" s="1323">
        <f t="shared" si="31"/>
        <v>0</v>
      </c>
      <c r="EU735" s="1323"/>
      <c r="EV735" s="1323"/>
      <c r="EW735" s="1323"/>
      <c r="EX735" s="1323"/>
      <c r="EZ735" s="1296" t="str">
        <f t="shared" si="32"/>
        <v/>
      </c>
      <c r="FA735" s="1297"/>
      <c r="FB735" s="1297"/>
      <c r="FC735" s="1297"/>
      <c r="FD735" s="1298"/>
      <c r="FE735" s="1296">
        <f t="shared" si="33"/>
        <v>1680</v>
      </c>
      <c r="FF735" s="1297"/>
      <c r="FG735" s="1297"/>
      <c r="FH735" s="1297"/>
      <c r="FI735" s="1298"/>
      <c r="FJ735" s="1296" t="str">
        <f t="shared" si="34"/>
        <v/>
      </c>
      <c r="FK735" s="1297"/>
      <c r="FL735" s="1297"/>
      <c r="FM735" s="1297"/>
      <c r="FN735" s="1298"/>
      <c r="FO735" s="1296" t="str">
        <f t="shared" si="35"/>
        <v/>
      </c>
      <c r="FP735" s="1297"/>
      <c r="FQ735" s="1297"/>
      <c r="FR735" s="1297"/>
      <c r="FS735" s="1298"/>
      <c r="FT735" s="1296" t="str">
        <f t="shared" si="36"/>
        <v/>
      </c>
      <c r="FU735" s="1297"/>
      <c r="FV735" s="1297"/>
      <c r="FW735" s="1297"/>
      <c r="FX735" s="1298"/>
      <c r="FY735" s="1296" t="str">
        <f t="shared" si="37"/>
        <v/>
      </c>
      <c r="FZ735" s="1297"/>
      <c r="GA735" s="1297"/>
      <c r="GB735" s="1297"/>
      <c r="GC735" s="1298"/>
    </row>
    <row r="736" spans="1:185" ht="13" customHeight="1">
      <c r="B736" s="1310" t="s">
        <v>829</v>
      </c>
      <c r="C736" s="1311"/>
      <c r="D736" s="1311"/>
      <c r="E736" s="1311"/>
      <c r="F736" s="1312"/>
      <c r="G736" s="1319">
        <v>7</v>
      </c>
      <c r="H736" s="1320"/>
      <c r="I736" s="1320"/>
      <c r="J736" s="1321"/>
      <c r="K736" s="1546">
        <v>958</v>
      </c>
      <c r="L736" s="1547"/>
      <c r="M736" s="1547"/>
      <c r="N736" s="1548"/>
      <c r="O736" s="1420">
        <v>1828</v>
      </c>
      <c r="P736" s="1421"/>
      <c r="Q736" s="1421"/>
      <c r="R736" s="1421"/>
      <c r="S736" s="1422"/>
      <c r="T736" s="1420">
        <v>98</v>
      </c>
      <c r="U736" s="1421"/>
      <c r="V736" s="1421"/>
      <c r="W736" s="1422"/>
      <c r="X736" s="1313">
        <f t="shared" si="10"/>
        <v>1926</v>
      </c>
      <c r="Y736" s="1314"/>
      <c r="Z736" s="1314"/>
      <c r="AA736" s="1314"/>
      <c r="AB736" s="1315"/>
      <c r="AC736" s="1555">
        <v>0.5</v>
      </c>
      <c r="AD736" s="1556"/>
      <c r="AE736" s="1556"/>
      <c r="AF736" s="1556"/>
      <c r="AG736" s="1557"/>
      <c r="AH736" s="1316">
        <f t="shared" si="38"/>
        <v>0.44255514705882354</v>
      </c>
      <c r="AI736" s="1317"/>
      <c r="AJ736" s="1318"/>
      <c r="AK736" s="1310" t="s">
        <v>807</v>
      </c>
      <c r="AL736" s="1311"/>
      <c r="AM736" s="1311"/>
      <c r="AN736" s="1311"/>
      <c r="AO736" s="1312"/>
      <c r="AP736" s="3"/>
      <c r="AQ736" s="3"/>
      <c r="AR736" s="3"/>
      <c r="AS736" s="3"/>
      <c r="AY736" s="855"/>
      <c r="AZ736" s="84">
        <f t="shared" si="11"/>
        <v>4352</v>
      </c>
      <c r="BA736" s="3"/>
      <c r="BB736" s="3"/>
      <c r="BC736" s="3"/>
      <c r="BD736" s="3"/>
      <c r="BE736" s="135"/>
      <c r="BF736" s="202">
        <f t="shared" si="12"/>
        <v>7</v>
      </c>
      <c r="BG736" s="205">
        <f t="shared" si="13"/>
        <v>8.9743589743589744E-2</v>
      </c>
      <c r="BH736" s="206">
        <f t="shared" si="14"/>
        <v>4.4871794871794872E-2</v>
      </c>
      <c r="BI736" s="3"/>
      <c r="BJ736" s="3"/>
      <c r="BK736" s="3"/>
      <c r="BL736" s="3"/>
      <c r="BM736" s="3"/>
      <c r="BN736" s="3"/>
      <c r="BS736" s="202">
        <f t="shared" si="15"/>
        <v>7</v>
      </c>
      <c r="BT736" s="205">
        <f t="shared" si="16"/>
        <v>8.9743589743589744E-2</v>
      </c>
      <c r="BU736" s="206">
        <f t="shared" si="17"/>
        <v>3.9716487556561084E-2</v>
      </c>
      <c r="BV736" s="3"/>
      <c r="BW736" s="3"/>
      <c r="BX736" s="3"/>
      <c r="BY736" s="3"/>
      <c r="BZ736" s="3"/>
      <c r="CA736" s="3"/>
      <c r="CB736" s="3"/>
      <c r="CC736" s="3"/>
      <c r="CE736" s="3"/>
      <c r="CF736" s="3"/>
      <c r="CG736" s="1296">
        <f t="shared" si="39"/>
        <v>1</v>
      </c>
      <c r="CH736" s="1298"/>
      <c r="CI736" s="1296">
        <f t="shared" si="40"/>
        <v>7</v>
      </c>
      <c r="CJ736" s="1298"/>
      <c r="CK736" s="1296">
        <f t="shared" si="18"/>
        <v>0</v>
      </c>
      <c r="CL736" s="1298"/>
      <c r="CM736" s="1296">
        <f t="shared" si="19"/>
        <v>0</v>
      </c>
      <c r="CN736" s="1298"/>
      <c r="CO736" s="3"/>
      <c r="CP736" s="1293">
        <f t="shared" si="20"/>
        <v>0</v>
      </c>
      <c r="CQ736" s="1294"/>
      <c r="CR736" s="1294"/>
      <c r="CS736" s="1294"/>
      <c r="CT736" s="1295"/>
      <c r="CU736" s="1309">
        <f t="shared" si="21"/>
        <v>0</v>
      </c>
      <c r="CV736" s="1309"/>
      <c r="CW736" s="1309"/>
      <c r="CX736" s="1309"/>
      <c r="CY736" s="1309"/>
      <c r="CZ736" s="1309">
        <f t="shared" si="22"/>
        <v>7</v>
      </c>
      <c r="DA736" s="1309"/>
      <c r="DB736" s="1309"/>
      <c r="DC736" s="1309"/>
      <c r="DD736" s="1309"/>
      <c r="DE736" s="1309">
        <f t="shared" si="23"/>
        <v>0</v>
      </c>
      <c r="DF736" s="1309"/>
      <c r="DG736" s="1309"/>
      <c r="DH736" s="1309"/>
      <c r="DI736" s="1309"/>
      <c r="DJ736" s="1309">
        <f t="shared" si="24"/>
        <v>0</v>
      </c>
      <c r="DK736" s="1309"/>
      <c r="DL736" s="1309"/>
      <c r="DM736" s="1309"/>
      <c r="DN736" s="1309"/>
      <c r="DO736" s="1309">
        <f t="shared" si="25"/>
        <v>0</v>
      </c>
      <c r="DP736" s="1309"/>
      <c r="DQ736" s="1309"/>
      <c r="DR736" s="1309"/>
      <c r="DS736" s="1309"/>
      <c r="DT736" s="256"/>
      <c r="DU736" s="1323">
        <f t="shared" si="26"/>
        <v>0</v>
      </c>
      <c r="DV736" s="1323"/>
      <c r="DW736" s="1323"/>
      <c r="DX736" s="1323"/>
      <c r="DY736" s="1323"/>
      <c r="DZ736" s="1323">
        <f t="shared" si="27"/>
        <v>0</v>
      </c>
      <c r="EA736" s="1323"/>
      <c r="EB736" s="1323"/>
      <c r="EC736" s="1323"/>
      <c r="ED736" s="1323"/>
      <c r="EE736" s="1323">
        <f t="shared" si="28"/>
        <v>0</v>
      </c>
      <c r="EF736" s="1323"/>
      <c r="EG736" s="1323"/>
      <c r="EH736" s="1323"/>
      <c r="EI736" s="1323"/>
      <c r="EJ736" s="1323">
        <f t="shared" si="29"/>
        <v>0</v>
      </c>
      <c r="EK736" s="1323"/>
      <c r="EL736" s="1323"/>
      <c r="EM736" s="1323"/>
      <c r="EN736" s="1323"/>
      <c r="EO736" s="1323">
        <f t="shared" si="30"/>
        <v>0</v>
      </c>
      <c r="EP736" s="1323"/>
      <c r="EQ736" s="1323"/>
      <c r="ER736" s="1323"/>
      <c r="ES736" s="1323"/>
      <c r="ET736" s="1323">
        <f t="shared" si="31"/>
        <v>0</v>
      </c>
      <c r="EU736" s="1323"/>
      <c r="EV736" s="1323"/>
      <c r="EW736" s="1323"/>
      <c r="EX736" s="1323"/>
      <c r="EZ736" s="1296" t="str">
        <f t="shared" si="32"/>
        <v/>
      </c>
      <c r="FA736" s="1297"/>
      <c r="FB736" s="1297"/>
      <c r="FC736" s="1297"/>
      <c r="FD736" s="1298"/>
      <c r="FE736" s="1296" t="str">
        <f t="shared" si="33"/>
        <v/>
      </c>
      <c r="FF736" s="1297"/>
      <c r="FG736" s="1297"/>
      <c r="FH736" s="1297"/>
      <c r="FI736" s="1298"/>
      <c r="FJ736" s="1296">
        <f t="shared" si="34"/>
        <v>1828</v>
      </c>
      <c r="FK736" s="1297"/>
      <c r="FL736" s="1297"/>
      <c r="FM736" s="1297"/>
      <c r="FN736" s="1298"/>
      <c r="FO736" s="1296" t="str">
        <f t="shared" si="35"/>
        <v/>
      </c>
      <c r="FP736" s="1297"/>
      <c r="FQ736" s="1297"/>
      <c r="FR736" s="1297"/>
      <c r="FS736" s="1298"/>
      <c r="FT736" s="1296" t="str">
        <f t="shared" si="36"/>
        <v/>
      </c>
      <c r="FU736" s="1297"/>
      <c r="FV736" s="1297"/>
      <c r="FW736" s="1297"/>
      <c r="FX736" s="1298"/>
      <c r="FY736" s="1296" t="str">
        <f t="shared" si="37"/>
        <v/>
      </c>
      <c r="FZ736" s="1297"/>
      <c r="GA736" s="1297"/>
      <c r="GB736" s="1297"/>
      <c r="GC736" s="1298"/>
    </row>
    <row r="737" spans="1:185" ht="13" customHeight="1">
      <c r="B737" s="1310" t="s">
        <v>829</v>
      </c>
      <c r="C737" s="1311"/>
      <c r="D737" s="1311"/>
      <c r="E737" s="1311"/>
      <c r="F737" s="1312"/>
      <c r="G737" s="1319">
        <v>3</v>
      </c>
      <c r="H737" s="1320"/>
      <c r="I737" s="1320"/>
      <c r="J737" s="1321"/>
      <c r="K737" s="1546">
        <v>958</v>
      </c>
      <c r="L737" s="1547"/>
      <c r="M737" s="1547"/>
      <c r="N737" s="1548"/>
      <c r="O737" s="1420">
        <v>1828</v>
      </c>
      <c r="P737" s="1421"/>
      <c r="Q737" s="1421"/>
      <c r="R737" s="1421"/>
      <c r="S737" s="1422"/>
      <c r="T737" s="1420">
        <v>98</v>
      </c>
      <c r="U737" s="1421"/>
      <c r="V737" s="1421"/>
      <c r="W737" s="1422"/>
      <c r="X737" s="1313">
        <f t="shared" si="10"/>
        <v>1926</v>
      </c>
      <c r="Y737" s="1314"/>
      <c r="Z737" s="1314"/>
      <c r="AA737" s="1314"/>
      <c r="AB737" s="1315"/>
      <c r="AC737" s="1555">
        <v>0.5</v>
      </c>
      <c r="AD737" s="1556"/>
      <c r="AE737" s="1556"/>
      <c r="AF737" s="1556"/>
      <c r="AG737" s="1557"/>
      <c r="AH737" s="1316">
        <f t="shared" si="38"/>
        <v>0.44255514705882354</v>
      </c>
      <c r="AI737" s="1317"/>
      <c r="AJ737" s="1318"/>
      <c r="AK737" s="1310" t="s">
        <v>807</v>
      </c>
      <c r="AL737" s="1311"/>
      <c r="AM737" s="1311"/>
      <c r="AN737" s="1311"/>
      <c r="AO737" s="1312"/>
      <c r="AP737" s="3"/>
      <c r="AQ737" s="3"/>
      <c r="AR737" s="3"/>
      <c r="AS737" s="3"/>
      <c r="AY737" s="855"/>
      <c r="AZ737" s="84">
        <f t="shared" si="11"/>
        <v>4352</v>
      </c>
      <c r="BA737" s="3"/>
      <c r="BB737" s="3"/>
      <c r="BC737" s="3"/>
      <c r="BD737" s="3"/>
      <c r="BE737" s="135"/>
      <c r="BF737" s="202">
        <f t="shared" si="12"/>
        <v>3</v>
      </c>
      <c r="BG737" s="205">
        <f t="shared" si="13"/>
        <v>3.8461538461538464E-2</v>
      </c>
      <c r="BH737" s="206">
        <f t="shared" si="14"/>
        <v>1.9230769230769232E-2</v>
      </c>
      <c r="BI737" s="3"/>
      <c r="BJ737" s="3"/>
      <c r="BK737" s="3"/>
      <c r="BL737" s="3"/>
      <c r="BM737" s="3"/>
      <c r="BN737" s="3"/>
      <c r="BS737" s="202">
        <f t="shared" si="15"/>
        <v>3</v>
      </c>
      <c r="BT737" s="205">
        <f t="shared" si="16"/>
        <v>3.8461538461538464E-2</v>
      </c>
      <c r="BU737" s="206">
        <f t="shared" si="17"/>
        <v>1.7021351809954753E-2</v>
      </c>
      <c r="BV737" s="3"/>
      <c r="BW737" s="3"/>
      <c r="BX737" s="3"/>
      <c r="BY737" s="3"/>
      <c r="BZ737" s="3"/>
      <c r="CA737" s="3"/>
      <c r="CB737" s="3"/>
      <c r="CC737" s="3"/>
      <c r="CE737" s="3"/>
      <c r="CF737" s="3"/>
      <c r="CG737" s="1296">
        <f t="shared" si="39"/>
        <v>1</v>
      </c>
      <c r="CH737" s="1298"/>
      <c r="CI737" s="1296">
        <f t="shared" si="40"/>
        <v>3</v>
      </c>
      <c r="CJ737" s="1298"/>
      <c r="CK737" s="1296">
        <f t="shared" si="18"/>
        <v>0</v>
      </c>
      <c r="CL737" s="1298"/>
      <c r="CM737" s="1296">
        <f t="shared" si="19"/>
        <v>0</v>
      </c>
      <c r="CN737" s="1298"/>
      <c r="CO737" s="3"/>
      <c r="CP737" s="1293">
        <f t="shared" si="20"/>
        <v>0</v>
      </c>
      <c r="CQ737" s="1294"/>
      <c r="CR737" s="1294"/>
      <c r="CS737" s="1294"/>
      <c r="CT737" s="1295"/>
      <c r="CU737" s="1309">
        <f t="shared" si="21"/>
        <v>0</v>
      </c>
      <c r="CV737" s="1309"/>
      <c r="CW737" s="1309"/>
      <c r="CX737" s="1309"/>
      <c r="CY737" s="1309"/>
      <c r="CZ737" s="1309">
        <f t="shared" si="22"/>
        <v>3</v>
      </c>
      <c r="DA737" s="1309"/>
      <c r="DB737" s="1309"/>
      <c r="DC737" s="1309"/>
      <c r="DD737" s="1309"/>
      <c r="DE737" s="1309">
        <f t="shared" si="23"/>
        <v>0</v>
      </c>
      <c r="DF737" s="1309"/>
      <c r="DG737" s="1309"/>
      <c r="DH737" s="1309"/>
      <c r="DI737" s="1309"/>
      <c r="DJ737" s="1309">
        <f t="shared" si="24"/>
        <v>0</v>
      </c>
      <c r="DK737" s="1309"/>
      <c r="DL737" s="1309"/>
      <c r="DM737" s="1309"/>
      <c r="DN737" s="1309"/>
      <c r="DO737" s="1309">
        <f t="shared" si="25"/>
        <v>0</v>
      </c>
      <c r="DP737" s="1309"/>
      <c r="DQ737" s="1309"/>
      <c r="DR737" s="1309"/>
      <c r="DS737" s="1309"/>
      <c r="DT737" s="256"/>
      <c r="DU737" s="1323">
        <f t="shared" si="26"/>
        <v>0</v>
      </c>
      <c r="DV737" s="1323"/>
      <c r="DW737" s="1323"/>
      <c r="DX737" s="1323"/>
      <c r="DY737" s="1323"/>
      <c r="DZ737" s="1323">
        <f t="shared" si="27"/>
        <v>0</v>
      </c>
      <c r="EA737" s="1323"/>
      <c r="EB737" s="1323"/>
      <c r="EC737" s="1323"/>
      <c r="ED737" s="1323"/>
      <c r="EE737" s="1323">
        <f t="shared" si="28"/>
        <v>0</v>
      </c>
      <c r="EF737" s="1323"/>
      <c r="EG737" s="1323"/>
      <c r="EH737" s="1323"/>
      <c r="EI737" s="1323"/>
      <c r="EJ737" s="1323">
        <f t="shared" si="29"/>
        <v>0</v>
      </c>
      <c r="EK737" s="1323"/>
      <c r="EL737" s="1323"/>
      <c r="EM737" s="1323"/>
      <c r="EN737" s="1323"/>
      <c r="EO737" s="1323">
        <f t="shared" si="30"/>
        <v>0</v>
      </c>
      <c r="EP737" s="1323"/>
      <c r="EQ737" s="1323"/>
      <c r="ER737" s="1323"/>
      <c r="ES737" s="1323"/>
      <c r="ET737" s="1323">
        <f t="shared" si="31"/>
        <v>0</v>
      </c>
      <c r="EU737" s="1323"/>
      <c r="EV737" s="1323"/>
      <c r="EW737" s="1323"/>
      <c r="EX737" s="1323"/>
      <c r="EZ737" s="1296" t="str">
        <f t="shared" si="32"/>
        <v/>
      </c>
      <c r="FA737" s="1297"/>
      <c r="FB737" s="1297"/>
      <c r="FC737" s="1297"/>
      <c r="FD737" s="1298"/>
      <c r="FE737" s="1296" t="str">
        <f t="shared" si="33"/>
        <v/>
      </c>
      <c r="FF737" s="1297"/>
      <c r="FG737" s="1297"/>
      <c r="FH737" s="1297"/>
      <c r="FI737" s="1298"/>
      <c r="FJ737" s="1296">
        <f t="shared" si="34"/>
        <v>1828</v>
      </c>
      <c r="FK737" s="1297"/>
      <c r="FL737" s="1297"/>
      <c r="FM737" s="1297"/>
      <c r="FN737" s="1298"/>
      <c r="FO737" s="1296" t="str">
        <f t="shared" si="35"/>
        <v/>
      </c>
      <c r="FP737" s="1297"/>
      <c r="FQ737" s="1297"/>
      <c r="FR737" s="1297"/>
      <c r="FS737" s="1298"/>
      <c r="FT737" s="1296" t="str">
        <f t="shared" si="36"/>
        <v/>
      </c>
      <c r="FU737" s="1297"/>
      <c r="FV737" s="1297"/>
      <c r="FW737" s="1297"/>
      <c r="FX737" s="1298"/>
      <c r="FY737" s="1296" t="str">
        <f t="shared" si="37"/>
        <v/>
      </c>
      <c r="FZ737" s="1297"/>
      <c r="GA737" s="1297"/>
      <c r="GB737" s="1297"/>
      <c r="GC737" s="1298"/>
    </row>
    <row r="738" spans="1:185" ht="13" customHeight="1">
      <c r="B738" s="1310" t="s">
        <v>830</v>
      </c>
      <c r="C738" s="1311"/>
      <c r="D738" s="1311"/>
      <c r="E738" s="1311"/>
      <c r="F738" s="1312"/>
      <c r="G738" s="1319">
        <v>9</v>
      </c>
      <c r="H738" s="1320"/>
      <c r="I738" s="1320"/>
      <c r="J738" s="1321"/>
      <c r="K738" s="1546">
        <v>1047</v>
      </c>
      <c r="L738" s="1547"/>
      <c r="M738" s="1547"/>
      <c r="N738" s="1548"/>
      <c r="O738" s="1420">
        <v>1768</v>
      </c>
      <c r="P738" s="1421"/>
      <c r="Q738" s="1421"/>
      <c r="R738" s="1421"/>
      <c r="S738" s="1422"/>
      <c r="T738" s="1420">
        <v>123</v>
      </c>
      <c r="U738" s="1421"/>
      <c r="V738" s="1421"/>
      <c r="W738" s="1422"/>
      <c r="X738" s="1313">
        <f t="shared" si="10"/>
        <v>1891</v>
      </c>
      <c r="Y738" s="1314"/>
      <c r="Z738" s="1314"/>
      <c r="AA738" s="1314"/>
      <c r="AB738" s="1315"/>
      <c r="AC738" s="1555">
        <v>0.5</v>
      </c>
      <c r="AD738" s="1556"/>
      <c r="AE738" s="1556"/>
      <c r="AF738" s="1556"/>
      <c r="AG738" s="1557"/>
      <c r="AH738" s="1316">
        <f t="shared" si="38"/>
        <v>0.37609387430389818</v>
      </c>
      <c r="AI738" s="1317"/>
      <c r="AJ738" s="1318"/>
      <c r="AK738" s="1310" t="s">
        <v>807</v>
      </c>
      <c r="AL738" s="1311"/>
      <c r="AM738" s="1311"/>
      <c r="AN738" s="1311"/>
      <c r="AO738" s="1312"/>
      <c r="AP738" s="3"/>
      <c r="AQ738" s="3"/>
      <c r="AR738" s="3"/>
      <c r="AS738" s="3"/>
      <c r="AY738" s="855"/>
      <c r="AZ738" s="84">
        <f t="shared" si="11"/>
        <v>5028</v>
      </c>
      <c r="BA738" s="3"/>
      <c r="BE738" s="135"/>
      <c r="BF738" s="202">
        <f t="shared" si="12"/>
        <v>9</v>
      </c>
      <c r="BG738" s="205">
        <f t="shared" si="13"/>
        <v>0.11538461538461539</v>
      </c>
      <c r="BH738" s="206">
        <f t="shared" si="14"/>
        <v>5.7692307692307696E-2</v>
      </c>
      <c r="BK738" s="3"/>
      <c r="BL738" s="3"/>
      <c r="BM738" s="3"/>
      <c r="BN738" s="3"/>
      <c r="BS738" s="202">
        <f t="shared" si="15"/>
        <v>9</v>
      </c>
      <c r="BT738" s="205">
        <f t="shared" si="16"/>
        <v>0.11538461538461539</v>
      </c>
      <c r="BU738" s="206">
        <f t="shared" si="17"/>
        <v>4.3395447035065177E-2</v>
      </c>
      <c r="BV738" s="3"/>
      <c r="BW738" s="3"/>
      <c r="BX738" s="3"/>
      <c r="BY738" s="3"/>
      <c r="BZ738" s="3"/>
      <c r="CA738" s="3"/>
      <c r="CB738" s="3"/>
      <c r="CC738" s="3"/>
      <c r="CE738" s="3"/>
      <c r="CF738" s="3"/>
      <c r="CG738" s="1296">
        <f t="shared" si="39"/>
        <v>1</v>
      </c>
      <c r="CH738" s="1298"/>
      <c r="CI738" s="1296">
        <f t="shared" si="40"/>
        <v>9</v>
      </c>
      <c r="CJ738" s="1298"/>
      <c r="CK738" s="1296">
        <f t="shared" si="18"/>
        <v>0</v>
      </c>
      <c r="CL738" s="1298"/>
      <c r="CM738" s="1296">
        <f t="shared" si="19"/>
        <v>0</v>
      </c>
      <c r="CN738" s="1298"/>
      <c r="CO738" s="3"/>
      <c r="CP738" s="1293">
        <f t="shared" si="20"/>
        <v>0</v>
      </c>
      <c r="CQ738" s="1294"/>
      <c r="CR738" s="1294"/>
      <c r="CS738" s="1294"/>
      <c r="CT738" s="1295"/>
      <c r="CU738" s="1309">
        <f t="shared" si="21"/>
        <v>0</v>
      </c>
      <c r="CV738" s="1309"/>
      <c r="CW738" s="1309"/>
      <c r="CX738" s="1309"/>
      <c r="CY738" s="1309"/>
      <c r="CZ738" s="1309">
        <f t="shared" si="22"/>
        <v>0</v>
      </c>
      <c r="DA738" s="1309"/>
      <c r="DB738" s="1309"/>
      <c r="DC738" s="1309"/>
      <c r="DD738" s="1309"/>
      <c r="DE738" s="1309">
        <f t="shared" si="23"/>
        <v>9</v>
      </c>
      <c r="DF738" s="1309"/>
      <c r="DG738" s="1309"/>
      <c r="DH738" s="1309"/>
      <c r="DI738" s="1309"/>
      <c r="DJ738" s="1309">
        <f t="shared" si="24"/>
        <v>0</v>
      </c>
      <c r="DK738" s="1309"/>
      <c r="DL738" s="1309"/>
      <c r="DM738" s="1309"/>
      <c r="DN738" s="1309"/>
      <c r="DO738" s="1309">
        <f t="shared" si="25"/>
        <v>0</v>
      </c>
      <c r="DP738" s="1309"/>
      <c r="DQ738" s="1309"/>
      <c r="DR738" s="1309"/>
      <c r="DS738" s="1309"/>
      <c r="DT738" s="256"/>
      <c r="DU738" s="1323">
        <f t="shared" si="26"/>
        <v>0</v>
      </c>
      <c r="DV738" s="1323"/>
      <c r="DW738" s="1323"/>
      <c r="DX738" s="1323"/>
      <c r="DY738" s="1323"/>
      <c r="DZ738" s="1323">
        <f t="shared" si="27"/>
        <v>0</v>
      </c>
      <c r="EA738" s="1323"/>
      <c r="EB738" s="1323"/>
      <c r="EC738" s="1323"/>
      <c r="ED738" s="1323"/>
      <c r="EE738" s="1323">
        <f t="shared" si="28"/>
        <v>0</v>
      </c>
      <c r="EF738" s="1323"/>
      <c r="EG738" s="1323"/>
      <c r="EH738" s="1323"/>
      <c r="EI738" s="1323"/>
      <c r="EJ738" s="1323">
        <f t="shared" si="29"/>
        <v>0</v>
      </c>
      <c r="EK738" s="1323"/>
      <c r="EL738" s="1323"/>
      <c r="EM738" s="1323"/>
      <c r="EN738" s="1323"/>
      <c r="EO738" s="1323">
        <f t="shared" si="30"/>
        <v>0</v>
      </c>
      <c r="EP738" s="1323"/>
      <c r="EQ738" s="1323"/>
      <c r="ER738" s="1323"/>
      <c r="ES738" s="1323"/>
      <c r="ET738" s="1323">
        <f t="shared" si="31"/>
        <v>0</v>
      </c>
      <c r="EU738" s="1323"/>
      <c r="EV738" s="1323"/>
      <c r="EW738" s="1323"/>
      <c r="EX738" s="1323"/>
      <c r="EZ738" s="1296" t="str">
        <f t="shared" si="32"/>
        <v/>
      </c>
      <c r="FA738" s="1297"/>
      <c r="FB738" s="1297"/>
      <c r="FC738" s="1297"/>
      <c r="FD738" s="1298"/>
      <c r="FE738" s="1296" t="str">
        <f t="shared" si="33"/>
        <v/>
      </c>
      <c r="FF738" s="1297"/>
      <c r="FG738" s="1297"/>
      <c r="FH738" s="1297"/>
      <c r="FI738" s="1298"/>
      <c r="FJ738" s="1296" t="str">
        <f t="shared" si="34"/>
        <v/>
      </c>
      <c r="FK738" s="1297"/>
      <c r="FL738" s="1297"/>
      <c r="FM738" s="1297"/>
      <c r="FN738" s="1298"/>
      <c r="FO738" s="1296">
        <f t="shared" si="35"/>
        <v>1768</v>
      </c>
      <c r="FP738" s="1297"/>
      <c r="FQ738" s="1297"/>
      <c r="FR738" s="1297"/>
      <c r="FS738" s="1298"/>
      <c r="FT738" s="1296" t="str">
        <f t="shared" si="36"/>
        <v/>
      </c>
      <c r="FU738" s="1297"/>
      <c r="FV738" s="1297"/>
      <c r="FW738" s="1297"/>
      <c r="FX738" s="1298"/>
      <c r="FY738" s="1296" t="str">
        <f t="shared" si="37"/>
        <v/>
      </c>
      <c r="FZ738" s="1297"/>
      <c r="GA738" s="1297"/>
      <c r="GB738" s="1297"/>
      <c r="GC738" s="1298"/>
    </row>
    <row r="739" spans="1:185" ht="13" customHeight="1">
      <c r="B739" s="1310" t="s">
        <v>829</v>
      </c>
      <c r="C739" s="1311"/>
      <c r="D739" s="1311"/>
      <c r="E739" s="1311"/>
      <c r="F739" s="1312"/>
      <c r="G739" s="1319">
        <v>1</v>
      </c>
      <c r="H739" s="1320"/>
      <c r="I739" s="1320"/>
      <c r="J739" s="1321"/>
      <c r="K739" s="1546">
        <v>958</v>
      </c>
      <c r="L739" s="1547"/>
      <c r="M739" s="1547"/>
      <c r="N739" s="1548"/>
      <c r="O739" s="1420">
        <v>1828</v>
      </c>
      <c r="P739" s="1421"/>
      <c r="Q739" s="1421"/>
      <c r="R739" s="1421"/>
      <c r="S739" s="1422"/>
      <c r="T739" s="1420">
        <v>98</v>
      </c>
      <c r="U739" s="1421"/>
      <c r="V739" s="1421"/>
      <c r="W739" s="1422"/>
      <c r="X739" s="1313">
        <f t="shared" si="10"/>
        <v>1926</v>
      </c>
      <c r="Y739" s="1314"/>
      <c r="Z739" s="1314"/>
      <c r="AA739" s="1314"/>
      <c r="AB739" s="1315"/>
      <c r="AC739" s="1555">
        <v>0.5</v>
      </c>
      <c r="AD739" s="1556"/>
      <c r="AE739" s="1556"/>
      <c r="AF739" s="1556"/>
      <c r="AG739" s="1557"/>
      <c r="AH739" s="1316">
        <f t="shared" si="38"/>
        <v>0.44255514705882354</v>
      </c>
      <c r="AI739" s="1317"/>
      <c r="AJ739" s="1318"/>
      <c r="AK739" s="1310" t="s">
        <v>807</v>
      </c>
      <c r="AL739" s="1311"/>
      <c r="AM739" s="1311"/>
      <c r="AN739" s="1311"/>
      <c r="AO739" s="1312"/>
      <c r="AP739" s="3"/>
      <c r="AQ739" s="3"/>
      <c r="AR739" s="3"/>
      <c r="AS739" s="3"/>
      <c r="AY739" s="855"/>
      <c r="AZ739" s="84">
        <f t="shared" si="11"/>
        <v>4352</v>
      </c>
      <c r="BA739" s="3"/>
      <c r="BE739" s="135"/>
      <c r="BF739" s="202">
        <f t="shared" si="12"/>
        <v>1</v>
      </c>
      <c r="BG739" s="205">
        <f t="shared" si="13"/>
        <v>1.282051282051282E-2</v>
      </c>
      <c r="BH739" s="206">
        <f t="shared" si="14"/>
        <v>6.41025641025641E-3</v>
      </c>
      <c r="BK739" s="3"/>
      <c r="BL739" s="3"/>
      <c r="BM739" s="3"/>
      <c r="BN739" s="3"/>
      <c r="BS739" s="202">
        <f t="shared" si="15"/>
        <v>1</v>
      </c>
      <c r="BT739" s="205">
        <f t="shared" si="16"/>
        <v>1.282051282051282E-2</v>
      </c>
      <c r="BU739" s="206">
        <f t="shared" si="17"/>
        <v>5.6737839366515835E-3</v>
      </c>
      <c r="BV739" s="3"/>
      <c r="BW739" s="3"/>
      <c r="BX739" s="3"/>
      <c r="BY739" s="3"/>
      <c r="BZ739" s="3"/>
      <c r="CA739" s="3"/>
      <c r="CB739" s="3"/>
      <c r="CC739" s="3"/>
      <c r="CE739" s="3"/>
      <c r="CF739" s="3"/>
      <c r="CG739" s="1296">
        <f t="shared" si="39"/>
        <v>1</v>
      </c>
      <c r="CH739" s="1298"/>
      <c r="CI739" s="1296">
        <f t="shared" si="40"/>
        <v>1</v>
      </c>
      <c r="CJ739" s="1298"/>
      <c r="CK739" s="1296">
        <f t="shared" si="18"/>
        <v>0</v>
      </c>
      <c r="CL739" s="1298"/>
      <c r="CM739" s="1296">
        <f t="shared" si="19"/>
        <v>0</v>
      </c>
      <c r="CN739" s="1298"/>
      <c r="CO739" s="3"/>
      <c r="CP739" s="1293">
        <f t="shared" si="20"/>
        <v>0</v>
      </c>
      <c r="CQ739" s="1294"/>
      <c r="CR739" s="1294"/>
      <c r="CS739" s="1294"/>
      <c r="CT739" s="1295"/>
      <c r="CU739" s="1309">
        <f t="shared" si="21"/>
        <v>0</v>
      </c>
      <c r="CV739" s="1309"/>
      <c r="CW739" s="1309"/>
      <c r="CX739" s="1309"/>
      <c r="CY739" s="1309"/>
      <c r="CZ739" s="1309">
        <f t="shared" si="22"/>
        <v>1</v>
      </c>
      <c r="DA739" s="1309"/>
      <c r="DB739" s="1309"/>
      <c r="DC739" s="1309"/>
      <c r="DD739" s="1309"/>
      <c r="DE739" s="1309">
        <f t="shared" si="23"/>
        <v>0</v>
      </c>
      <c r="DF739" s="1309"/>
      <c r="DG739" s="1309"/>
      <c r="DH739" s="1309"/>
      <c r="DI739" s="1309"/>
      <c r="DJ739" s="1309">
        <f t="shared" si="24"/>
        <v>0</v>
      </c>
      <c r="DK739" s="1309"/>
      <c r="DL739" s="1309"/>
      <c r="DM739" s="1309"/>
      <c r="DN739" s="1309"/>
      <c r="DO739" s="1309">
        <f t="shared" si="25"/>
        <v>0</v>
      </c>
      <c r="DP739" s="1309"/>
      <c r="DQ739" s="1309"/>
      <c r="DR739" s="1309"/>
      <c r="DS739" s="1309"/>
      <c r="DT739" s="256"/>
      <c r="DU739" s="1323">
        <f t="shared" si="26"/>
        <v>0</v>
      </c>
      <c r="DV739" s="1323"/>
      <c r="DW739" s="1323"/>
      <c r="DX739" s="1323"/>
      <c r="DY739" s="1323"/>
      <c r="DZ739" s="1323">
        <f t="shared" si="27"/>
        <v>0</v>
      </c>
      <c r="EA739" s="1323"/>
      <c r="EB739" s="1323"/>
      <c r="EC739" s="1323"/>
      <c r="ED739" s="1323"/>
      <c r="EE739" s="1323">
        <f t="shared" si="28"/>
        <v>0</v>
      </c>
      <c r="EF739" s="1323"/>
      <c r="EG739" s="1323"/>
      <c r="EH739" s="1323"/>
      <c r="EI739" s="1323"/>
      <c r="EJ739" s="1323">
        <f t="shared" si="29"/>
        <v>0</v>
      </c>
      <c r="EK739" s="1323"/>
      <c r="EL739" s="1323"/>
      <c r="EM739" s="1323"/>
      <c r="EN739" s="1323"/>
      <c r="EO739" s="1323">
        <f t="shared" si="30"/>
        <v>0</v>
      </c>
      <c r="EP739" s="1323"/>
      <c r="EQ739" s="1323"/>
      <c r="ER739" s="1323"/>
      <c r="ES739" s="1323"/>
      <c r="ET739" s="1323">
        <f t="shared" si="31"/>
        <v>0</v>
      </c>
      <c r="EU739" s="1323"/>
      <c r="EV739" s="1323"/>
      <c r="EW739" s="1323"/>
      <c r="EX739" s="1323"/>
      <c r="EZ739" s="1296" t="str">
        <f t="shared" si="32"/>
        <v/>
      </c>
      <c r="FA739" s="1297"/>
      <c r="FB739" s="1297"/>
      <c r="FC739" s="1297"/>
      <c r="FD739" s="1298"/>
      <c r="FE739" s="1296" t="str">
        <f t="shared" si="33"/>
        <v/>
      </c>
      <c r="FF739" s="1297"/>
      <c r="FG739" s="1297"/>
      <c r="FH739" s="1297"/>
      <c r="FI739" s="1298"/>
      <c r="FJ739" s="1296">
        <f t="shared" si="34"/>
        <v>1828</v>
      </c>
      <c r="FK739" s="1297"/>
      <c r="FL739" s="1297"/>
      <c r="FM739" s="1297"/>
      <c r="FN739" s="1298"/>
      <c r="FO739" s="1296" t="str">
        <f t="shared" si="35"/>
        <v/>
      </c>
      <c r="FP739" s="1297"/>
      <c r="FQ739" s="1297"/>
      <c r="FR739" s="1297"/>
      <c r="FS739" s="1298"/>
      <c r="FT739" s="1296" t="str">
        <f t="shared" si="36"/>
        <v/>
      </c>
      <c r="FU739" s="1297"/>
      <c r="FV739" s="1297"/>
      <c r="FW739" s="1297"/>
      <c r="FX739" s="1298"/>
      <c r="FY739" s="1296" t="str">
        <f t="shared" si="37"/>
        <v/>
      </c>
      <c r="FZ739" s="1297"/>
      <c r="GA739" s="1297"/>
      <c r="GB739" s="1297"/>
      <c r="GC739" s="1298"/>
    </row>
    <row r="740" spans="1:185" ht="13" customHeight="1">
      <c r="B740" s="1310" t="s">
        <v>828</v>
      </c>
      <c r="C740" s="1311"/>
      <c r="D740" s="1311"/>
      <c r="E740" s="1311"/>
      <c r="F740" s="1312"/>
      <c r="G740" s="1319">
        <v>4</v>
      </c>
      <c r="H740" s="1320"/>
      <c r="I740" s="1320"/>
      <c r="J740" s="1321"/>
      <c r="K740" s="1546">
        <v>673</v>
      </c>
      <c r="L740" s="1547"/>
      <c r="M740" s="1547"/>
      <c r="N740" s="1548"/>
      <c r="O740" s="1420">
        <v>2012</v>
      </c>
      <c r="P740" s="1421"/>
      <c r="Q740" s="1421"/>
      <c r="R740" s="1421"/>
      <c r="S740" s="1422"/>
      <c r="T740" s="1420">
        <v>71</v>
      </c>
      <c r="U740" s="1421"/>
      <c r="V740" s="1421"/>
      <c r="W740" s="1422"/>
      <c r="X740" s="1313">
        <f t="shared" si="10"/>
        <v>2083</v>
      </c>
      <c r="Y740" s="1314"/>
      <c r="Z740" s="1314"/>
      <c r="AA740" s="1314"/>
      <c r="AB740" s="1315"/>
      <c r="AC740" s="1555">
        <v>0.6</v>
      </c>
      <c r="AD740" s="1556"/>
      <c r="AE740" s="1556"/>
      <c r="AF740" s="1556"/>
      <c r="AG740" s="1557"/>
      <c r="AH740" s="1316">
        <f t="shared" si="38"/>
        <v>0.5744622173193602</v>
      </c>
      <c r="AI740" s="1317"/>
      <c r="AJ740" s="1318"/>
      <c r="AK740" s="1310" t="s">
        <v>807</v>
      </c>
      <c r="AL740" s="1311"/>
      <c r="AM740" s="1311"/>
      <c r="AN740" s="1311"/>
      <c r="AO740" s="1312"/>
      <c r="AP740" s="3"/>
      <c r="AQ740" s="3"/>
      <c r="AR740" s="3"/>
      <c r="AS740" s="3"/>
      <c r="AY740" s="855"/>
      <c r="AZ740" s="84">
        <f t="shared" si="11"/>
        <v>3626</v>
      </c>
      <c r="BA740" s="3"/>
      <c r="BE740" s="135"/>
      <c r="BF740" s="202">
        <f t="shared" si="12"/>
        <v>4</v>
      </c>
      <c r="BG740" s="205">
        <f t="shared" si="13"/>
        <v>5.128205128205128E-2</v>
      </c>
      <c r="BH740" s="206">
        <f t="shared" si="14"/>
        <v>3.0769230769230767E-2</v>
      </c>
      <c r="BK740" s="3"/>
      <c r="BL740" s="3"/>
      <c r="BM740" s="3"/>
      <c r="BN740" s="3"/>
      <c r="BS740" s="202">
        <f t="shared" si="15"/>
        <v>4</v>
      </c>
      <c r="BT740" s="205">
        <f t="shared" si="16"/>
        <v>5.128205128205128E-2</v>
      </c>
      <c r="BU740" s="206">
        <f t="shared" si="17"/>
        <v>2.9459600888172316E-2</v>
      </c>
      <c r="BV740" s="3"/>
      <c r="BW740" s="3"/>
      <c r="BX740" s="3"/>
      <c r="BY740" s="3"/>
      <c r="BZ740" s="3"/>
      <c r="CA740" s="3"/>
      <c r="CB740" s="3"/>
      <c r="CC740" s="3"/>
      <c r="CE740" s="3"/>
      <c r="CF740" s="3"/>
      <c r="CG740" s="1296">
        <f t="shared" si="39"/>
        <v>0</v>
      </c>
      <c r="CH740" s="1298"/>
      <c r="CI740" s="1296">
        <f t="shared" si="40"/>
        <v>0</v>
      </c>
      <c r="CJ740" s="1298"/>
      <c r="CK740" s="1296">
        <f t="shared" si="18"/>
        <v>0</v>
      </c>
      <c r="CL740" s="1298"/>
      <c r="CM740" s="1296">
        <f t="shared" si="19"/>
        <v>0</v>
      </c>
      <c r="CN740" s="1298"/>
      <c r="CO740" s="3"/>
      <c r="CP740" s="1293">
        <f t="shared" si="20"/>
        <v>0</v>
      </c>
      <c r="CQ740" s="1294"/>
      <c r="CR740" s="1294"/>
      <c r="CS740" s="1294"/>
      <c r="CT740" s="1295"/>
      <c r="CU740" s="1309">
        <f t="shared" si="21"/>
        <v>4</v>
      </c>
      <c r="CV740" s="1309"/>
      <c r="CW740" s="1309"/>
      <c r="CX740" s="1309"/>
      <c r="CY740" s="1309"/>
      <c r="CZ740" s="1309">
        <f t="shared" si="22"/>
        <v>0</v>
      </c>
      <c r="DA740" s="1309"/>
      <c r="DB740" s="1309"/>
      <c r="DC740" s="1309"/>
      <c r="DD740" s="1309"/>
      <c r="DE740" s="1309">
        <f t="shared" si="23"/>
        <v>0</v>
      </c>
      <c r="DF740" s="1309"/>
      <c r="DG740" s="1309"/>
      <c r="DH740" s="1309"/>
      <c r="DI740" s="1309"/>
      <c r="DJ740" s="1309">
        <f t="shared" si="24"/>
        <v>0</v>
      </c>
      <c r="DK740" s="1309"/>
      <c r="DL740" s="1309"/>
      <c r="DM740" s="1309"/>
      <c r="DN740" s="1309"/>
      <c r="DO740" s="1309">
        <f t="shared" si="25"/>
        <v>0</v>
      </c>
      <c r="DP740" s="1309"/>
      <c r="DQ740" s="1309"/>
      <c r="DR740" s="1309"/>
      <c r="DS740" s="1309"/>
      <c r="DT740" s="256"/>
      <c r="DU740" s="1323">
        <f t="shared" si="26"/>
        <v>0</v>
      </c>
      <c r="DV740" s="1323"/>
      <c r="DW740" s="1323"/>
      <c r="DX740" s="1323"/>
      <c r="DY740" s="1323"/>
      <c r="DZ740" s="1323">
        <f t="shared" si="27"/>
        <v>0</v>
      </c>
      <c r="EA740" s="1323"/>
      <c r="EB740" s="1323"/>
      <c r="EC740" s="1323"/>
      <c r="ED740" s="1323"/>
      <c r="EE740" s="1323">
        <f t="shared" si="28"/>
        <v>0</v>
      </c>
      <c r="EF740" s="1323"/>
      <c r="EG740" s="1323"/>
      <c r="EH740" s="1323"/>
      <c r="EI740" s="1323"/>
      <c r="EJ740" s="1323">
        <f t="shared" si="29"/>
        <v>0</v>
      </c>
      <c r="EK740" s="1323"/>
      <c r="EL740" s="1323"/>
      <c r="EM740" s="1323"/>
      <c r="EN740" s="1323"/>
      <c r="EO740" s="1323">
        <f t="shared" si="30"/>
        <v>0</v>
      </c>
      <c r="EP740" s="1323"/>
      <c r="EQ740" s="1323"/>
      <c r="ER740" s="1323"/>
      <c r="ES740" s="1323"/>
      <c r="ET740" s="1323">
        <f t="shared" si="31"/>
        <v>0</v>
      </c>
      <c r="EU740" s="1323"/>
      <c r="EV740" s="1323"/>
      <c r="EW740" s="1323"/>
      <c r="EX740" s="1323"/>
      <c r="EZ740" s="1296" t="str">
        <f t="shared" si="32"/>
        <v/>
      </c>
      <c r="FA740" s="1297"/>
      <c r="FB740" s="1297"/>
      <c r="FC740" s="1297"/>
      <c r="FD740" s="1298"/>
      <c r="FE740" s="1296">
        <f t="shared" si="33"/>
        <v>2012</v>
      </c>
      <c r="FF740" s="1297"/>
      <c r="FG740" s="1297"/>
      <c r="FH740" s="1297"/>
      <c r="FI740" s="1298"/>
      <c r="FJ740" s="1296" t="str">
        <f t="shared" si="34"/>
        <v/>
      </c>
      <c r="FK740" s="1297"/>
      <c r="FL740" s="1297"/>
      <c r="FM740" s="1297"/>
      <c r="FN740" s="1298"/>
      <c r="FO740" s="1296" t="str">
        <f t="shared" si="35"/>
        <v/>
      </c>
      <c r="FP740" s="1297"/>
      <c r="FQ740" s="1297"/>
      <c r="FR740" s="1297"/>
      <c r="FS740" s="1298"/>
      <c r="FT740" s="1296" t="str">
        <f t="shared" si="36"/>
        <v/>
      </c>
      <c r="FU740" s="1297"/>
      <c r="FV740" s="1297"/>
      <c r="FW740" s="1297"/>
      <c r="FX740" s="1298"/>
      <c r="FY740" s="1296" t="str">
        <f t="shared" si="37"/>
        <v/>
      </c>
      <c r="FZ740" s="1297"/>
      <c r="GA740" s="1297"/>
      <c r="GB740" s="1297"/>
      <c r="GC740" s="1298"/>
    </row>
    <row r="741" spans="1:185" ht="13" customHeight="1">
      <c r="B741" s="1310" t="s">
        <v>828</v>
      </c>
      <c r="C741" s="1311"/>
      <c r="D741" s="1311"/>
      <c r="E741" s="1311"/>
      <c r="F741" s="1312"/>
      <c r="G741" s="1319">
        <v>1</v>
      </c>
      <c r="H741" s="1320"/>
      <c r="I741" s="1320"/>
      <c r="J741" s="1321"/>
      <c r="K741" s="1546">
        <v>673</v>
      </c>
      <c r="L741" s="1547"/>
      <c r="M741" s="1547"/>
      <c r="N741" s="1548"/>
      <c r="O741" s="1420">
        <v>2012</v>
      </c>
      <c r="P741" s="1421"/>
      <c r="Q741" s="1421"/>
      <c r="R741" s="1421"/>
      <c r="S741" s="1422"/>
      <c r="T741" s="1420">
        <v>71</v>
      </c>
      <c r="U741" s="1421"/>
      <c r="V741" s="1421"/>
      <c r="W741" s="1422"/>
      <c r="X741" s="1313">
        <f t="shared" si="10"/>
        <v>2083</v>
      </c>
      <c r="Y741" s="1314"/>
      <c r="Z741" s="1314"/>
      <c r="AA741" s="1314"/>
      <c r="AB741" s="1315"/>
      <c r="AC741" s="1555">
        <v>0.6</v>
      </c>
      <c r="AD741" s="1556"/>
      <c r="AE741" s="1556"/>
      <c r="AF741" s="1556"/>
      <c r="AG741" s="1557"/>
      <c r="AH741" s="1316">
        <f t="shared" si="38"/>
        <v>0.5744622173193602</v>
      </c>
      <c r="AI741" s="1317"/>
      <c r="AJ741" s="1318"/>
      <c r="AK741" s="1310" t="s">
        <v>807</v>
      </c>
      <c r="AL741" s="1311"/>
      <c r="AM741" s="1311"/>
      <c r="AN741" s="1311"/>
      <c r="AO741" s="1312"/>
      <c r="AP741" s="3"/>
      <c r="AQ741" s="3"/>
      <c r="AR741" s="3"/>
      <c r="AS741" s="3"/>
      <c r="AY741" s="855"/>
      <c r="AZ741" s="84">
        <f t="shared" si="11"/>
        <v>3626</v>
      </c>
      <c r="BA741" s="3"/>
      <c r="BE741" s="135"/>
      <c r="BF741" s="202">
        <f t="shared" si="12"/>
        <v>1</v>
      </c>
      <c r="BG741" s="205">
        <f t="shared" si="13"/>
        <v>1.282051282051282E-2</v>
      </c>
      <c r="BH741" s="206">
        <f t="shared" si="14"/>
        <v>7.6923076923076919E-3</v>
      </c>
      <c r="BK741" s="3"/>
      <c r="BL741" s="3"/>
      <c r="BM741" s="3"/>
      <c r="BN741" s="3"/>
      <c r="BS741" s="202">
        <f t="shared" si="15"/>
        <v>1</v>
      </c>
      <c r="BT741" s="205">
        <f t="shared" si="16"/>
        <v>1.282051282051282E-2</v>
      </c>
      <c r="BU741" s="206">
        <f t="shared" si="17"/>
        <v>7.364900222043079E-3</v>
      </c>
      <c r="BV741" s="3"/>
      <c r="BW741" s="3"/>
      <c r="BX741" s="3"/>
      <c r="BY741" s="3"/>
      <c r="BZ741" s="3"/>
      <c r="CA741" s="3"/>
      <c r="CB741" s="3"/>
      <c r="CC741" s="3"/>
      <c r="CE741" s="3"/>
      <c r="CF741" s="3"/>
      <c r="CG741" s="1296">
        <f t="shared" si="39"/>
        <v>0</v>
      </c>
      <c r="CH741" s="1298"/>
      <c r="CI741" s="1296">
        <f t="shared" si="40"/>
        <v>0</v>
      </c>
      <c r="CJ741" s="1298"/>
      <c r="CK741" s="1296">
        <f t="shared" si="18"/>
        <v>0</v>
      </c>
      <c r="CL741" s="1298"/>
      <c r="CM741" s="1296">
        <f t="shared" si="19"/>
        <v>0</v>
      </c>
      <c r="CN741" s="1298"/>
      <c r="CO741" s="3"/>
      <c r="CP741" s="1293">
        <f t="shared" si="20"/>
        <v>0</v>
      </c>
      <c r="CQ741" s="1294"/>
      <c r="CR741" s="1294"/>
      <c r="CS741" s="1294"/>
      <c r="CT741" s="1295"/>
      <c r="CU741" s="1309">
        <f t="shared" si="21"/>
        <v>1</v>
      </c>
      <c r="CV741" s="1309"/>
      <c r="CW741" s="1309"/>
      <c r="CX741" s="1309"/>
      <c r="CY741" s="1309"/>
      <c r="CZ741" s="1309">
        <f t="shared" si="22"/>
        <v>0</v>
      </c>
      <c r="DA741" s="1309"/>
      <c r="DB741" s="1309"/>
      <c r="DC741" s="1309"/>
      <c r="DD741" s="1309"/>
      <c r="DE741" s="1309">
        <f t="shared" si="23"/>
        <v>0</v>
      </c>
      <c r="DF741" s="1309"/>
      <c r="DG741" s="1309"/>
      <c r="DH741" s="1309"/>
      <c r="DI741" s="1309"/>
      <c r="DJ741" s="1309">
        <f t="shared" si="24"/>
        <v>0</v>
      </c>
      <c r="DK741" s="1309"/>
      <c r="DL741" s="1309"/>
      <c r="DM741" s="1309"/>
      <c r="DN741" s="1309"/>
      <c r="DO741" s="1309">
        <f t="shared" si="25"/>
        <v>0</v>
      </c>
      <c r="DP741" s="1309"/>
      <c r="DQ741" s="1309"/>
      <c r="DR741" s="1309"/>
      <c r="DS741" s="1309"/>
      <c r="DT741" s="256"/>
      <c r="DU741" s="1323">
        <f t="shared" si="26"/>
        <v>0</v>
      </c>
      <c r="DV741" s="1323"/>
      <c r="DW741" s="1323"/>
      <c r="DX741" s="1323"/>
      <c r="DY741" s="1323"/>
      <c r="DZ741" s="1323">
        <f t="shared" si="27"/>
        <v>0</v>
      </c>
      <c r="EA741" s="1323"/>
      <c r="EB741" s="1323"/>
      <c r="EC741" s="1323"/>
      <c r="ED741" s="1323"/>
      <c r="EE741" s="1323">
        <f t="shared" si="28"/>
        <v>0</v>
      </c>
      <c r="EF741" s="1323"/>
      <c r="EG741" s="1323"/>
      <c r="EH741" s="1323"/>
      <c r="EI741" s="1323"/>
      <c r="EJ741" s="1323">
        <f t="shared" si="29"/>
        <v>0</v>
      </c>
      <c r="EK741" s="1323"/>
      <c r="EL741" s="1323"/>
      <c r="EM741" s="1323"/>
      <c r="EN741" s="1323"/>
      <c r="EO741" s="1323">
        <f t="shared" si="30"/>
        <v>0</v>
      </c>
      <c r="EP741" s="1323"/>
      <c r="EQ741" s="1323"/>
      <c r="ER741" s="1323"/>
      <c r="ES741" s="1323"/>
      <c r="ET741" s="1323">
        <f t="shared" si="31"/>
        <v>0</v>
      </c>
      <c r="EU741" s="1323"/>
      <c r="EV741" s="1323"/>
      <c r="EW741" s="1323"/>
      <c r="EX741" s="1323"/>
      <c r="EZ741" s="1296" t="str">
        <f t="shared" si="32"/>
        <v/>
      </c>
      <c r="FA741" s="1297"/>
      <c r="FB741" s="1297"/>
      <c r="FC741" s="1297"/>
      <c r="FD741" s="1298"/>
      <c r="FE741" s="1296">
        <f t="shared" si="33"/>
        <v>2012</v>
      </c>
      <c r="FF741" s="1297"/>
      <c r="FG741" s="1297"/>
      <c r="FH741" s="1297"/>
      <c r="FI741" s="1298"/>
      <c r="FJ741" s="1296" t="str">
        <f t="shared" si="34"/>
        <v/>
      </c>
      <c r="FK741" s="1297"/>
      <c r="FL741" s="1297"/>
      <c r="FM741" s="1297"/>
      <c r="FN741" s="1298"/>
      <c r="FO741" s="1296" t="str">
        <f t="shared" si="35"/>
        <v/>
      </c>
      <c r="FP741" s="1297"/>
      <c r="FQ741" s="1297"/>
      <c r="FR741" s="1297"/>
      <c r="FS741" s="1298"/>
      <c r="FT741" s="1296" t="str">
        <f t="shared" si="36"/>
        <v/>
      </c>
      <c r="FU741" s="1297"/>
      <c r="FV741" s="1297"/>
      <c r="FW741" s="1297"/>
      <c r="FX741" s="1298"/>
      <c r="FY741" s="1296" t="str">
        <f t="shared" si="37"/>
        <v/>
      </c>
      <c r="FZ741" s="1297"/>
      <c r="GA741" s="1297"/>
      <c r="GB741" s="1297"/>
      <c r="GC741" s="1298"/>
    </row>
    <row r="742" spans="1:185" ht="13" customHeight="1">
      <c r="B742" s="1310" t="s">
        <v>829</v>
      </c>
      <c r="C742" s="1311"/>
      <c r="D742" s="1311"/>
      <c r="E742" s="1311"/>
      <c r="F742" s="1312"/>
      <c r="G742" s="1319">
        <v>8</v>
      </c>
      <c r="H742" s="1320"/>
      <c r="I742" s="1320"/>
      <c r="J742" s="1321"/>
      <c r="K742" s="1546">
        <v>958</v>
      </c>
      <c r="L742" s="1547"/>
      <c r="M742" s="1547"/>
      <c r="N742" s="1548"/>
      <c r="O742" s="1420">
        <v>2147</v>
      </c>
      <c r="P742" s="1421"/>
      <c r="Q742" s="1421"/>
      <c r="R742" s="1421"/>
      <c r="S742" s="1422"/>
      <c r="T742" s="1420">
        <v>98</v>
      </c>
      <c r="U742" s="1421"/>
      <c r="V742" s="1421"/>
      <c r="W742" s="1422"/>
      <c r="X742" s="1313">
        <f t="shared" ref="X742:X751" si="41">O742+T742</f>
        <v>2245</v>
      </c>
      <c r="Y742" s="1314"/>
      <c r="Z742" s="1314"/>
      <c r="AA742" s="1314"/>
      <c r="AB742" s="1315"/>
      <c r="AC742" s="1555">
        <v>0.6</v>
      </c>
      <c r="AD742" s="1556"/>
      <c r="AE742" s="1556"/>
      <c r="AF742" s="1556"/>
      <c r="AG742" s="1557"/>
      <c r="AH742" s="1316">
        <f t="shared" si="38"/>
        <v>0.51585477941176472</v>
      </c>
      <c r="AI742" s="1317"/>
      <c r="AJ742" s="1318"/>
      <c r="AK742" s="1310" t="s">
        <v>807</v>
      </c>
      <c r="AL742" s="1311"/>
      <c r="AM742" s="1311"/>
      <c r="AN742" s="1311"/>
      <c r="AO742" s="1312"/>
      <c r="AP742" s="3"/>
      <c r="AQ742" s="3"/>
      <c r="AR742" s="3"/>
      <c r="AS742" s="3"/>
      <c r="AY742" s="855"/>
      <c r="AZ742" s="84">
        <f t="shared" si="11"/>
        <v>4352</v>
      </c>
      <c r="BA742" s="3"/>
      <c r="BB742" s="3"/>
      <c r="BE742" s="135"/>
      <c r="BF742" s="202">
        <f t="shared" si="12"/>
        <v>8</v>
      </c>
      <c r="BG742" s="205">
        <f t="shared" si="13"/>
        <v>0.10256410256410256</v>
      </c>
      <c r="BH742" s="206">
        <f t="shared" si="14"/>
        <v>6.1538461538461535E-2</v>
      </c>
      <c r="BL742" s="3"/>
      <c r="BM742" s="3"/>
      <c r="BN742" s="3"/>
      <c r="BS742" s="202">
        <f t="shared" si="15"/>
        <v>8</v>
      </c>
      <c r="BT742" s="205">
        <f t="shared" si="16"/>
        <v>0.10256410256410256</v>
      </c>
      <c r="BU742" s="206">
        <f t="shared" si="17"/>
        <v>5.2908182503770738E-2</v>
      </c>
      <c r="BV742" s="3"/>
      <c r="BW742" s="3"/>
      <c r="BX742" s="3"/>
      <c r="BY742" s="3"/>
      <c r="BZ742" s="3"/>
      <c r="CA742" s="3"/>
      <c r="CB742" s="3"/>
      <c r="CC742" s="3"/>
      <c r="CE742" s="3"/>
      <c r="CF742" s="3"/>
      <c r="CG742" s="1296">
        <f t="shared" si="39"/>
        <v>0</v>
      </c>
      <c r="CH742" s="1298"/>
      <c r="CI742" s="1296">
        <f t="shared" si="40"/>
        <v>0</v>
      </c>
      <c r="CJ742" s="1298"/>
      <c r="CK742" s="1296">
        <f t="shared" si="18"/>
        <v>0</v>
      </c>
      <c r="CL742" s="1298"/>
      <c r="CM742" s="1296">
        <f t="shared" si="19"/>
        <v>0</v>
      </c>
      <c r="CN742" s="1298"/>
      <c r="CO742" s="3"/>
      <c r="CP742" s="1293">
        <f t="shared" si="20"/>
        <v>0</v>
      </c>
      <c r="CQ742" s="1294"/>
      <c r="CR742" s="1294"/>
      <c r="CS742" s="1294"/>
      <c r="CT742" s="1295"/>
      <c r="CU742" s="1309">
        <f t="shared" si="21"/>
        <v>0</v>
      </c>
      <c r="CV742" s="1309"/>
      <c r="CW742" s="1309"/>
      <c r="CX742" s="1309"/>
      <c r="CY742" s="1309"/>
      <c r="CZ742" s="1309">
        <f t="shared" si="22"/>
        <v>8</v>
      </c>
      <c r="DA742" s="1309"/>
      <c r="DB742" s="1309"/>
      <c r="DC742" s="1309"/>
      <c r="DD742" s="1309"/>
      <c r="DE742" s="1309">
        <f t="shared" si="23"/>
        <v>0</v>
      </c>
      <c r="DF742" s="1309"/>
      <c r="DG742" s="1309"/>
      <c r="DH742" s="1309"/>
      <c r="DI742" s="1309"/>
      <c r="DJ742" s="1309">
        <f t="shared" si="24"/>
        <v>0</v>
      </c>
      <c r="DK742" s="1309"/>
      <c r="DL742" s="1309"/>
      <c r="DM742" s="1309"/>
      <c r="DN742" s="1309"/>
      <c r="DO742" s="1309">
        <f t="shared" si="25"/>
        <v>0</v>
      </c>
      <c r="DP742" s="1309"/>
      <c r="DQ742" s="1309"/>
      <c r="DR742" s="1309"/>
      <c r="DS742" s="1309"/>
      <c r="DT742" s="256"/>
      <c r="DU742" s="1323">
        <f t="shared" si="26"/>
        <v>0</v>
      </c>
      <c r="DV742" s="1323"/>
      <c r="DW742" s="1323"/>
      <c r="DX742" s="1323"/>
      <c r="DY742" s="1323"/>
      <c r="DZ742" s="1323">
        <f t="shared" si="27"/>
        <v>0</v>
      </c>
      <c r="EA742" s="1323"/>
      <c r="EB742" s="1323"/>
      <c r="EC742" s="1323"/>
      <c r="ED742" s="1323"/>
      <c r="EE742" s="1323">
        <f t="shared" si="28"/>
        <v>0</v>
      </c>
      <c r="EF742" s="1323"/>
      <c r="EG742" s="1323"/>
      <c r="EH742" s="1323"/>
      <c r="EI742" s="1323"/>
      <c r="EJ742" s="1323">
        <f t="shared" si="29"/>
        <v>0</v>
      </c>
      <c r="EK742" s="1323"/>
      <c r="EL742" s="1323"/>
      <c r="EM742" s="1323"/>
      <c r="EN742" s="1323"/>
      <c r="EO742" s="1323">
        <f t="shared" si="30"/>
        <v>0</v>
      </c>
      <c r="EP742" s="1323"/>
      <c r="EQ742" s="1323"/>
      <c r="ER742" s="1323"/>
      <c r="ES742" s="1323"/>
      <c r="ET742" s="1323">
        <f t="shared" si="31"/>
        <v>0</v>
      </c>
      <c r="EU742" s="1323"/>
      <c r="EV742" s="1323"/>
      <c r="EW742" s="1323"/>
      <c r="EX742" s="1323"/>
      <c r="EZ742" s="1296" t="str">
        <f t="shared" si="32"/>
        <v/>
      </c>
      <c r="FA742" s="1297"/>
      <c r="FB742" s="1297"/>
      <c r="FC742" s="1297"/>
      <c r="FD742" s="1298"/>
      <c r="FE742" s="1296" t="str">
        <f t="shared" si="33"/>
        <v/>
      </c>
      <c r="FF742" s="1297"/>
      <c r="FG742" s="1297"/>
      <c r="FH742" s="1297"/>
      <c r="FI742" s="1298"/>
      <c r="FJ742" s="1296">
        <f t="shared" si="34"/>
        <v>2147</v>
      </c>
      <c r="FK742" s="1297"/>
      <c r="FL742" s="1297"/>
      <c r="FM742" s="1297"/>
      <c r="FN742" s="1298"/>
      <c r="FO742" s="1296" t="str">
        <f t="shared" si="35"/>
        <v/>
      </c>
      <c r="FP742" s="1297"/>
      <c r="FQ742" s="1297"/>
      <c r="FR742" s="1297"/>
      <c r="FS742" s="1298"/>
      <c r="FT742" s="1296" t="str">
        <f t="shared" si="36"/>
        <v/>
      </c>
      <c r="FU742" s="1297"/>
      <c r="FV742" s="1297"/>
      <c r="FW742" s="1297"/>
      <c r="FX742" s="1298"/>
      <c r="FY742" s="1296" t="str">
        <f t="shared" si="37"/>
        <v/>
      </c>
      <c r="FZ742" s="1297"/>
      <c r="GA742" s="1297"/>
      <c r="GB742" s="1297"/>
      <c r="GC742" s="1298"/>
    </row>
    <row r="743" spans="1:185" s="3" customFormat="1" ht="13" customHeight="1">
      <c r="A743"/>
      <c r="B743" s="1310" t="s">
        <v>830</v>
      </c>
      <c r="C743" s="1311"/>
      <c r="D743" s="1311"/>
      <c r="E743" s="1311"/>
      <c r="F743" s="1312"/>
      <c r="G743" s="1319">
        <v>4</v>
      </c>
      <c r="H743" s="1320"/>
      <c r="I743" s="1320"/>
      <c r="J743" s="1321"/>
      <c r="K743" s="1546">
        <v>1047</v>
      </c>
      <c r="L743" s="1547"/>
      <c r="M743" s="1547"/>
      <c r="N743" s="1548"/>
      <c r="O743" s="1420">
        <v>2405</v>
      </c>
      <c r="P743" s="1421"/>
      <c r="Q743" s="1421"/>
      <c r="R743" s="1421"/>
      <c r="S743" s="1422"/>
      <c r="T743" s="1420">
        <v>123</v>
      </c>
      <c r="U743" s="1421"/>
      <c r="V743" s="1421"/>
      <c r="W743" s="1422"/>
      <c r="X743" s="1313">
        <f t="shared" si="41"/>
        <v>2528</v>
      </c>
      <c r="Y743" s="1314"/>
      <c r="Z743" s="1314"/>
      <c r="AA743" s="1314"/>
      <c r="AB743" s="1315"/>
      <c r="AC743" s="1555">
        <v>0.6</v>
      </c>
      <c r="AD743" s="1556"/>
      <c r="AE743" s="1556"/>
      <c r="AF743" s="1556"/>
      <c r="AG743" s="1557"/>
      <c r="AH743" s="1316">
        <f t="shared" si="38"/>
        <v>0.50278440731901353</v>
      </c>
      <c r="AI743" s="1317"/>
      <c r="AJ743" s="1318"/>
      <c r="AK743" s="1310" t="s">
        <v>807</v>
      </c>
      <c r="AL743" s="1311"/>
      <c r="AM743" s="1311"/>
      <c r="AN743" s="1311"/>
      <c r="AO743" s="1312"/>
      <c r="AT743"/>
      <c r="AU743"/>
      <c r="AV743"/>
      <c r="AW743"/>
      <c r="AX743"/>
      <c r="AY743" s="855"/>
      <c r="AZ743" s="84">
        <f t="shared" si="11"/>
        <v>5028</v>
      </c>
      <c r="BD743"/>
      <c r="BE743"/>
      <c r="BF743" s="202">
        <f t="shared" si="12"/>
        <v>4</v>
      </c>
      <c r="BG743" s="205">
        <f t="shared" si="13"/>
        <v>5.128205128205128E-2</v>
      </c>
      <c r="BH743" s="206">
        <f t="shared" si="14"/>
        <v>3.0769230769230767E-2</v>
      </c>
      <c r="BI743"/>
      <c r="BJ743"/>
      <c r="BK743"/>
      <c r="BL743"/>
      <c r="BM743"/>
      <c r="BN743"/>
      <c r="BO743"/>
      <c r="BP743"/>
      <c r="BQ743"/>
      <c r="BR743"/>
      <c r="BS743" s="202">
        <f t="shared" si="15"/>
        <v>4</v>
      </c>
      <c r="BT743" s="205">
        <f t="shared" si="16"/>
        <v>5.128205128205128E-2</v>
      </c>
      <c r="BU743" s="206">
        <f t="shared" si="17"/>
        <v>2.5783815759949411E-2</v>
      </c>
      <c r="CD743"/>
      <c r="CG743" s="1296">
        <f t="shared" si="39"/>
        <v>0</v>
      </c>
      <c r="CH743" s="1298"/>
      <c r="CI743" s="1296">
        <f t="shared" si="40"/>
        <v>0</v>
      </c>
      <c r="CJ743" s="1298"/>
      <c r="CK743" s="1296">
        <f t="shared" si="18"/>
        <v>0</v>
      </c>
      <c r="CL743" s="1298"/>
      <c r="CM743" s="1296">
        <f t="shared" si="19"/>
        <v>0</v>
      </c>
      <c r="CN743" s="1298"/>
      <c r="CP743" s="1293">
        <f t="shared" si="20"/>
        <v>0</v>
      </c>
      <c r="CQ743" s="1294"/>
      <c r="CR743" s="1294"/>
      <c r="CS743" s="1294"/>
      <c r="CT743" s="1295"/>
      <c r="CU743" s="1309">
        <f t="shared" si="21"/>
        <v>0</v>
      </c>
      <c r="CV743" s="1309"/>
      <c r="CW743" s="1309"/>
      <c r="CX743" s="1309"/>
      <c r="CY743" s="1309"/>
      <c r="CZ743" s="1309">
        <f t="shared" si="22"/>
        <v>0</v>
      </c>
      <c r="DA743" s="1309"/>
      <c r="DB743" s="1309"/>
      <c r="DC743" s="1309"/>
      <c r="DD743" s="1309"/>
      <c r="DE743" s="1309">
        <f t="shared" si="23"/>
        <v>4</v>
      </c>
      <c r="DF743" s="1309"/>
      <c r="DG743" s="1309"/>
      <c r="DH743" s="1309"/>
      <c r="DI743" s="1309"/>
      <c r="DJ743" s="1309">
        <f t="shared" si="24"/>
        <v>0</v>
      </c>
      <c r="DK743" s="1309"/>
      <c r="DL743" s="1309"/>
      <c r="DM743" s="1309"/>
      <c r="DN743" s="1309"/>
      <c r="DO743" s="1309">
        <f t="shared" si="25"/>
        <v>0</v>
      </c>
      <c r="DP743" s="1309"/>
      <c r="DQ743" s="1309"/>
      <c r="DR743" s="1309"/>
      <c r="DS743" s="1309"/>
      <c r="DT743" s="256"/>
      <c r="DU743" s="1323">
        <f t="shared" si="26"/>
        <v>0</v>
      </c>
      <c r="DV743" s="1323"/>
      <c r="DW743" s="1323"/>
      <c r="DX743" s="1323"/>
      <c r="DY743" s="1323"/>
      <c r="DZ743" s="1323">
        <f t="shared" si="27"/>
        <v>0</v>
      </c>
      <c r="EA743" s="1323"/>
      <c r="EB743" s="1323"/>
      <c r="EC743" s="1323"/>
      <c r="ED743" s="1323"/>
      <c r="EE743" s="1323">
        <f t="shared" si="28"/>
        <v>0</v>
      </c>
      <c r="EF743" s="1323"/>
      <c r="EG743" s="1323"/>
      <c r="EH743" s="1323"/>
      <c r="EI743" s="1323"/>
      <c r="EJ743" s="1323">
        <f t="shared" si="29"/>
        <v>0</v>
      </c>
      <c r="EK743" s="1323"/>
      <c r="EL743" s="1323"/>
      <c r="EM743" s="1323"/>
      <c r="EN743" s="1323"/>
      <c r="EO743" s="1323">
        <f t="shared" si="30"/>
        <v>0</v>
      </c>
      <c r="EP743" s="1323"/>
      <c r="EQ743" s="1323"/>
      <c r="ER743" s="1323"/>
      <c r="ES743" s="1323"/>
      <c r="ET743" s="1323">
        <f t="shared" si="31"/>
        <v>0</v>
      </c>
      <c r="EU743" s="1323"/>
      <c r="EV743" s="1323"/>
      <c r="EW743" s="1323"/>
      <c r="EX743" s="1323"/>
      <c r="EY743"/>
      <c r="EZ743" s="1296" t="str">
        <f t="shared" si="32"/>
        <v/>
      </c>
      <c r="FA743" s="1297"/>
      <c r="FB743" s="1297"/>
      <c r="FC743" s="1297"/>
      <c r="FD743" s="1298"/>
      <c r="FE743" s="1296" t="str">
        <f t="shared" si="33"/>
        <v/>
      </c>
      <c r="FF743" s="1297"/>
      <c r="FG743" s="1297"/>
      <c r="FH743" s="1297"/>
      <c r="FI743" s="1298"/>
      <c r="FJ743" s="1296" t="str">
        <f t="shared" si="34"/>
        <v/>
      </c>
      <c r="FK743" s="1297"/>
      <c r="FL743" s="1297"/>
      <c r="FM743" s="1297"/>
      <c r="FN743" s="1298"/>
      <c r="FO743" s="1296">
        <f t="shared" si="35"/>
        <v>2405</v>
      </c>
      <c r="FP743" s="1297"/>
      <c r="FQ743" s="1297"/>
      <c r="FR743" s="1297"/>
      <c r="FS743" s="1298"/>
      <c r="FT743" s="1296" t="str">
        <f t="shared" si="36"/>
        <v/>
      </c>
      <c r="FU743" s="1297"/>
      <c r="FV743" s="1297"/>
      <c r="FW743" s="1297"/>
      <c r="FX743" s="1298"/>
      <c r="FY743" s="1296" t="str">
        <f t="shared" si="37"/>
        <v/>
      </c>
      <c r="FZ743" s="1297"/>
      <c r="GA743" s="1297"/>
      <c r="GB743" s="1297"/>
      <c r="GC743" s="1298"/>
    </row>
    <row r="744" spans="1:185" ht="13" customHeight="1">
      <c r="B744" s="1310" t="s">
        <v>828</v>
      </c>
      <c r="C744" s="1311"/>
      <c r="D744" s="1311"/>
      <c r="E744" s="1311"/>
      <c r="F744" s="1312"/>
      <c r="G744" s="1319">
        <v>1</v>
      </c>
      <c r="H744" s="1320"/>
      <c r="I744" s="1320"/>
      <c r="J744" s="1321"/>
      <c r="K744" s="1546">
        <v>673</v>
      </c>
      <c r="L744" s="1547"/>
      <c r="M744" s="1547"/>
      <c r="N744" s="1548"/>
      <c r="O744" s="1420">
        <v>2012</v>
      </c>
      <c r="P744" s="1421"/>
      <c r="Q744" s="1421"/>
      <c r="R744" s="1421"/>
      <c r="S744" s="1422"/>
      <c r="T744" s="1420">
        <v>71</v>
      </c>
      <c r="U744" s="1421"/>
      <c r="V744" s="1421"/>
      <c r="W744" s="1422"/>
      <c r="X744" s="1313">
        <f t="shared" si="41"/>
        <v>2083</v>
      </c>
      <c r="Y744" s="1314"/>
      <c r="Z744" s="1314"/>
      <c r="AA744" s="1314"/>
      <c r="AB744" s="1315"/>
      <c r="AC744" s="1555">
        <v>0.6</v>
      </c>
      <c r="AD744" s="1556"/>
      <c r="AE744" s="1556"/>
      <c r="AF744" s="1556"/>
      <c r="AG744" s="1557"/>
      <c r="AH744" s="1316">
        <f t="shared" si="38"/>
        <v>0.5744622173193602</v>
      </c>
      <c r="AI744" s="1317"/>
      <c r="AJ744" s="1318"/>
      <c r="AK744" s="1310" t="s">
        <v>807</v>
      </c>
      <c r="AL744" s="1311"/>
      <c r="AM744" s="1311"/>
      <c r="AN744" s="1311"/>
      <c r="AO744" s="1312"/>
      <c r="AP744" s="3"/>
      <c r="AQ744" s="3"/>
      <c r="AR744" s="3"/>
      <c r="AS744" s="3"/>
      <c r="AY744" s="855"/>
      <c r="AZ744" s="84">
        <f t="shared" si="11"/>
        <v>3626</v>
      </c>
      <c r="BA744" s="3"/>
      <c r="BB744" s="3"/>
      <c r="BC744" s="3"/>
      <c r="BD744" s="3"/>
      <c r="BE744" s="3"/>
      <c r="BF744" s="202">
        <f t="shared" si="12"/>
        <v>1</v>
      </c>
      <c r="BG744" s="205">
        <f t="shared" si="13"/>
        <v>1.282051282051282E-2</v>
      </c>
      <c r="BH744" s="206">
        <f t="shared" si="14"/>
        <v>7.6923076923076919E-3</v>
      </c>
      <c r="BI744" s="3"/>
      <c r="BJ744" s="3"/>
      <c r="BK744" s="3"/>
      <c r="BL744" s="3"/>
      <c r="BM744" s="3"/>
      <c r="BN744" s="3"/>
      <c r="BS744" s="202">
        <f t="shared" si="15"/>
        <v>1</v>
      </c>
      <c r="BT744" s="205">
        <f t="shared" si="16"/>
        <v>1.282051282051282E-2</v>
      </c>
      <c r="BU744" s="206">
        <f t="shared" si="17"/>
        <v>7.364900222043079E-3</v>
      </c>
      <c r="BV744" s="3"/>
      <c r="BW744" s="3"/>
      <c r="BX744" s="3"/>
      <c r="BY744" s="3"/>
      <c r="BZ744" s="3"/>
      <c r="CA744" s="3"/>
      <c r="CB744" s="3"/>
      <c r="CC744" s="3"/>
      <c r="CE744" s="3"/>
      <c r="CF744" s="3"/>
      <c r="CG744" s="1296">
        <f t="shared" si="39"/>
        <v>0</v>
      </c>
      <c r="CH744" s="1298"/>
      <c r="CI744" s="1296">
        <f t="shared" si="40"/>
        <v>0</v>
      </c>
      <c r="CJ744" s="1298"/>
      <c r="CK744" s="1296">
        <f t="shared" si="18"/>
        <v>0</v>
      </c>
      <c r="CL744" s="1298"/>
      <c r="CM744" s="1296">
        <f t="shared" si="19"/>
        <v>0</v>
      </c>
      <c r="CN744" s="1298"/>
      <c r="CO744" s="3"/>
      <c r="CP744" s="1293">
        <f t="shared" si="20"/>
        <v>0</v>
      </c>
      <c r="CQ744" s="1294"/>
      <c r="CR744" s="1294"/>
      <c r="CS744" s="1294"/>
      <c r="CT744" s="1295"/>
      <c r="CU744" s="1309">
        <f t="shared" si="21"/>
        <v>1</v>
      </c>
      <c r="CV744" s="1309"/>
      <c r="CW744" s="1309"/>
      <c r="CX744" s="1309"/>
      <c r="CY744" s="1309"/>
      <c r="CZ744" s="1309">
        <f t="shared" si="22"/>
        <v>0</v>
      </c>
      <c r="DA744" s="1309"/>
      <c r="DB744" s="1309"/>
      <c r="DC744" s="1309"/>
      <c r="DD744" s="1309"/>
      <c r="DE744" s="1309">
        <f t="shared" si="23"/>
        <v>0</v>
      </c>
      <c r="DF744" s="1309"/>
      <c r="DG744" s="1309"/>
      <c r="DH744" s="1309"/>
      <c r="DI744" s="1309"/>
      <c r="DJ744" s="1309">
        <f t="shared" si="24"/>
        <v>0</v>
      </c>
      <c r="DK744" s="1309"/>
      <c r="DL744" s="1309"/>
      <c r="DM744" s="1309"/>
      <c r="DN744" s="1309"/>
      <c r="DO744" s="1309">
        <f t="shared" si="25"/>
        <v>0</v>
      </c>
      <c r="DP744" s="1309"/>
      <c r="DQ744" s="1309"/>
      <c r="DR744" s="1309"/>
      <c r="DS744" s="1309"/>
      <c r="DT744" s="256"/>
      <c r="DU744" s="1323">
        <f t="shared" si="26"/>
        <v>0</v>
      </c>
      <c r="DV744" s="1323"/>
      <c r="DW744" s="1323"/>
      <c r="DX744" s="1323"/>
      <c r="DY744" s="1323"/>
      <c r="DZ744" s="1323">
        <f t="shared" si="27"/>
        <v>0</v>
      </c>
      <c r="EA744" s="1323"/>
      <c r="EB744" s="1323"/>
      <c r="EC744" s="1323"/>
      <c r="ED744" s="1323"/>
      <c r="EE744" s="1323">
        <f t="shared" si="28"/>
        <v>0</v>
      </c>
      <c r="EF744" s="1323"/>
      <c r="EG744" s="1323"/>
      <c r="EH744" s="1323"/>
      <c r="EI744" s="1323"/>
      <c r="EJ744" s="1323">
        <f t="shared" si="29"/>
        <v>0</v>
      </c>
      <c r="EK744" s="1323"/>
      <c r="EL744" s="1323"/>
      <c r="EM744" s="1323"/>
      <c r="EN744" s="1323"/>
      <c r="EO744" s="1323">
        <f t="shared" si="30"/>
        <v>0</v>
      </c>
      <c r="EP744" s="1323"/>
      <c r="EQ744" s="1323"/>
      <c r="ER744" s="1323"/>
      <c r="ES744" s="1323"/>
      <c r="ET744" s="1323">
        <f t="shared" si="31"/>
        <v>0</v>
      </c>
      <c r="EU744" s="1323"/>
      <c r="EV744" s="1323"/>
      <c r="EW744" s="1323"/>
      <c r="EX744" s="1323"/>
      <c r="EZ744" s="1296" t="str">
        <f t="shared" si="32"/>
        <v/>
      </c>
      <c r="FA744" s="1297"/>
      <c r="FB744" s="1297"/>
      <c r="FC744" s="1297"/>
      <c r="FD744" s="1298"/>
      <c r="FE744" s="1296">
        <f t="shared" si="33"/>
        <v>2012</v>
      </c>
      <c r="FF744" s="1297"/>
      <c r="FG744" s="1297"/>
      <c r="FH744" s="1297"/>
      <c r="FI744" s="1298"/>
      <c r="FJ744" s="1296" t="str">
        <f t="shared" si="34"/>
        <v/>
      </c>
      <c r="FK744" s="1297"/>
      <c r="FL744" s="1297"/>
      <c r="FM744" s="1297"/>
      <c r="FN744" s="1298"/>
      <c r="FO744" s="1296" t="str">
        <f t="shared" si="35"/>
        <v/>
      </c>
      <c r="FP744" s="1297"/>
      <c r="FQ744" s="1297"/>
      <c r="FR744" s="1297"/>
      <c r="FS744" s="1298"/>
      <c r="FT744" s="1296" t="str">
        <f t="shared" si="36"/>
        <v/>
      </c>
      <c r="FU744" s="1297"/>
      <c r="FV744" s="1297"/>
      <c r="FW744" s="1297"/>
      <c r="FX744" s="1298"/>
      <c r="FY744" s="1296" t="str">
        <f t="shared" si="37"/>
        <v/>
      </c>
      <c r="FZ744" s="1297"/>
      <c r="GA744" s="1297"/>
      <c r="GB744" s="1297"/>
      <c r="GC744" s="1298"/>
    </row>
    <row r="745" spans="1:185" ht="13" customHeight="1">
      <c r="B745" s="1310"/>
      <c r="C745" s="1311"/>
      <c r="D745" s="1311"/>
      <c r="E745" s="1311"/>
      <c r="F745" s="1312"/>
      <c r="G745" s="1319"/>
      <c r="H745" s="1320"/>
      <c r="I745" s="1320"/>
      <c r="J745" s="1321"/>
      <c r="K745" s="1546"/>
      <c r="L745" s="1547"/>
      <c r="M745" s="1547"/>
      <c r="N745" s="1548"/>
      <c r="O745" s="1420"/>
      <c r="P745" s="1421"/>
      <c r="Q745" s="1421"/>
      <c r="R745" s="1421"/>
      <c r="S745" s="1422"/>
      <c r="T745" s="1420"/>
      <c r="U745" s="1421"/>
      <c r="V745" s="1421"/>
      <c r="W745" s="1422"/>
      <c r="X745" s="1313">
        <f t="shared" si="41"/>
        <v>0</v>
      </c>
      <c r="Y745" s="1314"/>
      <c r="Z745" s="1314"/>
      <c r="AA745" s="1314"/>
      <c r="AB745" s="1315"/>
      <c r="AC745" s="1555"/>
      <c r="AD745" s="1556"/>
      <c r="AE745" s="1556"/>
      <c r="AF745" s="1556"/>
      <c r="AG745" s="1557"/>
      <c r="AH745" s="1316" t="str">
        <f t="shared" si="38"/>
        <v/>
      </c>
      <c r="AI745" s="1317"/>
      <c r="AJ745" s="1318"/>
      <c r="AK745" s="1310" t="s">
        <v>807</v>
      </c>
      <c r="AL745" s="1311"/>
      <c r="AM745" s="1311"/>
      <c r="AN745" s="1311"/>
      <c r="AO745" s="1312"/>
      <c r="AP745" s="3"/>
      <c r="AQ745" s="3"/>
      <c r="AR745" s="3"/>
      <c r="AS745" s="3"/>
      <c r="AY745" s="855"/>
      <c r="AZ745" s="84" t="str">
        <f t="shared" si="11"/>
        <v>N/A</v>
      </c>
      <c r="BA745" s="3"/>
      <c r="BB745" s="3"/>
      <c r="BC745" s="3"/>
      <c r="BD745" s="3"/>
      <c r="BE745" s="3"/>
      <c r="BF745" s="202">
        <f t="shared" si="12"/>
        <v>0</v>
      </c>
      <c r="BG745" s="205">
        <f t="shared" si="13"/>
        <v>0</v>
      </c>
      <c r="BH745" s="206" t="str">
        <f t="shared" si="14"/>
        <v/>
      </c>
      <c r="BI745" s="3"/>
      <c r="BJ745" s="3"/>
      <c r="BK745" s="3"/>
      <c r="BL745" s="3"/>
      <c r="BM745" s="3"/>
      <c r="BN745" s="3"/>
      <c r="BS745" s="202">
        <f t="shared" si="15"/>
        <v>0</v>
      </c>
      <c r="BT745" s="205">
        <f t="shared" si="16"/>
        <v>0</v>
      </c>
      <c r="BU745" s="206" t="str">
        <f t="shared" si="17"/>
        <v/>
      </c>
      <c r="BV745" s="3"/>
      <c r="BW745" s="3"/>
      <c r="BX745" s="3"/>
      <c r="BY745" s="3"/>
      <c r="BZ745" s="3"/>
      <c r="CA745" s="3"/>
      <c r="CB745" s="3"/>
      <c r="CC745" s="3"/>
      <c r="CE745" s="3"/>
      <c r="CF745" s="3"/>
      <c r="CG745" s="1296">
        <f t="shared" si="39"/>
        <v>0</v>
      </c>
      <c r="CH745" s="1298"/>
      <c r="CI745" s="1296">
        <f t="shared" si="40"/>
        <v>0</v>
      </c>
      <c r="CJ745" s="1298"/>
      <c r="CK745" s="1296">
        <f t="shared" si="18"/>
        <v>0</v>
      </c>
      <c r="CL745" s="1298"/>
      <c r="CM745" s="1296">
        <f t="shared" si="19"/>
        <v>0</v>
      </c>
      <c r="CN745" s="1298"/>
      <c r="CO745" s="3"/>
      <c r="CP745" s="1293">
        <f t="shared" si="20"/>
        <v>0</v>
      </c>
      <c r="CQ745" s="1294"/>
      <c r="CR745" s="1294"/>
      <c r="CS745" s="1294"/>
      <c r="CT745" s="1295"/>
      <c r="CU745" s="1309">
        <f t="shared" si="21"/>
        <v>0</v>
      </c>
      <c r="CV745" s="1309"/>
      <c r="CW745" s="1309"/>
      <c r="CX745" s="1309"/>
      <c r="CY745" s="1309"/>
      <c r="CZ745" s="1309">
        <f t="shared" si="22"/>
        <v>0</v>
      </c>
      <c r="DA745" s="1309"/>
      <c r="DB745" s="1309"/>
      <c r="DC745" s="1309"/>
      <c r="DD745" s="1309"/>
      <c r="DE745" s="1309">
        <f t="shared" si="23"/>
        <v>0</v>
      </c>
      <c r="DF745" s="1309"/>
      <c r="DG745" s="1309"/>
      <c r="DH745" s="1309"/>
      <c r="DI745" s="1309"/>
      <c r="DJ745" s="1309">
        <f t="shared" si="24"/>
        <v>0</v>
      </c>
      <c r="DK745" s="1309"/>
      <c r="DL745" s="1309"/>
      <c r="DM745" s="1309"/>
      <c r="DN745" s="1309"/>
      <c r="DO745" s="1309">
        <f t="shared" si="25"/>
        <v>0</v>
      </c>
      <c r="DP745" s="1309"/>
      <c r="DQ745" s="1309"/>
      <c r="DR745" s="1309"/>
      <c r="DS745" s="1309"/>
      <c r="DT745" s="256"/>
      <c r="DU745" s="1323">
        <f t="shared" si="26"/>
        <v>0</v>
      </c>
      <c r="DV745" s="1323"/>
      <c r="DW745" s="1323"/>
      <c r="DX745" s="1323"/>
      <c r="DY745" s="1323"/>
      <c r="DZ745" s="1323">
        <f t="shared" si="27"/>
        <v>0</v>
      </c>
      <c r="EA745" s="1323"/>
      <c r="EB745" s="1323"/>
      <c r="EC745" s="1323"/>
      <c r="ED745" s="1323"/>
      <c r="EE745" s="1323">
        <f t="shared" si="28"/>
        <v>0</v>
      </c>
      <c r="EF745" s="1323"/>
      <c r="EG745" s="1323"/>
      <c r="EH745" s="1323"/>
      <c r="EI745" s="1323"/>
      <c r="EJ745" s="1323">
        <f t="shared" si="29"/>
        <v>0</v>
      </c>
      <c r="EK745" s="1323"/>
      <c r="EL745" s="1323"/>
      <c r="EM745" s="1323"/>
      <c r="EN745" s="1323"/>
      <c r="EO745" s="1323">
        <f t="shared" si="30"/>
        <v>0</v>
      </c>
      <c r="EP745" s="1323"/>
      <c r="EQ745" s="1323"/>
      <c r="ER745" s="1323"/>
      <c r="ES745" s="1323"/>
      <c r="ET745" s="1323">
        <f t="shared" si="31"/>
        <v>0</v>
      </c>
      <c r="EU745" s="1323"/>
      <c r="EV745" s="1323"/>
      <c r="EW745" s="1323"/>
      <c r="EX745" s="1323"/>
      <c r="EZ745" s="1296" t="str">
        <f t="shared" si="32"/>
        <v/>
      </c>
      <c r="FA745" s="1297"/>
      <c r="FB745" s="1297"/>
      <c r="FC745" s="1297"/>
      <c r="FD745" s="1298"/>
      <c r="FE745" s="1296" t="str">
        <f t="shared" si="33"/>
        <v/>
      </c>
      <c r="FF745" s="1297"/>
      <c r="FG745" s="1297"/>
      <c r="FH745" s="1297"/>
      <c r="FI745" s="1298"/>
      <c r="FJ745" s="1296" t="str">
        <f t="shared" si="34"/>
        <v/>
      </c>
      <c r="FK745" s="1297"/>
      <c r="FL745" s="1297"/>
      <c r="FM745" s="1297"/>
      <c r="FN745" s="1298"/>
      <c r="FO745" s="1296" t="str">
        <f t="shared" si="35"/>
        <v/>
      </c>
      <c r="FP745" s="1297"/>
      <c r="FQ745" s="1297"/>
      <c r="FR745" s="1297"/>
      <c r="FS745" s="1298"/>
      <c r="FT745" s="1296" t="str">
        <f t="shared" si="36"/>
        <v/>
      </c>
      <c r="FU745" s="1297"/>
      <c r="FV745" s="1297"/>
      <c r="FW745" s="1297"/>
      <c r="FX745" s="1298"/>
      <c r="FY745" s="1296" t="str">
        <f t="shared" si="37"/>
        <v/>
      </c>
      <c r="FZ745" s="1297"/>
      <c r="GA745" s="1297"/>
      <c r="GB745" s="1297"/>
      <c r="GC745" s="1298"/>
    </row>
    <row r="746" spans="1:185" ht="13" customHeight="1">
      <c r="B746" s="1310"/>
      <c r="C746" s="1311"/>
      <c r="D746" s="1311"/>
      <c r="E746" s="1311"/>
      <c r="F746" s="1312"/>
      <c r="G746" s="1319"/>
      <c r="H746" s="1320"/>
      <c r="I746" s="1320"/>
      <c r="J746" s="1321"/>
      <c r="K746" s="1546"/>
      <c r="L746" s="1547"/>
      <c r="M746" s="1547"/>
      <c r="N746" s="1548"/>
      <c r="O746" s="1420"/>
      <c r="P746" s="1421"/>
      <c r="Q746" s="1421"/>
      <c r="R746" s="1421"/>
      <c r="S746" s="1422"/>
      <c r="T746" s="1420"/>
      <c r="U746" s="1421"/>
      <c r="V746" s="1421"/>
      <c r="W746" s="1422"/>
      <c r="X746" s="1313">
        <f t="shared" si="41"/>
        <v>0</v>
      </c>
      <c r="Y746" s="1314"/>
      <c r="Z746" s="1314"/>
      <c r="AA746" s="1314"/>
      <c r="AB746" s="1315"/>
      <c r="AC746" s="1555"/>
      <c r="AD746" s="1556"/>
      <c r="AE746" s="1556"/>
      <c r="AF746" s="1556"/>
      <c r="AG746" s="1557"/>
      <c r="AH746" s="1316" t="str">
        <f t="shared" si="38"/>
        <v/>
      </c>
      <c r="AI746" s="1317"/>
      <c r="AJ746" s="1318"/>
      <c r="AK746" s="1310" t="s">
        <v>807</v>
      </c>
      <c r="AL746" s="1311"/>
      <c r="AM746" s="1311"/>
      <c r="AN746" s="1311"/>
      <c r="AO746" s="1312"/>
      <c r="AP746" s="3"/>
      <c r="AQ746" s="3"/>
      <c r="AR746" s="3"/>
      <c r="AS746" s="3"/>
      <c r="AY746" s="855"/>
      <c r="AZ746" s="84" t="str">
        <f t="shared" si="11"/>
        <v>N/A</v>
      </c>
      <c r="BA746" s="3"/>
      <c r="BB746" s="3"/>
      <c r="BC746" s="3"/>
      <c r="BD746" s="3"/>
      <c r="BE746" s="3"/>
      <c r="BF746" s="202">
        <f t="shared" si="12"/>
        <v>0</v>
      </c>
      <c r="BG746" s="205">
        <f t="shared" si="13"/>
        <v>0</v>
      </c>
      <c r="BH746" s="206" t="str">
        <f t="shared" si="14"/>
        <v/>
      </c>
      <c r="BI746" s="3"/>
      <c r="BJ746" s="3"/>
      <c r="BK746" s="3"/>
      <c r="BL746" s="3"/>
      <c r="BM746" s="3"/>
      <c r="BN746" s="3"/>
      <c r="BS746" s="202">
        <f t="shared" si="15"/>
        <v>0</v>
      </c>
      <c r="BT746" s="205">
        <f t="shared" si="16"/>
        <v>0</v>
      </c>
      <c r="BU746" s="206" t="str">
        <f t="shared" si="17"/>
        <v/>
      </c>
      <c r="BV746" s="3"/>
      <c r="BW746" s="3"/>
      <c r="BX746" s="3"/>
      <c r="BY746" s="3"/>
      <c r="BZ746" s="3"/>
      <c r="CA746" s="3"/>
      <c r="CB746" s="3"/>
      <c r="CC746" s="3"/>
      <c r="CE746" s="3"/>
      <c r="CF746" s="3"/>
      <c r="CG746" s="1296">
        <f t="shared" si="39"/>
        <v>0</v>
      </c>
      <c r="CH746" s="1298"/>
      <c r="CI746" s="1296">
        <f t="shared" si="40"/>
        <v>0</v>
      </c>
      <c r="CJ746" s="1298"/>
      <c r="CK746" s="1296">
        <f t="shared" si="18"/>
        <v>0</v>
      </c>
      <c r="CL746" s="1298"/>
      <c r="CM746" s="1296">
        <f t="shared" si="19"/>
        <v>0</v>
      </c>
      <c r="CN746" s="1298"/>
      <c r="CO746" s="3"/>
      <c r="CP746" s="1293">
        <f t="shared" si="20"/>
        <v>0</v>
      </c>
      <c r="CQ746" s="1294"/>
      <c r="CR746" s="1294"/>
      <c r="CS746" s="1294"/>
      <c r="CT746" s="1295"/>
      <c r="CU746" s="1309">
        <f t="shared" si="21"/>
        <v>0</v>
      </c>
      <c r="CV746" s="1309"/>
      <c r="CW746" s="1309"/>
      <c r="CX746" s="1309"/>
      <c r="CY746" s="1309"/>
      <c r="CZ746" s="1309">
        <f t="shared" si="22"/>
        <v>0</v>
      </c>
      <c r="DA746" s="1309"/>
      <c r="DB746" s="1309"/>
      <c r="DC746" s="1309"/>
      <c r="DD746" s="1309"/>
      <c r="DE746" s="1309">
        <f t="shared" si="23"/>
        <v>0</v>
      </c>
      <c r="DF746" s="1309"/>
      <c r="DG746" s="1309"/>
      <c r="DH746" s="1309"/>
      <c r="DI746" s="1309"/>
      <c r="DJ746" s="1309">
        <f t="shared" si="24"/>
        <v>0</v>
      </c>
      <c r="DK746" s="1309"/>
      <c r="DL746" s="1309"/>
      <c r="DM746" s="1309"/>
      <c r="DN746" s="1309"/>
      <c r="DO746" s="1309">
        <f t="shared" si="25"/>
        <v>0</v>
      </c>
      <c r="DP746" s="1309"/>
      <c r="DQ746" s="1309"/>
      <c r="DR746" s="1309"/>
      <c r="DS746" s="1309"/>
      <c r="DT746" s="256"/>
      <c r="DU746" s="1323">
        <f t="shared" si="26"/>
        <v>0</v>
      </c>
      <c r="DV746" s="1323"/>
      <c r="DW746" s="1323"/>
      <c r="DX746" s="1323"/>
      <c r="DY746" s="1323"/>
      <c r="DZ746" s="1323">
        <f t="shared" si="27"/>
        <v>0</v>
      </c>
      <c r="EA746" s="1323"/>
      <c r="EB746" s="1323"/>
      <c r="EC746" s="1323"/>
      <c r="ED746" s="1323"/>
      <c r="EE746" s="1323">
        <f t="shared" si="28"/>
        <v>0</v>
      </c>
      <c r="EF746" s="1323"/>
      <c r="EG746" s="1323"/>
      <c r="EH746" s="1323"/>
      <c r="EI746" s="1323"/>
      <c r="EJ746" s="1323">
        <f t="shared" si="29"/>
        <v>0</v>
      </c>
      <c r="EK746" s="1323"/>
      <c r="EL746" s="1323"/>
      <c r="EM746" s="1323"/>
      <c r="EN746" s="1323"/>
      <c r="EO746" s="1323">
        <f t="shared" si="30"/>
        <v>0</v>
      </c>
      <c r="EP746" s="1323"/>
      <c r="EQ746" s="1323"/>
      <c r="ER746" s="1323"/>
      <c r="ES746" s="1323"/>
      <c r="ET746" s="1323">
        <f t="shared" si="31"/>
        <v>0</v>
      </c>
      <c r="EU746" s="1323"/>
      <c r="EV746" s="1323"/>
      <c r="EW746" s="1323"/>
      <c r="EX746" s="1323"/>
      <c r="EZ746" s="1296" t="str">
        <f t="shared" si="32"/>
        <v/>
      </c>
      <c r="FA746" s="1297"/>
      <c r="FB746" s="1297"/>
      <c r="FC746" s="1297"/>
      <c r="FD746" s="1298"/>
      <c r="FE746" s="1296" t="str">
        <f t="shared" si="33"/>
        <v/>
      </c>
      <c r="FF746" s="1297"/>
      <c r="FG746" s="1297"/>
      <c r="FH746" s="1297"/>
      <c r="FI746" s="1298"/>
      <c r="FJ746" s="1296" t="str">
        <f t="shared" si="34"/>
        <v/>
      </c>
      <c r="FK746" s="1297"/>
      <c r="FL746" s="1297"/>
      <c r="FM746" s="1297"/>
      <c r="FN746" s="1298"/>
      <c r="FO746" s="1296" t="str">
        <f t="shared" si="35"/>
        <v/>
      </c>
      <c r="FP746" s="1297"/>
      <c r="FQ746" s="1297"/>
      <c r="FR746" s="1297"/>
      <c r="FS746" s="1298"/>
      <c r="FT746" s="1296" t="str">
        <f t="shared" si="36"/>
        <v/>
      </c>
      <c r="FU746" s="1297"/>
      <c r="FV746" s="1297"/>
      <c r="FW746" s="1297"/>
      <c r="FX746" s="1298"/>
      <c r="FY746" s="1296" t="str">
        <f t="shared" si="37"/>
        <v/>
      </c>
      <c r="FZ746" s="1297"/>
      <c r="GA746" s="1297"/>
      <c r="GB746" s="1297"/>
      <c r="GC746" s="1298"/>
    </row>
    <row r="747" spans="1:185" ht="13" customHeight="1">
      <c r="B747" s="1310"/>
      <c r="C747" s="1311"/>
      <c r="D747" s="1311"/>
      <c r="E747" s="1311"/>
      <c r="F747" s="1312"/>
      <c r="G747" s="1319"/>
      <c r="H747" s="1320"/>
      <c r="I747" s="1320"/>
      <c r="J747" s="1321"/>
      <c r="K747" s="1546"/>
      <c r="L747" s="1547"/>
      <c r="M747" s="1547"/>
      <c r="N747" s="1548"/>
      <c r="O747" s="1420"/>
      <c r="P747" s="1421"/>
      <c r="Q747" s="1421"/>
      <c r="R747" s="1421"/>
      <c r="S747" s="1422"/>
      <c r="T747" s="1420"/>
      <c r="U747" s="1421"/>
      <c r="V747" s="1421"/>
      <c r="W747" s="1422"/>
      <c r="X747" s="1313">
        <f t="shared" si="41"/>
        <v>0</v>
      </c>
      <c r="Y747" s="1314"/>
      <c r="Z747" s="1314"/>
      <c r="AA747" s="1314"/>
      <c r="AB747" s="1315"/>
      <c r="AC747" s="1555"/>
      <c r="AD747" s="1556"/>
      <c r="AE747" s="1556"/>
      <c r="AF747" s="1556"/>
      <c r="AG747" s="1557"/>
      <c r="AH747" s="1316" t="str">
        <f t="shared" si="38"/>
        <v/>
      </c>
      <c r="AI747" s="1317"/>
      <c r="AJ747" s="1318"/>
      <c r="AK747" s="1310" t="s">
        <v>807</v>
      </c>
      <c r="AL747" s="1311"/>
      <c r="AM747" s="1311"/>
      <c r="AN747" s="1311"/>
      <c r="AO747" s="1312"/>
      <c r="AP747" s="3"/>
      <c r="AQ747" s="3"/>
      <c r="AR747" s="3"/>
      <c r="AS747" s="3"/>
      <c r="AY747" s="855"/>
      <c r="AZ747" s="84" t="str">
        <f t="shared" si="11"/>
        <v>N/A</v>
      </c>
      <c r="BA747" s="3"/>
      <c r="BB747" s="3"/>
      <c r="BC747" s="3"/>
      <c r="BD747" s="3"/>
      <c r="BE747" s="3"/>
      <c r="BF747" s="202">
        <f t="shared" si="12"/>
        <v>0</v>
      </c>
      <c r="BG747" s="205">
        <f t="shared" si="13"/>
        <v>0</v>
      </c>
      <c r="BH747" s="206" t="str">
        <f t="shared" si="14"/>
        <v/>
      </c>
      <c r="BI747" s="3"/>
      <c r="BJ747" s="3"/>
      <c r="BK747" s="3"/>
      <c r="BL747" s="3"/>
      <c r="BM747" s="3"/>
      <c r="BN747" s="3"/>
      <c r="BS747" s="202">
        <f t="shared" si="15"/>
        <v>0</v>
      </c>
      <c r="BT747" s="205">
        <f t="shared" si="16"/>
        <v>0</v>
      </c>
      <c r="BU747" s="206" t="str">
        <f t="shared" si="17"/>
        <v/>
      </c>
      <c r="BV747" s="3"/>
      <c r="BW747" s="3"/>
      <c r="BX747" s="3"/>
      <c r="BY747" s="3"/>
      <c r="BZ747" s="3"/>
      <c r="CA747" s="3"/>
      <c r="CB747" s="3"/>
      <c r="CC747" s="3"/>
      <c r="CE747" s="3"/>
      <c r="CF747" s="3"/>
      <c r="CG747" s="1296">
        <f t="shared" si="39"/>
        <v>0</v>
      </c>
      <c r="CH747" s="1298"/>
      <c r="CI747" s="1296">
        <f t="shared" si="40"/>
        <v>0</v>
      </c>
      <c r="CJ747" s="1298"/>
      <c r="CK747" s="1296">
        <f t="shared" si="18"/>
        <v>0</v>
      </c>
      <c r="CL747" s="1298"/>
      <c r="CM747" s="1296">
        <f t="shared" si="19"/>
        <v>0</v>
      </c>
      <c r="CN747" s="1298"/>
      <c r="CO747" s="3"/>
      <c r="CP747" s="1293">
        <f t="shared" si="20"/>
        <v>0</v>
      </c>
      <c r="CQ747" s="1294"/>
      <c r="CR747" s="1294"/>
      <c r="CS747" s="1294"/>
      <c r="CT747" s="1295"/>
      <c r="CU747" s="1309">
        <f t="shared" si="21"/>
        <v>0</v>
      </c>
      <c r="CV747" s="1309"/>
      <c r="CW747" s="1309"/>
      <c r="CX747" s="1309"/>
      <c r="CY747" s="1309"/>
      <c r="CZ747" s="1309">
        <f t="shared" si="22"/>
        <v>0</v>
      </c>
      <c r="DA747" s="1309"/>
      <c r="DB747" s="1309"/>
      <c r="DC747" s="1309"/>
      <c r="DD747" s="1309"/>
      <c r="DE747" s="1309">
        <f t="shared" si="23"/>
        <v>0</v>
      </c>
      <c r="DF747" s="1309"/>
      <c r="DG747" s="1309"/>
      <c r="DH747" s="1309"/>
      <c r="DI747" s="1309"/>
      <c r="DJ747" s="1309">
        <f t="shared" si="24"/>
        <v>0</v>
      </c>
      <c r="DK747" s="1309"/>
      <c r="DL747" s="1309"/>
      <c r="DM747" s="1309"/>
      <c r="DN747" s="1309"/>
      <c r="DO747" s="1309">
        <f t="shared" si="25"/>
        <v>0</v>
      </c>
      <c r="DP747" s="1309"/>
      <c r="DQ747" s="1309"/>
      <c r="DR747" s="1309"/>
      <c r="DS747" s="1309"/>
      <c r="DT747" s="256"/>
      <c r="DU747" s="1323">
        <f t="shared" si="26"/>
        <v>0</v>
      </c>
      <c r="DV747" s="1323"/>
      <c r="DW747" s="1323"/>
      <c r="DX747" s="1323"/>
      <c r="DY747" s="1323"/>
      <c r="DZ747" s="1323">
        <f t="shared" si="27"/>
        <v>0</v>
      </c>
      <c r="EA747" s="1323"/>
      <c r="EB747" s="1323"/>
      <c r="EC747" s="1323"/>
      <c r="ED747" s="1323"/>
      <c r="EE747" s="1323">
        <f t="shared" si="28"/>
        <v>0</v>
      </c>
      <c r="EF747" s="1323"/>
      <c r="EG747" s="1323"/>
      <c r="EH747" s="1323"/>
      <c r="EI747" s="1323"/>
      <c r="EJ747" s="1323">
        <f t="shared" si="29"/>
        <v>0</v>
      </c>
      <c r="EK747" s="1323"/>
      <c r="EL747" s="1323"/>
      <c r="EM747" s="1323"/>
      <c r="EN747" s="1323"/>
      <c r="EO747" s="1323">
        <f t="shared" si="30"/>
        <v>0</v>
      </c>
      <c r="EP747" s="1323"/>
      <c r="EQ747" s="1323"/>
      <c r="ER747" s="1323"/>
      <c r="ES747" s="1323"/>
      <c r="ET747" s="1323">
        <f t="shared" si="31"/>
        <v>0</v>
      </c>
      <c r="EU747" s="1323"/>
      <c r="EV747" s="1323"/>
      <c r="EW747" s="1323"/>
      <c r="EX747" s="1323"/>
      <c r="EZ747" s="1296" t="str">
        <f t="shared" si="32"/>
        <v/>
      </c>
      <c r="FA747" s="1297"/>
      <c r="FB747" s="1297"/>
      <c r="FC747" s="1297"/>
      <c r="FD747" s="1298"/>
      <c r="FE747" s="1296" t="str">
        <f t="shared" si="33"/>
        <v/>
      </c>
      <c r="FF747" s="1297"/>
      <c r="FG747" s="1297"/>
      <c r="FH747" s="1297"/>
      <c r="FI747" s="1298"/>
      <c r="FJ747" s="1296" t="str">
        <f t="shared" si="34"/>
        <v/>
      </c>
      <c r="FK747" s="1297"/>
      <c r="FL747" s="1297"/>
      <c r="FM747" s="1297"/>
      <c r="FN747" s="1298"/>
      <c r="FO747" s="1296" t="str">
        <f t="shared" si="35"/>
        <v/>
      </c>
      <c r="FP747" s="1297"/>
      <c r="FQ747" s="1297"/>
      <c r="FR747" s="1297"/>
      <c r="FS747" s="1298"/>
      <c r="FT747" s="1296" t="str">
        <f t="shared" si="36"/>
        <v/>
      </c>
      <c r="FU747" s="1297"/>
      <c r="FV747" s="1297"/>
      <c r="FW747" s="1297"/>
      <c r="FX747" s="1298"/>
      <c r="FY747" s="1296" t="str">
        <f t="shared" si="37"/>
        <v/>
      </c>
      <c r="FZ747" s="1297"/>
      <c r="GA747" s="1297"/>
      <c r="GB747" s="1297"/>
      <c r="GC747" s="1298"/>
    </row>
    <row r="748" spans="1:185" s="3" customFormat="1" ht="13" customHeight="1">
      <c r="A748"/>
      <c r="B748" s="1310"/>
      <c r="C748" s="1311"/>
      <c r="D748" s="1311"/>
      <c r="E748" s="1311"/>
      <c r="F748" s="1312"/>
      <c r="G748" s="1319"/>
      <c r="H748" s="1320"/>
      <c r="I748" s="1320"/>
      <c r="J748" s="1321"/>
      <c r="K748" s="1546"/>
      <c r="L748" s="1547"/>
      <c r="M748" s="1547"/>
      <c r="N748" s="1548"/>
      <c r="O748" s="1420"/>
      <c r="P748" s="1421"/>
      <c r="Q748" s="1421"/>
      <c r="R748" s="1421"/>
      <c r="S748" s="1422"/>
      <c r="T748" s="1420"/>
      <c r="U748" s="1421"/>
      <c r="V748" s="1421"/>
      <c r="W748" s="1422"/>
      <c r="X748" s="1313">
        <f t="shared" si="41"/>
        <v>0</v>
      </c>
      <c r="Y748" s="1314"/>
      <c r="Z748" s="1314"/>
      <c r="AA748" s="1314"/>
      <c r="AB748" s="1315"/>
      <c r="AC748" s="1555"/>
      <c r="AD748" s="1556"/>
      <c r="AE748" s="1556"/>
      <c r="AF748" s="1556"/>
      <c r="AG748" s="1557"/>
      <c r="AH748" s="1316" t="str">
        <f t="shared" si="38"/>
        <v/>
      </c>
      <c r="AI748" s="1317"/>
      <c r="AJ748" s="1318"/>
      <c r="AK748" s="1310" t="s">
        <v>807</v>
      </c>
      <c r="AL748" s="1311"/>
      <c r="AM748" s="1311"/>
      <c r="AN748" s="1311"/>
      <c r="AO748" s="1312"/>
      <c r="AT748"/>
      <c r="AU748"/>
      <c r="AV748"/>
      <c r="AW748"/>
      <c r="AX748"/>
      <c r="AY748" s="855"/>
      <c r="AZ748" s="84" t="str">
        <f t="shared" si="11"/>
        <v>N/A</v>
      </c>
      <c r="BF748" s="202">
        <f t="shared" si="12"/>
        <v>0</v>
      </c>
      <c r="BG748" s="205">
        <f t="shared" si="13"/>
        <v>0</v>
      </c>
      <c r="BH748" s="206" t="str">
        <f t="shared" si="14"/>
        <v/>
      </c>
      <c r="BO748"/>
      <c r="BP748"/>
      <c r="BQ748"/>
      <c r="BR748"/>
      <c r="BS748" s="202">
        <f t="shared" si="15"/>
        <v>0</v>
      </c>
      <c r="BT748" s="205">
        <f t="shared" si="16"/>
        <v>0</v>
      </c>
      <c r="BU748" s="206" t="str">
        <f t="shared" si="17"/>
        <v/>
      </c>
      <c r="CD748"/>
      <c r="CG748" s="1296">
        <f t="shared" si="39"/>
        <v>0</v>
      </c>
      <c r="CH748" s="1298"/>
      <c r="CI748" s="1296">
        <f t="shared" si="40"/>
        <v>0</v>
      </c>
      <c r="CJ748" s="1298"/>
      <c r="CK748" s="1296">
        <f t="shared" si="18"/>
        <v>0</v>
      </c>
      <c r="CL748" s="1298"/>
      <c r="CM748" s="1296">
        <f t="shared" si="19"/>
        <v>0</v>
      </c>
      <c r="CN748" s="1298"/>
      <c r="CP748" s="1293">
        <f t="shared" si="20"/>
        <v>0</v>
      </c>
      <c r="CQ748" s="1294"/>
      <c r="CR748" s="1294"/>
      <c r="CS748" s="1294"/>
      <c r="CT748" s="1295"/>
      <c r="CU748" s="1309">
        <f t="shared" si="21"/>
        <v>0</v>
      </c>
      <c r="CV748" s="1309"/>
      <c r="CW748" s="1309"/>
      <c r="CX748" s="1309"/>
      <c r="CY748" s="1309"/>
      <c r="CZ748" s="1309">
        <f t="shared" si="22"/>
        <v>0</v>
      </c>
      <c r="DA748" s="1309"/>
      <c r="DB748" s="1309"/>
      <c r="DC748" s="1309"/>
      <c r="DD748" s="1309"/>
      <c r="DE748" s="1309">
        <f t="shared" si="23"/>
        <v>0</v>
      </c>
      <c r="DF748" s="1309"/>
      <c r="DG748" s="1309"/>
      <c r="DH748" s="1309"/>
      <c r="DI748" s="1309"/>
      <c r="DJ748" s="1309">
        <f t="shared" si="24"/>
        <v>0</v>
      </c>
      <c r="DK748" s="1309"/>
      <c r="DL748" s="1309"/>
      <c r="DM748" s="1309"/>
      <c r="DN748" s="1309"/>
      <c r="DO748" s="1309">
        <f t="shared" si="25"/>
        <v>0</v>
      </c>
      <c r="DP748" s="1309"/>
      <c r="DQ748" s="1309"/>
      <c r="DR748" s="1309"/>
      <c r="DS748" s="1309"/>
      <c r="DT748" s="256"/>
      <c r="DU748" s="1323">
        <f t="shared" si="26"/>
        <v>0</v>
      </c>
      <c r="DV748" s="1323"/>
      <c r="DW748" s="1323"/>
      <c r="DX748" s="1323"/>
      <c r="DY748" s="1323"/>
      <c r="DZ748" s="1323">
        <f t="shared" si="27"/>
        <v>0</v>
      </c>
      <c r="EA748" s="1323"/>
      <c r="EB748" s="1323"/>
      <c r="EC748" s="1323"/>
      <c r="ED748" s="1323"/>
      <c r="EE748" s="1323">
        <f t="shared" si="28"/>
        <v>0</v>
      </c>
      <c r="EF748" s="1323"/>
      <c r="EG748" s="1323"/>
      <c r="EH748" s="1323"/>
      <c r="EI748" s="1323"/>
      <c r="EJ748" s="1323">
        <f t="shared" si="29"/>
        <v>0</v>
      </c>
      <c r="EK748" s="1323"/>
      <c r="EL748" s="1323"/>
      <c r="EM748" s="1323"/>
      <c r="EN748" s="1323"/>
      <c r="EO748" s="1323">
        <f t="shared" si="30"/>
        <v>0</v>
      </c>
      <c r="EP748" s="1323"/>
      <c r="EQ748" s="1323"/>
      <c r="ER748" s="1323"/>
      <c r="ES748" s="1323"/>
      <c r="ET748" s="1323">
        <f t="shared" si="31"/>
        <v>0</v>
      </c>
      <c r="EU748" s="1323"/>
      <c r="EV748" s="1323"/>
      <c r="EW748" s="1323"/>
      <c r="EX748" s="1323"/>
      <c r="EY748"/>
      <c r="EZ748" s="1296" t="str">
        <f t="shared" si="32"/>
        <v/>
      </c>
      <c r="FA748" s="1297"/>
      <c r="FB748" s="1297"/>
      <c r="FC748" s="1297"/>
      <c r="FD748" s="1298"/>
      <c r="FE748" s="1296" t="str">
        <f t="shared" si="33"/>
        <v/>
      </c>
      <c r="FF748" s="1297"/>
      <c r="FG748" s="1297"/>
      <c r="FH748" s="1297"/>
      <c r="FI748" s="1298"/>
      <c r="FJ748" s="1296" t="str">
        <f t="shared" si="34"/>
        <v/>
      </c>
      <c r="FK748" s="1297"/>
      <c r="FL748" s="1297"/>
      <c r="FM748" s="1297"/>
      <c r="FN748" s="1298"/>
      <c r="FO748" s="1296" t="str">
        <f t="shared" si="35"/>
        <v/>
      </c>
      <c r="FP748" s="1297"/>
      <c r="FQ748" s="1297"/>
      <c r="FR748" s="1297"/>
      <c r="FS748" s="1298"/>
      <c r="FT748" s="1296" t="str">
        <f t="shared" si="36"/>
        <v/>
      </c>
      <c r="FU748" s="1297"/>
      <c r="FV748" s="1297"/>
      <c r="FW748" s="1297"/>
      <c r="FX748" s="1298"/>
      <c r="FY748" s="1296" t="str">
        <f t="shared" si="37"/>
        <v/>
      </c>
      <c r="FZ748" s="1297"/>
      <c r="GA748" s="1297"/>
      <c r="GB748" s="1297"/>
      <c r="GC748" s="1298"/>
    </row>
    <row r="749" spans="1:185" s="3" customFormat="1" ht="13" customHeight="1">
      <c r="A749"/>
      <c r="B749" s="1310"/>
      <c r="C749" s="1311"/>
      <c r="D749" s="1311"/>
      <c r="E749" s="1311"/>
      <c r="F749" s="1312"/>
      <c r="G749" s="1319"/>
      <c r="H749" s="1320"/>
      <c r="I749" s="1320"/>
      <c r="J749" s="1321"/>
      <c r="K749" s="1546"/>
      <c r="L749" s="1547"/>
      <c r="M749" s="1547"/>
      <c r="N749" s="1548"/>
      <c r="O749" s="1420"/>
      <c r="P749" s="1421"/>
      <c r="Q749" s="1421"/>
      <c r="R749" s="1421"/>
      <c r="S749" s="1422"/>
      <c r="T749" s="1420"/>
      <c r="U749" s="1421"/>
      <c r="V749" s="1421"/>
      <c r="W749" s="1422"/>
      <c r="X749" s="1313">
        <f t="shared" si="41"/>
        <v>0</v>
      </c>
      <c r="Y749" s="1314"/>
      <c r="Z749" s="1314"/>
      <c r="AA749" s="1314"/>
      <c r="AB749" s="1315"/>
      <c r="AC749" s="1555"/>
      <c r="AD749" s="1556"/>
      <c r="AE749" s="1556"/>
      <c r="AF749" s="1556"/>
      <c r="AG749" s="1557"/>
      <c r="AH749" s="1316" t="str">
        <f t="shared" si="38"/>
        <v/>
      </c>
      <c r="AI749" s="1317"/>
      <c r="AJ749" s="1318"/>
      <c r="AK749" s="1310" t="s">
        <v>807</v>
      </c>
      <c r="AL749" s="1311"/>
      <c r="AM749" s="1311"/>
      <c r="AN749" s="1311"/>
      <c r="AO749" s="1312"/>
      <c r="AT749"/>
      <c r="AU749"/>
      <c r="AV749"/>
      <c r="AW749"/>
      <c r="AX749"/>
      <c r="AY749" s="855"/>
      <c r="AZ749" s="84" t="str">
        <f t="shared" si="11"/>
        <v>N/A</v>
      </c>
      <c r="BF749" s="202">
        <f t="shared" si="12"/>
        <v>0</v>
      </c>
      <c r="BG749" s="205">
        <f t="shared" si="13"/>
        <v>0</v>
      </c>
      <c r="BH749" s="206" t="str">
        <f t="shared" si="14"/>
        <v/>
      </c>
      <c r="BO749"/>
      <c r="BP749"/>
      <c r="BQ749"/>
      <c r="BR749"/>
      <c r="BS749" s="202">
        <f t="shared" si="15"/>
        <v>0</v>
      </c>
      <c r="BT749" s="205">
        <f t="shared" si="16"/>
        <v>0</v>
      </c>
      <c r="BU749" s="206" t="str">
        <f t="shared" si="17"/>
        <v/>
      </c>
      <c r="CD749"/>
      <c r="CG749" s="1296">
        <f t="shared" si="39"/>
        <v>0</v>
      </c>
      <c r="CH749" s="1298"/>
      <c r="CI749" s="1296">
        <f t="shared" si="40"/>
        <v>0</v>
      </c>
      <c r="CJ749" s="1298"/>
      <c r="CK749" s="1296">
        <f t="shared" si="18"/>
        <v>0</v>
      </c>
      <c r="CL749" s="1298"/>
      <c r="CM749" s="1296">
        <f t="shared" si="19"/>
        <v>0</v>
      </c>
      <c r="CN749" s="1298"/>
      <c r="CP749" s="1293">
        <f t="shared" si="20"/>
        <v>0</v>
      </c>
      <c r="CQ749" s="1294"/>
      <c r="CR749" s="1294"/>
      <c r="CS749" s="1294"/>
      <c r="CT749" s="1295"/>
      <c r="CU749" s="1309">
        <f t="shared" si="21"/>
        <v>0</v>
      </c>
      <c r="CV749" s="1309"/>
      <c r="CW749" s="1309"/>
      <c r="CX749" s="1309"/>
      <c r="CY749" s="1309"/>
      <c r="CZ749" s="1309">
        <f t="shared" si="22"/>
        <v>0</v>
      </c>
      <c r="DA749" s="1309"/>
      <c r="DB749" s="1309"/>
      <c r="DC749" s="1309"/>
      <c r="DD749" s="1309"/>
      <c r="DE749" s="1309">
        <f t="shared" si="23"/>
        <v>0</v>
      </c>
      <c r="DF749" s="1309"/>
      <c r="DG749" s="1309"/>
      <c r="DH749" s="1309"/>
      <c r="DI749" s="1309"/>
      <c r="DJ749" s="1309">
        <f t="shared" si="24"/>
        <v>0</v>
      </c>
      <c r="DK749" s="1309"/>
      <c r="DL749" s="1309"/>
      <c r="DM749" s="1309"/>
      <c r="DN749" s="1309"/>
      <c r="DO749" s="1309">
        <f t="shared" si="25"/>
        <v>0</v>
      </c>
      <c r="DP749" s="1309"/>
      <c r="DQ749" s="1309"/>
      <c r="DR749" s="1309"/>
      <c r="DS749" s="1309"/>
      <c r="DT749" s="256"/>
      <c r="DU749" s="1323">
        <f t="shared" si="26"/>
        <v>0</v>
      </c>
      <c r="DV749" s="1323"/>
      <c r="DW749" s="1323"/>
      <c r="DX749" s="1323"/>
      <c r="DY749" s="1323"/>
      <c r="DZ749" s="1323">
        <f t="shared" si="27"/>
        <v>0</v>
      </c>
      <c r="EA749" s="1323"/>
      <c r="EB749" s="1323"/>
      <c r="EC749" s="1323"/>
      <c r="ED749" s="1323"/>
      <c r="EE749" s="1323">
        <f t="shared" si="28"/>
        <v>0</v>
      </c>
      <c r="EF749" s="1323"/>
      <c r="EG749" s="1323"/>
      <c r="EH749" s="1323"/>
      <c r="EI749" s="1323"/>
      <c r="EJ749" s="1323">
        <f t="shared" si="29"/>
        <v>0</v>
      </c>
      <c r="EK749" s="1323"/>
      <c r="EL749" s="1323"/>
      <c r="EM749" s="1323"/>
      <c r="EN749" s="1323"/>
      <c r="EO749" s="1323">
        <f t="shared" si="30"/>
        <v>0</v>
      </c>
      <c r="EP749" s="1323"/>
      <c r="EQ749" s="1323"/>
      <c r="ER749" s="1323"/>
      <c r="ES749" s="1323"/>
      <c r="ET749" s="1323">
        <f t="shared" si="31"/>
        <v>0</v>
      </c>
      <c r="EU749" s="1323"/>
      <c r="EV749" s="1323"/>
      <c r="EW749" s="1323"/>
      <c r="EX749" s="1323"/>
      <c r="EY749"/>
      <c r="EZ749" s="1296" t="str">
        <f t="shared" si="32"/>
        <v/>
      </c>
      <c r="FA749" s="1297"/>
      <c r="FB749" s="1297"/>
      <c r="FC749" s="1297"/>
      <c r="FD749" s="1298"/>
      <c r="FE749" s="1296" t="str">
        <f t="shared" si="33"/>
        <v/>
      </c>
      <c r="FF749" s="1297"/>
      <c r="FG749" s="1297"/>
      <c r="FH749" s="1297"/>
      <c r="FI749" s="1298"/>
      <c r="FJ749" s="1296" t="str">
        <f t="shared" si="34"/>
        <v/>
      </c>
      <c r="FK749" s="1297"/>
      <c r="FL749" s="1297"/>
      <c r="FM749" s="1297"/>
      <c r="FN749" s="1298"/>
      <c r="FO749" s="1296" t="str">
        <f t="shared" si="35"/>
        <v/>
      </c>
      <c r="FP749" s="1297"/>
      <c r="FQ749" s="1297"/>
      <c r="FR749" s="1297"/>
      <c r="FS749" s="1298"/>
      <c r="FT749" s="1296" t="str">
        <f t="shared" si="36"/>
        <v/>
      </c>
      <c r="FU749" s="1297"/>
      <c r="FV749" s="1297"/>
      <c r="FW749" s="1297"/>
      <c r="FX749" s="1298"/>
      <c r="FY749" s="1296" t="str">
        <f t="shared" si="37"/>
        <v/>
      </c>
      <c r="FZ749" s="1297"/>
      <c r="GA749" s="1297"/>
      <c r="GB749" s="1297"/>
      <c r="GC749" s="1298"/>
    </row>
    <row r="750" spans="1:185" s="3" customFormat="1" ht="13" customHeight="1">
      <c r="A750"/>
      <c r="B750" s="1310"/>
      <c r="C750" s="1311"/>
      <c r="D750" s="1311"/>
      <c r="E750" s="1311"/>
      <c r="F750" s="1312"/>
      <c r="G750" s="1319"/>
      <c r="H750" s="1320"/>
      <c r="I750" s="1320"/>
      <c r="J750" s="1321"/>
      <c r="K750" s="1546"/>
      <c r="L750" s="1547"/>
      <c r="M750" s="1547"/>
      <c r="N750" s="1548"/>
      <c r="O750" s="1420"/>
      <c r="P750" s="1421"/>
      <c r="Q750" s="1421"/>
      <c r="R750" s="1421"/>
      <c r="S750" s="1422"/>
      <c r="T750" s="1420"/>
      <c r="U750" s="1421"/>
      <c r="V750" s="1421"/>
      <c r="W750" s="1422"/>
      <c r="X750" s="1313">
        <f t="shared" si="41"/>
        <v>0</v>
      </c>
      <c r="Y750" s="1314"/>
      <c r="Z750" s="1314"/>
      <c r="AA750" s="1314"/>
      <c r="AB750" s="1315"/>
      <c r="AC750" s="1555"/>
      <c r="AD750" s="1556"/>
      <c r="AE750" s="1556"/>
      <c r="AF750" s="1556"/>
      <c r="AG750" s="1557"/>
      <c r="AH750" s="1316" t="str">
        <f t="shared" si="38"/>
        <v/>
      </c>
      <c r="AI750" s="1317"/>
      <c r="AJ750" s="1318"/>
      <c r="AK750" s="1310" t="s">
        <v>807</v>
      </c>
      <c r="AL750" s="1311"/>
      <c r="AM750" s="1311"/>
      <c r="AN750" s="1311"/>
      <c r="AO750" s="1312"/>
      <c r="AT750"/>
      <c r="AU750"/>
      <c r="AV750"/>
      <c r="AW750"/>
      <c r="AX750"/>
      <c r="AY750"/>
      <c r="AZ750" s="84" t="str">
        <f t="shared" si="11"/>
        <v>N/A</v>
      </c>
      <c r="BF750" s="202">
        <f t="shared" si="12"/>
        <v>0</v>
      </c>
      <c r="BG750" s="205">
        <f t="shared" si="13"/>
        <v>0</v>
      </c>
      <c r="BH750" s="206" t="str">
        <f t="shared" si="14"/>
        <v/>
      </c>
      <c r="BO750"/>
      <c r="BP750"/>
      <c r="BQ750"/>
      <c r="BR750"/>
      <c r="BS750" s="202">
        <f t="shared" si="15"/>
        <v>0</v>
      </c>
      <c r="BT750" s="205">
        <f t="shared" si="16"/>
        <v>0</v>
      </c>
      <c r="BU750" s="206" t="str">
        <f t="shared" si="17"/>
        <v/>
      </c>
      <c r="CD750"/>
      <c r="CG750" s="1296">
        <f t="shared" si="39"/>
        <v>0</v>
      </c>
      <c r="CH750" s="1298"/>
      <c r="CI750" s="1296">
        <f t="shared" si="40"/>
        <v>0</v>
      </c>
      <c r="CJ750" s="1298"/>
      <c r="CK750" s="1296">
        <f t="shared" si="18"/>
        <v>0</v>
      </c>
      <c r="CL750" s="1298"/>
      <c r="CM750" s="1296">
        <f t="shared" si="19"/>
        <v>0</v>
      </c>
      <c r="CN750" s="1298"/>
      <c r="CP750" s="1293">
        <f t="shared" si="20"/>
        <v>0</v>
      </c>
      <c r="CQ750" s="1294"/>
      <c r="CR750" s="1294"/>
      <c r="CS750" s="1294"/>
      <c r="CT750" s="1295"/>
      <c r="CU750" s="1309">
        <f t="shared" si="21"/>
        <v>0</v>
      </c>
      <c r="CV750" s="1309"/>
      <c r="CW750" s="1309"/>
      <c r="CX750" s="1309"/>
      <c r="CY750" s="1309"/>
      <c r="CZ750" s="1309">
        <f t="shared" si="22"/>
        <v>0</v>
      </c>
      <c r="DA750" s="1309"/>
      <c r="DB750" s="1309"/>
      <c r="DC750" s="1309"/>
      <c r="DD750" s="1309"/>
      <c r="DE750" s="1309">
        <f t="shared" si="23"/>
        <v>0</v>
      </c>
      <c r="DF750" s="1309"/>
      <c r="DG750" s="1309"/>
      <c r="DH750" s="1309"/>
      <c r="DI750" s="1309"/>
      <c r="DJ750" s="1309">
        <f t="shared" si="24"/>
        <v>0</v>
      </c>
      <c r="DK750" s="1309"/>
      <c r="DL750" s="1309"/>
      <c r="DM750" s="1309"/>
      <c r="DN750" s="1309"/>
      <c r="DO750" s="1309">
        <f t="shared" si="25"/>
        <v>0</v>
      </c>
      <c r="DP750" s="1309"/>
      <c r="DQ750" s="1309"/>
      <c r="DR750" s="1309"/>
      <c r="DS750" s="1309"/>
      <c r="DT750" s="256"/>
      <c r="DU750" s="1323">
        <f t="shared" si="26"/>
        <v>0</v>
      </c>
      <c r="DV750" s="1323"/>
      <c r="DW750" s="1323"/>
      <c r="DX750" s="1323"/>
      <c r="DY750" s="1323"/>
      <c r="DZ750" s="1323">
        <f t="shared" si="27"/>
        <v>0</v>
      </c>
      <c r="EA750" s="1323"/>
      <c r="EB750" s="1323"/>
      <c r="EC750" s="1323"/>
      <c r="ED750" s="1323"/>
      <c r="EE750" s="1323">
        <f t="shared" si="28"/>
        <v>0</v>
      </c>
      <c r="EF750" s="1323"/>
      <c r="EG750" s="1323"/>
      <c r="EH750" s="1323"/>
      <c r="EI750" s="1323"/>
      <c r="EJ750" s="1323">
        <f t="shared" si="29"/>
        <v>0</v>
      </c>
      <c r="EK750" s="1323"/>
      <c r="EL750" s="1323"/>
      <c r="EM750" s="1323"/>
      <c r="EN750" s="1323"/>
      <c r="EO750" s="1323">
        <f t="shared" si="30"/>
        <v>0</v>
      </c>
      <c r="EP750" s="1323"/>
      <c r="EQ750" s="1323"/>
      <c r="ER750" s="1323"/>
      <c r="ES750" s="1323"/>
      <c r="ET750" s="1323">
        <f t="shared" si="31"/>
        <v>0</v>
      </c>
      <c r="EU750" s="1323"/>
      <c r="EV750" s="1323"/>
      <c r="EW750" s="1323"/>
      <c r="EX750" s="1323"/>
      <c r="EY750"/>
      <c r="EZ750" s="1296" t="str">
        <f t="shared" si="32"/>
        <v/>
      </c>
      <c r="FA750" s="1297"/>
      <c r="FB750" s="1297"/>
      <c r="FC750" s="1297"/>
      <c r="FD750" s="1298"/>
      <c r="FE750" s="1296" t="str">
        <f t="shared" si="33"/>
        <v/>
      </c>
      <c r="FF750" s="1297"/>
      <c r="FG750" s="1297"/>
      <c r="FH750" s="1297"/>
      <c r="FI750" s="1298"/>
      <c r="FJ750" s="1296" t="str">
        <f t="shared" si="34"/>
        <v/>
      </c>
      <c r="FK750" s="1297"/>
      <c r="FL750" s="1297"/>
      <c r="FM750" s="1297"/>
      <c r="FN750" s="1298"/>
      <c r="FO750" s="1296" t="str">
        <f t="shared" si="35"/>
        <v/>
      </c>
      <c r="FP750" s="1297"/>
      <c r="FQ750" s="1297"/>
      <c r="FR750" s="1297"/>
      <c r="FS750" s="1298"/>
      <c r="FT750" s="1296" t="str">
        <f t="shared" si="36"/>
        <v/>
      </c>
      <c r="FU750" s="1297"/>
      <c r="FV750" s="1297"/>
      <c r="FW750" s="1297"/>
      <c r="FX750" s="1298"/>
      <c r="FY750" s="1296" t="str">
        <f t="shared" si="37"/>
        <v/>
      </c>
      <c r="FZ750" s="1297"/>
      <c r="GA750" s="1297"/>
      <c r="GB750" s="1297"/>
      <c r="GC750" s="1298"/>
    </row>
    <row r="751" spans="1:185" s="3" customFormat="1" ht="13" customHeight="1">
      <c r="A751"/>
      <c r="B751" s="1310"/>
      <c r="C751" s="1311"/>
      <c r="D751" s="1311"/>
      <c r="E751" s="1311"/>
      <c r="F751" s="1312"/>
      <c r="G751" s="1319"/>
      <c r="H751" s="1320"/>
      <c r="I751" s="1320"/>
      <c r="J751" s="1321"/>
      <c r="K751" s="1546"/>
      <c r="L751" s="1547"/>
      <c r="M751" s="1547"/>
      <c r="N751" s="1548"/>
      <c r="O751" s="1420"/>
      <c r="P751" s="1421"/>
      <c r="Q751" s="1421"/>
      <c r="R751" s="1421"/>
      <c r="S751" s="1422"/>
      <c r="T751" s="1420"/>
      <c r="U751" s="1421"/>
      <c r="V751" s="1421"/>
      <c r="W751" s="1422"/>
      <c r="X751" s="1313">
        <f t="shared" si="41"/>
        <v>0</v>
      </c>
      <c r="Y751" s="1314"/>
      <c r="Z751" s="1314"/>
      <c r="AA751" s="1314"/>
      <c r="AB751" s="1315"/>
      <c r="AC751" s="1555"/>
      <c r="AD751" s="1556"/>
      <c r="AE751" s="1556"/>
      <c r="AF751" s="1556"/>
      <c r="AG751" s="1557"/>
      <c r="AH751" s="1316" t="str">
        <f t="shared" si="38"/>
        <v/>
      </c>
      <c r="AI751" s="1317"/>
      <c r="AJ751" s="1318"/>
      <c r="AK751" s="1310" t="s">
        <v>807</v>
      </c>
      <c r="AL751" s="1311"/>
      <c r="AM751" s="1311"/>
      <c r="AN751" s="1311"/>
      <c r="AO751" s="1312"/>
      <c r="AT751"/>
      <c r="AU751"/>
      <c r="AV751"/>
      <c r="AW751"/>
      <c r="AX751"/>
      <c r="AY751"/>
      <c r="AZ751" s="84" t="str">
        <f t="shared" si="11"/>
        <v>N/A</v>
      </c>
      <c r="BF751" s="202">
        <f t="shared" si="12"/>
        <v>0</v>
      </c>
      <c r="BG751" s="205">
        <f t="shared" si="13"/>
        <v>0</v>
      </c>
      <c r="BH751" s="206" t="str">
        <f t="shared" si="14"/>
        <v/>
      </c>
      <c r="BO751"/>
      <c r="BP751"/>
      <c r="BQ751"/>
      <c r="BR751"/>
      <c r="BS751" s="202">
        <f t="shared" si="15"/>
        <v>0</v>
      </c>
      <c r="BT751" s="205">
        <f t="shared" si="16"/>
        <v>0</v>
      </c>
      <c r="BU751" s="206" t="str">
        <f t="shared" si="17"/>
        <v/>
      </c>
      <c r="CD751"/>
      <c r="CG751" s="1296">
        <f t="shared" si="39"/>
        <v>0</v>
      </c>
      <c r="CH751" s="1298"/>
      <c r="CI751" s="1296">
        <f t="shared" si="40"/>
        <v>0</v>
      </c>
      <c r="CJ751" s="1298"/>
      <c r="CK751" s="1296">
        <f t="shared" si="18"/>
        <v>0</v>
      </c>
      <c r="CL751" s="1298"/>
      <c r="CM751" s="1296">
        <f t="shared" si="19"/>
        <v>0</v>
      </c>
      <c r="CN751" s="1298"/>
      <c r="CP751" s="1293">
        <f t="shared" si="20"/>
        <v>0</v>
      </c>
      <c r="CQ751" s="1294"/>
      <c r="CR751" s="1294"/>
      <c r="CS751" s="1294"/>
      <c r="CT751" s="1295"/>
      <c r="CU751" s="1309">
        <f t="shared" si="21"/>
        <v>0</v>
      </c>
      <c r="CV751" s="1309"/>
      <c r="CW751" s="1309"/>
      <c r="CX751" s="1309"/>
      <c r="CY751" s="1309"/>
      <c r="CZ751" s="1309">
        <f t="shared" si="22"/>
        <v>0</v>
      </c>
      <c r="DA751" s="1309"/>
      <c r="DB751" s="1309"/>
      <c r="DC751" s="1309"/>
      <c r="DD751" s="1309"/>
      <c r="DE751" s="1309">
        <f t="shared" si="23"/>
        <v>0</v>
      </c>
      <c r="DF751" s="1309"/>
      <c r="DG751" s="1309"/>
      <c r="DH751" s="1309"/>
      <c r="DI751" s="1309"/>
      <c r="DJ751" s="1309">
        <f t="shared" si="24"/>
        <v>0</v>
      </c>
      <c r="DK751" s="1309"/>
      <c r="DL751" s="1309"/>
      <c r="DM751" s="1309"/>
      <c r="DN751" s="1309"/>
      <c r="DO751" s="1309">
        <f t="shared" si="25"/>
        <v>0</v>
      </c>
      <c r="DP751" s="1309"/>
      <c r="DQ751" s="1309"/>
      <c r="DR751" s="1309"/>
      <c r="DS751" s="1309"/>
      <c r="DT751" s="256"/>
      <c r="DU751" s="1323">
        <f t="shared" si="26"/>
        <v>0</v>
      </c>
      <c r="DV751" s="1323"/>
      <c r="DW751" s="1323"/>
      <c r="DX751" s="1323"/>
      <c r="DY751" s="1323"/>
      <c r="DZ751" s="1323">
        <f t="shared" si="27"/>
        <v>0</v>
      </c>
      <c r="EA751" s="1323"/>
      <c r="EB751" s="1323"/>
      <c r="EC751" s="1323"/>
      <c r="ED751" s="1323"/>
      <c r="EE751" s="1323">
        <f t="shared" si="28"/>
        <v>0</v>
      </c>
      <c r="EF751" s="1323"/>
      <c r="EG751" s="1323"/>
      <c r="EH751" s="1323"/>
      <c r="EI751" s="1323"/>
      <c r="EJ751" s="1323">
        <f t="shared" si="29"/>
        <v>0</v>
      </c>
      <c r="EK751" s="1323"/>
      <c r="EL751" s="1323"/>
      <c r="EM751" s="1323"/>
      <c r="EN751" s="1323"/>
      <c r="EO751" s="1323">
        <f t="shared" si="30"/>
        <v>0</v>
      </c>
      <c r="EP751" s="1323"/>
      <c r="EQ751" s="1323"/>
      <c r="ER751" s="1323"/>
      <c r="ES751" s="1323"/>
      <c r="ET751" s="1323">
        <f t="shared" si="31"/>
        <v>0</v>
      </c>
      <c r="EU751" s="1323"/>
      <c r="EV751" s="1323"/>
      <c r="EW751" s="1323"/>
      <c r="EX751" s="1323"/>
      <c r="EY751"/>
      <c r="EZ751" s="1296" t="str">
        <f t="shared" si="32"/>
        <v/>
      </c>
      <c r="FA751" s="1297"/>
      <c r="FB751" s="1297"/>
      <c r="FC751" s="1297"/>
      <c r="FD751" s="1298"/>
      <c r="FE751" s="1296" t="str">
        <f t="shared" si="33"/>
        <v/>
      </c>
      <c r="FF751" s="1297"/>
      <c r="FG751" s="1297"/>
      <c r="FH751" s="1297"/>
      <c r="FI751" s="1298"/>
      <c r="FJ751" s="1296" t="str">
        <f t="shared" si="34"/>
        <v/>
      </c>
      <c r="FK751" s="1297"/>
      <c r="FL751" s="1297"/>
      <c r="FM751" s="1297"/>
      <c r="FN751" s="1298"/>
      <c r="FO751" s="1296" t="str">
        <f t="shared" si="35"/>
        <v/>
      </c>
      <c r="FP751" s="1297"/>
      <c r="FQ751" s="1297"/>
      <c r="FR751" s="1297"/>
      <c r="FS751" s="1298"/>
      <c r="FT751" s="1296" t="str">
        <f t="shared" si="36"/>
        <v/>
      </c>
      <c r="FU751" s="1297"/>
      <c r="FV751" s="1297"/>
      <c r="FW751" s="1297"/>
      <c r="FX751" s="1298"/>
      <c r="FY751" s="1296" t="str">
        <f t="shared" si="37"/>
        <v/>
      </c>
      <c r="FZ751" s="1297"/>
      <c r="GA751" s="1297"/>
      <c r="GB751" s="1297"/>
      <c r="GC751" s="1298"/>
    </row>
    <row r="752" spans="1:185" s="3" customFormat="1" ht="13" customHeight="1">
      <c r="A752"/>
      <c r="B752" s="1310"/>
      <c r="C752" s="1311"/>
      <c r="D752" s="1311"/>
      <c r="E752" s="1311"/>
      <c r="F752" s="1312"/>
      <c r="G752" s="1319"/>
      <c r="H752" s="1320"/>
      <c r="I752" s="1320"/>
      <c r="J752" s="1321"/>
      <c r="K752" s="1546"/>
      <c r="L752" s="1547"/>
      <c r="M752" s="1547"/>
      <c r="N752" s="1548"/>
      <c r="O752" s="1420"/>
      <c r="P752" s="1421"/>
      <c r="Q752" s="1421"/>
      <c r="R752" s="1421"/>
      <c r="S752" s="1422"/>
      <c r="T752" s="1420"/>
      <c r="U752" s="1421"/>
      <c r="V752" s="1421"/>
      <c r="W752" s="1422"/>
      <c r="X752" s="1313">
        <f>O752+T752</f>
        <v>0</v>
      </c>
      <c r="Y752" s="1314"/>
      <c r="Z752" s="1314"/>
      <c r="AA752" s="1314"/>
      <c r="AB752" s="1315"/>
      <c r="AC752" s="1555"/>
      <c r="AD752" s="1556"/>
      <c r="AE752" s="1556"/>
      <c r="AF752" s="1556"/>
      <c r="AG752" s="1557"/>
      <c r="AH752" s="1316" t="str">
        <f t="shared" si="38"/>
        <v/>
      </c>
      <c r="AI752" s="1317"/>
      <c r="AJ752" s="1318"/>
      <c r="AK752" s="1310" t="s">
        <v>807</v>
      </c>
      <c r="AL752" s="1311"/>
      <c r="AM752" s="1311"/>
      <c r="AN752" s="1311"/>
      <c r="AO752" s="1312"/>
      <c r="AT752"/>
      <c r="AU752"/>
      <c r="AV752"/>
      <c r="AW752"/>
      <c r="AX752"/>
      <c r="AY752"/>
      <c r="AZ752" s="84" t="str">
        <f t="shared" si="11"/>
        <v>N/A</v>
      </c>
      <c r="BE752"/>
      <c r="BF752" s="202">
        <f t="shared" si="12"/>
        <v>0</v>
      </c>
      <c r="BG752" s="205">
        <f t="shared" si="13"/>
        <v>0</v>
      </c>
      <c r="BH752" s="206" t="str">
        <f t="shared" si="14"/>
        <v/>
      </c>
      <c r="BO752"/>
      <c r="BP752"/>
      <c r="BQ752"/>
      <c r="BR752"/>
      <c r="BS752" s="758">
        <f t="shared" si="15"/>
        <v>0</v>
      </c>
      <c r="BT752" s="205">
        <f t="shared" si="16"/>
        <v>0</v>
      </c>
      <c r="BU752" s="206" t="str">
        <f t="shared" si="17"/>
        <v/>
      </c>
      <c r="CD752"/>
      <c r="CG752" s="1296">
        <f t="shared" si="39"/>
        <v>0</v>
      </c>
      <c r="CH752" s="1298"/>
      <c r="CI752" s="1296">
        <f t="shared" si="40"/>
        <v>0</v>
      </c>
      <c r="CJ752" s="1298"/>
      <c r="CK752" s="1296">
        <f t="shared" si="18"/>
        <v>0</v>
      </c>
      <c r="CL752" s="1298"/>
      <c r="CM752" s="1296">
        <f t="shared" si="19"/>
        <v>0</v>
      </c>
      <c r="CN752" s="1298"/>
      <c r="CP752" s="1293">
        <f t="shared" si="20"/>
        <v>0</v>
      </c>
      <c r="CQ752" s="1294"/>
      <c r="CR752" s="1294"/>
      <c r="CS752" s="1294"/>
      <c r="CT752" s="1295"/>
      <c r="CU752" s="1309">
        <f t="shared" si="21"/>
        <v>0</v>
      </c>
      <c r="CV752" s="1309"/>
      <c r="CW752" s="1309"/>
      <c r="CX752" s="1309"/>
      <c r="CY752" s="1309"/>
      <c r="CZ752" s="1309">
        <f t="shared" si="22"/>
        <v>0</v>
      </c>
      <c r="DA752" s="1309"/>
      <c r="DB752" s="1309"/>
      <c r="DC752" s="1309"/>
      <c r="DD752" s="1309"/>
      <c r="DE752" s="1309">
        <f t="shared" si="23"/>
        <v>0</v>
      </c>
      <c r="DF752" s="1309"/>
      <c r="DG752" s="1309"/>
      <c r="DH752" s="1309"/>
      <c r="DI752" s="1309"/>
      <c r="DJ752" s="1309">
        <f t="shared" si="24"/>
        <v>0</v>
      </c>
      <c r="DK752" s="1309"/>
      <c r="DL752" s="1309"/>
      <c r="DM752" s="1309"/>
      <c r="DN752" s="1309"/>
      <c r="DO752" s="1309">
        <f t="shared" si="25"/>
        <v>0</v>
      </c>
      <c r="DP752" s="1309"/>
      <c r="DQ752" s="1309"/>
      <c r="DR752" s="1309"/>
      <c r="DS752" s="1309"/>
      <c r="DT752" s="256"/>
      <c r="DU752" s="1323">
        <f t="shared" si="26"/>
        <v>0</v>
      </c>
      <c r="DV752" s="1323"/>
      <c r="DW752" s="1323"/>
      <c r="DX752" s="1323"/>
      <c r="DY752" s="1323"/>
      <c r="DZ752" s="1323">
        <f t="shared" si="27"/>
        <v>0</v>
      </c>
      <c r="EA752" s="1323"/>
      <c r="EB752" s="1323"/>
      <c r="EC752" s="1323"/>
      <c r="ED752" s="1323"/>
      <c r="EE752" s="1323">
        <f t="shared" si="28"/>
        <v>0</v>
      </c>
      <c r="EF752" s="1323"/>
      <c r="EG752" s="1323"/>
      <c r="EH752" s="1323"/>
      <c r="EI752" s="1323"/>
      <c r="EJ752" s="1323">
        <f t="shared" si="29"/>
        <v>0</v>
      </c>
      <c r="EK752" s="1323"/>
      <c r="EL752" s="1323"/>
      <c r="EM752" s="1323"/>
      <c r="EN752" s="1323"/>
      <c r="EO752" s="1323">
        <f t="shared" si="30"/>
        <v>0</v>
      </c>
      <c r="EP752" s="1323"/>
      <c r="EQ752" s="1323"/>
      <c r="ER752" s="1323"/>
      <c r="ES752" s="1323"/>
      <c r="ET752" s="1323">
        <f t="shared" si="31"/>
        <v>0</v>
      </c>
      <c r="EU752" s="1323"/>
      <c r="EV752" s="1323"/>
      <c r="EW752" s="1323"/>
      <c r="EX752" s="1323"/>
      <c r="EY752"/>
      <c r="EZ752" s="1296" t="str">
        <f t="shared" si="32"/>
        <v/>
      </c>
      <c r="FA752" s="1297"/>
      <c r="FB752" s="1297"/>
      <c r="FC752" s="1297"/>
      <c r="FD752" s="1298"/>
      <c r="FE752" s="1296" t="str">
        <f t="shared" si="33"/>
        <v/>
      </c>
      <c r="FF752" s="1297"/>
      <c r="FG752" s="1297"/>
      <c r="FH752" s="1297"/>
      <c r="FI752" s="1298"/>
      <c r="FJ752" s="1296" t="str">
        <f t="shared" si="34"/>
        <v/>
      </c>
      <c r="FK752" s="1297"/>
      <c r="FL752" s="1297"/>
      <c r="FM752" s="1297"/>
      <c r="FN752" s="1298"/>
      <c r="FO752" s="1296" t="str">
        <f t="shared" si="35"/>
        <v/>
      </c>
      <c r="FP752" s="1297"/>
      <c r="FQ752" s="1297"/>
      <c r="FR752" s="1297"/>
      <c r="FS752" s="1298"/>
      <c r="FT752" s="1296" t="str">
        <f t="shared" si="36"/>
        <v/>
      </c>
      <c r="FU752" s="1297"/>
      <c r="FV752" s="1297"/>
      <c r="FW752" s="1297"/>
      <c r="FX752" s="1298"/>
      <c r="FY752" s="1296" t="str">
        <f t="shared" si="37"/>
        <v/>
      </c>
      <c r="FZ752" s="1297"/>
      <c r="GA752" s="1297"/>
      <c r="GB752" s="1297"/>
      <c r="GC752" s="1298"/>
    </row>
    <row r="753" spans="1:185" s="3" customFormat="1" ht="13" customHeight="1">
      <c r="A753"/>
      <c r="B753" s="1360" t="s">
        <v>1487</v>
      </c>
      <c r="C753" s="1361"/>
      <c r="D753" s="1361"/>
      <c r="E753" s="1361"/>
      <c r="F753" s="1363"/>
      <c r="G753" s="1654">
        <f>SUM(G718:G752)</f>
        <v>78</v>
      </c>
      <c r="H753" s="1655"/>
      <c r="I753" s="1655"/>
      <c r="J753" s="1656"/>
      <c r="K753" s="797" t="s">
        <v>1488</v>
      </c>
      <c r="L753" s="5"/>
      <c r="M753" s="5"/>
      <c r="N753" s="38"/>
      <c r="O753" s="1313">
        <f>SUMPRODUCT(G718:G752,O718:O752)</f>
        <v>114002</v>
      </c>
      <c r="P753" s="1314"/>
      <c r="Q753" s="1314"/>
      <c r="R753" s="1314"/>
      <c r="S753" s="1315"/>
      <c r="T753"/>
      <c r="U753"/>
      <c r="V753"/>
      <c r="W753"/>
      <c r="X753" s="799" t="s">
        <v>1489</v>
      </c>
      <c r="Y753" s="798"/>
      <c r="Z753" s="798"/>
      <c r="AA753" s="798"/>
      <c r="AB753" s="800"/>
      <c r="AC753" s="1559">
        <f>BH753</f>
        <v>0.41153846153846152</v>
      </c>
      <c r="AD753" s="1560"/>
      <c r="AE753" s="1560"/>
      <c r="AF753" s="1560"/>
      <c r="AG753" s="1561"/>
      <c r="AH753" s="1559">
        <f>IFERROR(BU753,"")</f>
        <v>0.36252859100645468</v>
      </c>
      <c r="AI753" s="1560"/>
      <c r="AJ753" s="1561"/>
      <c r="AK753"/>
      <c r="AL753"/>
      <c r="AM753"/>
      <c r="AN753"/>
      <c r="AO753"/>
      <c r="AP753" s="136"/>
      <c r="AQ753" s="136"/>
      <c r="AR753" s="136"/>
      <c r="AS753" s="136"/>
      <c r="AT753"/>
      <c r="AU753"/>
      <c r="AV753"/>
      <c r="AW753"/>
      <c r="AX753"/>
      <c r="AY753"/>
      <c r="BE753" s="199" t="s">
        <v>1490</v>
      </c>
      <c r="BF753" s="207">
        <f>SUM(BF718:BF752)</f>
        <v>78</v>
      </c>
      <c r="BG753" s="208">
        <f>SUM(BG718:BG752)</f>
        <v>0.99999999999999989</v>
      </c>
      <c r="BH753" s="208">
        <f>SUM(BH718:BH752)</f>
        <v>0.41153846153846152</v>
      </c>
      <c r="BI753"/>
      <c r="BJ753"/>
      <c r="BK753"/>
      <c r="BL753"/>
      <c r="BO753"/>
      <c r="BP753"/>
      <c r="BQ753"/>
      <c r="BR753"/>
      <c r="BS753" s="757">
        <f>SUM(BS718:BS752)</f>
        <v>78</v>
      </c>
      <c r="BT753" s="208">
        <f>SUM(BT718:BT752)</f>
        <v>0.99999999999999989</v>
      </c>
      <c r="BU753" s="208">
        <f>SUM(BU718:BU752)</f>
        <v>0.36252859100645468</v>
      </c>
      <c r="CI753" s="1296">
        <f>SUM(CI718:CJ752)</f>
        <v>28</v>
      </c>
      <c r="CJ753" s="1298"/>
      <c r="CM753" s="1296">
        <f>SUM(CM718:CN752)</f>
        <v>32</v>
      </c>
      <c r="CN753" s="1298"/>
      <c r="CP753" s="1296">
        <f>SUM(CP718:CT752)</f>
        <v>0</v>
      </c>
      <c r="CQ753" s="1297"/>
      <c r="CR753" s="1297"/>
      <c r="CS753" s="1297"/>
      <c r="CT753" s="1298"/>
      <c r="CU753" s="1322">
        <f>SUM(CU718:CY752)</f>
        <v>21</v>
      </c>
      <c r="CV753" s="1322"/>
      <c r="CW753" s="1322"/>
      <c r="CX753" s="1322"/>
      <c r="CY753" s="1322"/>
      <c r="CZ753" s="1322">
        <f>SUM(CZ718:DD752)</f>
        <v>33</v>
      </c>
      <c r="DA753" s="1322"/>
      <c r="DB753" s="1322"/>
      <c r="DC753" s="1322"/>
      <c r="DD753" s="1322"/>
      <c r="DE753" s="1322">
        <f>SUM(DE718:DI752)</f>
        <v>24</v>
      </c>
      <c r="DF753" s="1322"/>
      <c r="DG753" s="1322"/>
      <c r="DH753" s="1322"/>
      <c r="DI753" s="1322"/>
      <c r="DJ753" s="1322">
        <f>SUM(DJ718:DN752)</f>
        <v>0</v>
      </c>
      <c r="DK753" s="1322"/>
      <c r="DL753" s="1322"/>
      <c r="DM753" s="1322"/>
      <c r="DN753" s="1322"/>
      <c r="DO753" s="1322">
        <f>SUM(DO718:DS752)</f>
        <v>0</v>
      </c>
      <c r="DP753" s="1322"/>
      <c r="DQ753" s="1322"/>
      <c r="DR753" s="1322"/>
      <c r="DS753" s="1322"/>
      <c r="DT753" s="256"/>
      <c r="DU753" s="1322">
        <f>SUM(DU718:DY752)</f>
        <v>0</v>
      </c>
      <c r="DV753" s="1322"/>
      <c r="DW753" s="1322"/>
      <c r="DX753" s="1322"/>
      <c r="DY753" s="1322"/>
      <c r="DZ753" s="1322">
        <f>SUM(DZ718:ED752)</f>
        <v>7</v>
      </c>
      <c r="EA753" s="1322"/>
      <c r="EB753" s="1322"/>
      <c r="EC753" s="1322"/>
      <c r="ED753" s="1322"/>
      <c r="EE753" s="1322">
        <f>SUM(EE718:EI752)</f>
        <v>14</v>
      </c>
      <c r="EF753" s="1322"/>
      <c r="EG753" s="1322"/>
      <c r="EH753" s="1322"/>
      <c r="EI753" s="1322"/>
      <c r="EJ753" s="1322">
        <f>SUM(EJ718:EN752)</f>
        <v>11</v>
      </c>
      <c r="EK753" s="1322"/>
      <c r="EL753" s="1322"/>
      <c r="EM753" s="1322"/>
      <c r="EN753" s="1322"/>
      <c r="EO753" s="1322">
        <f>SUM(EO718:ES752)</f>
        <v>0</v>
      </c>
      <c r="EP753" s="1322"/>
      <c r="EQ753" s="1322"/>
      <c r="ER753" s="1322"/>
      <c r="ES753" s="1322"/>
      <c r="ET753" s="1322">
        <f>SUM(ET718:EX752)</f>
        <v>0</v>
      </c>
      <c r="EU753" s="1322"/>
      <c r="EV753" s="1322"/>
      <c r="EW753" s="1322"/>
      <c r="EX753" s="1322"/>
      <c r="EY753"/>
      <c r="EZ753" s="1322">
        <f>SUM(EZ718:FD752)</f>
        <v>0</v>
      </c>
      <c r="FA753" s="1322"/>
      <c r="FB753" s="1322"/>
      <c r="FC753" s="1322"/>
      <c r="FD753" s="1322"/>
      <c r="FE753" s="1322">
        <f>SUM(FE718:FI752)</f>
        <v>12270</v>
      </c>
      <c r="FF753" s="1322"/>
      <c r="FG753" s="1322"/>
      <c r="FH753" s="1322"/>
      <c r="FI753" s="1322"/>
      <c r="FJ753" s="1322">
        <f>SUM(FJ718:FN752)</f>
        <v>12440</v>
      </c>
      <c r="FK753" s="1322"/>
      <c r="FL753" s="1322"/>
      <c r="FM753" s="1322"/>
      <c r="FN753" s="1322"/>
      <c r="FO753" s="1322">
        <f>SUM(FO718:FS752)</f>
        <v>9075</v>
      </c>
      <c r="FP753" s="1322"/>
      <c r="FQ753" s="1322"/>
      <c r="FR753" s="1322"/>
      <c r="FS753" s="1322"/>
      <c r="FT753" s="1322">
        <f>SUM(FT718:FX752)</f>
        <v>0</v>
      </c>
      <c r="FU753" s="1322"/>
      <c r="FV753" s="1322"/>
      <c r="FW753" s="1322"/>
      <c r="FX753" s="1322"/>
      <c r="FY753" s="1322">
        <f>SUM(FY718:GC752)</f>
        <v>0</v>
      </c>
      <c r="FZ753" s="1322"/>
      <c r="GA753" s="1322"/>
      <c r="GB753" s="1322"/>
      <c r="GC753" s="1322"/>
    </row>
    <row r="754" spans="1:185" s="3" customFormat="1" ht="13" customHeight="1">
      <c r="A754"/>
      <c r="B754" s="1658" t="s">
        <v>1491</v>
      </c>
      <c r="C754" s="1658"/>
      <c r="D754" s="1658"/>
      <c r="E754" s="1658"/>
      <c r="F754" s="1658"/>
      <c r="G754" s="1658"/>
      <c r="H754" s="1658"/>
      <c r="I754" s="1658"/>
      <c r="J754" s="1658"/>
      <c r="K754" s="1658"/>
      <c r="L754" s="1658"/>
      <c r="M754" s="1658"/>
      <c r="N754" s="1658"/>
      <c r="O754" s="1658"/>
      <c r="P754" s="1658"/>
      <c r="Q754" s="1658"/>
      <c r="R754" s="1658"/>
      <c r="S754" s="1658"/>
      <c r="T754" s="1658"/>
      <c r="U754" s="1658"/>
      <c r="V754" s="1658"/>
      <c r="W754" s="1658"/>
      <c r="X754" s="1658"/>
      <c r="Y754" s="1658"/>
      <c r="Z754" s="1658"/>
      <c r="AA754" s="1658"/>
      <c r="AB754" s="1658"/>
      <c r="AC754" s="1658"/>
      <c r="AD754" s="1658"/>
      <c r="AE754" s="1658"/>
      <c r="AF754" s="1658"/>
      <c r="AG754" s="1658"/>
      <c r="AH754" s="1658"/>
      <c r="AI754"/>
      <c r="AJ754"/>
      <c r="AK754"/>
      <c r="AT754"/>
      <c r="AU754"/>
      <c r="AV754"/>
      <c r="AW754"/>
      <c r="AX754"/>
      <c r="AY754"/>
      <c r="CD754"/>
      <c r="DN754" s="48" t="s">
        <v>1492</v>
      </c>
      <c r="DO754" s="1296">
        <f>CP753+CU753+CZ753+DE753+DJ753+DO753</f>
        <v>78</v>
      </c>
      <c r="DP754" s="1297"/>
      <c r="DQ754" s="1297"/>
      <c r="DR754" s="1297"/>
      <c r="DS754" s="1298"/>
      <c r="DT754" s="256"/>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58"/>
      <c r="C755" s="1658"/>
      <c r="D755" s="1658"/>
      <c r="E755" s="1658"/>
      <c r="F755" s="1658"/>
      <c r="G755" s="1658"/>
      <c r="H755" s="1658"/>
      <c r="I755" s="1658"/>
      <c r="J755" s="1658"/>
      <c r="K755" s="1658"/>
      <c r="L755" s="1658"/>
      <c r="M755" s="1658"/>
      <c r="N755" s="1658"/>
      <c r="O755" s="1658"/>
      <c r="P755" s="1658"/>
      <c r="Q755" s="1658"/>
      <c r="R755" s="1658"/>
      <c r="S755" s="1658"/>
      <c r="T755" s="1658"/>
      <c r="U755" s="1658"/>
      <c r="V755" s="1658"/>
      <c r="W755" s="1658"/>
      <c r="X755" s="1658"/>
      <c r="Y755" s="1658"/>
      <c r="Z755" s="1658"/>
      <c r="AA755" s="1658"/>
      <c r="AB755" s="1658"/>
      <c r="AC755" s="1658"/>
      <c r="AD755" s="1658"/>
      <c r="AE755" s="1658"/>
      <c r="AF755" s="1658"/>
      <c r="AG755" s="1658"/>
      <c r="AH755" s="165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59">
        <f>CP753*1</f>
        <v>0</v>
      </c>
      <c r="CU755" s="3"/>
      <c r="CV755" s="3"/>
      <c r="CW755" s="3"/>
      <c r="CX755" s="3"/>
      <c r="CY755" s="759">
        <f>CU753*1</f>
        <v>21</v>
      </c>
      <c r="CZ755" s="3"/>
      <c r="DA755" s="3"/>
      <c r="DB755" s="3"/>
      <c r="DC755" s="3"/>
      <c r="DD755" s="759">
        <f>CZ753*2</f>
        <v>66</v>
      </c>
      <c r="DE755" s="3"/>
      <c r="DF755" s="3"/>
      <c r="DG755" s="3"/>
      <c r="DH755" s="3"/>
      <c r="DI755" s="759">
        <f>DE753*3</f>
        <v>72</v>
      </c>
      <c r="DJ755" s="3"/>
      <c r="DK755" s="3"/>
      <c r="DL755" s="3"/>
      <c r="DM755" s="3"/>
      <c r="DN755" s="759">
        <f>DJ753*4</f>
        <v>0</v>
      </c>
      <c r="DO755" s="3"/>
      <c r="DP755" s="3"/>
      <c r="DQ755" s="3"/>
      <c r="DR755" s="3"/>
      <c r="DS755" s="759">
        <f>DO753*5</f>
        <v>0</v>
      </c>
      <c r="DU755" s="759">
        <f>CT755+CY755+DD755+DI755+DN755+DS755</f>
        <v>159</v>
      </c>
      <c r="DV755" s="49" t="s">
        <v>1493</v>
      </c>
      <c r="DW755" s="3"/>
      <c r="DX755" s="3"/>
      <c r="DY755" s="3"/>
      <c r="DZ755" s="3"/>
      <c r="EA755" s="3"/>
      <c r="EB755" s="3"/>
      <c r="EC755" s="3"/>
      <c r="ED755" s="3"/>
      <c r="EE755" s="3"/>
      <c r="EF755" s="3"/>
      <c r="EG755" s="3"/>
      <c r="EH755" s="3"/>
    </row>
    <row r="756" spans="1:185" ht="13" customHeight="1">
      <c r="A756" s="3"/>
      <c r="B756" s="3"/>
      <c r="C756" s="84" t="s">
        <v>1494</v>
      </c>
      <c r="D756" s="922"/>
      <c r="E756" s="922"/>
      <c r="F756" s="922"/>
      <c r="G756" s="923"/>
      <c r="H756" s="923"/>
      <c r="I756" s="923"/>
      <c r="J756" s="923"/>
      <c r="K756" s="922"/>
      <c r="L756" s="922"/>
      <c r="M756" s="922"/>
      <c r="N756" s="922"/>
      <c r="O756" s="1322">
        <f>DU755</f>
        <v>159</v>
      </c>
      <c r="P756" s="1322"/>
      <c r="Q756" s="1322"/>
      <c r="R756" s="1322"/>
      <c r="S756" s="862"/>
      <c r="T756" s="862"/>
      <c r="U756" s="84" t="s">
        <v>1495</v>
      </c>
      <c r="V756" s="922"/>
      <c r="W756" s="922"/>
      <c r="X756" s="922"/>
      <c r="Y756" s="923"/>
      <c r="Z756" s="923"/>
      <c r="AA756" s="923"/>
      <c r="AB756" s="923"/>
      <c r="AC756" s="922"/>
      <c r="AD756" s="922"/>
      <c r="AE756" s="922"/>
      <c r="AF756" s="922"/>
      <c r="AG756" s="1650">
        <v>18</v>
      </c>
      <c r="AH756" s="1650"/>
      <c r="AI756" s="1650"/>
      <c r="AJ756" s="1650"/>
      <c r="AK756" s="3"/>
      <c r="AL756" s="3"/>
      <c r="AM756" s="3"/>
      <c r="AN756" s="3"/>
      <c r="AO756" s="3"/>
      <c r="AP756" s="3"/>
      <c r="AQ756" s="3"/>
      <c r="AR756" s="3"/>
      <c r="AS756" s="3"/>
      <c r="AZ756" s="3"/>
      <c r="BA756" s="3"/>
      <c r="BB756" s="199"/>
      <c r="BC756" s="199"/>
      <c r="BD756" s="199"/>
      <c r="BE756" s="199"/>
      <c r="BF756" s="199"/>
      <c r="BG756" s="199"/>
      <c r="BH756" s="199"/>
      <c r="BI756" s="199"/>
      <c r="BJ756" s="199"/>
      <c r="BK756" s="199"/>
      <c r="BL756" s="199"/>
      <c r="BM756" s="199"/>
      <c r="BN756" s="199"/>
      <c r="BO756" s="199"/>
      <c r="BP756" s="199"/>
      <c r="BQ756" s="199"/>
      <c r="BR756" s="199"/>
      <c r="BS756" s="199"/>
      <c r="BT756" s="199"/>
      <c r="BU756" s="199"/>
      <c r="BV756" s="199"/>
      <c r="BW756" s="199"/>
      <c r="BX756" s="199"/>
      <c r="BY756" s="199"/>
      <c r="BZ756" s="199"/>
      <c r="CA756" s="199"/>
      <c r="CB756" s="199"/>
      <c r="CC756" s="199"/>
      <c r="CE756" s="3"/>
      <c r="CF756" s="199"/>
      <c r="CG756" s="199"/>
      <c r="CH756" s="199"/>
      <c r="CI756" s="199"/>
      <c r="CJ756" s="199"/>
      <c r="CK756" s="199"/>
      <c r="CL756" s="199"/>
      <c r="CM756" s="199"/>
      <c r="CN756" s="199"/>
      <c r="CO756" s="199"/>
      <c r="CP756" s="199"/>
      <c r="CQ756" s="199"/>
      <c r="CR756" s="199"/>
      <c r="CS756" s="199"/>
      <c r="CT756" s="199"/>
      <c r="CU756" s="199"/>
      <c r="CV756" s="199"/>
      <c r="CW756" s="199"/>
      <c r="CX756" s="199"/>
      <c r="CY756" s="199"/>
      <c r="CZ756" s="199"/>
      <c r="DA756" s="199"/>
      <c r="DB756" s="199"/>
      <c r="DC756" s="199"/>
      <c r="DD756" s="199"/>
      <c r="DE756" s="199"/>
      <c r="DF756" s="199"/>
      <c r="DG756" s="199"/>
      <c r="DH756" s="199"/>
      <c r="DI756" s="199"/>
      <c r="DJ756" s="199"/>
      <c r="DK756" s="199"/>
      <c r="DL756" s="199"/>
      <c r="DM756" s="199"/>
      <c r="DN756" s="199"/>
      <c r="DO756" s="199"/>
      <c r="DP756" s="199"/>
      <c r="DQ756" s="199"/>
      <c r="DR756" s="199"/>
      <c r="DS756" s="199"/>
      <c r="DT756" s="199"/>
      <c r="DU756" s="199"/>
      <c r="DV756" s="199"/>
      <c r="DW756" s="199"/>
      <c r="FB756" s="199"/>
      <c r="FC756" s="199"/>
    </row>
    <row r="757" spans="1:185" ht="13" customHeight="1">
      <c r="B757" s="49"/>
      <c r="C757" s="1786" t="str">
        <f>IF(G753&lt;&gt;AG440,"! Total Low-Income Units in the Unit Mix Table above does not match the number of Total Low-Income Units on row #"&amp;TEXT(ROW(D440),"#"),"")</f>
        <v/>
      </c>
      <c r="D757" s="1786"/>
      <c r="E757" s="1786"/>
      <c r="F757" s="1786"/>
      <c r="G757" s="1786"/>
      <c r="H757" s="1786"/>
      <c r="I757" s="1786"/>
      <c r="J757" s="1786"/>
      <c r="K757" s="1786"/>
      <c r="L757" s="1786"/>
      <c r="M757" s="1786"/>
      <c r="N757" s="1786"/>
      <c r="O757" s="1786"/>
      <c r="P757" s="1786"/>
      <c r="Q757" s="1786"/>
      <c r="R757" s="1786"/>
      <c r="S757" s="1786"/>
      <c r="T757" s="1786"/>
      <c r="U757" s="1786"/>
      <c r="V757" s="1786"/>
      <c r="W757" s="1786"/>
      <c r="X757" s="1786"/>
      <c r="Y757" s="1786"/>
      <c r="Z757" s="1786"/>
      <c r="AA757" s="1786"/>
      <c r="AB757" s="1786"/>
      <c r="AC757" s="1786"/>
      <c r="AD757" s="1786"/>
      <c r="AE757" s="1786"/>
      <c r="AF757" s="1786"/>
      <c r="AG757" s="1786"/>
      <c r="AH757" s="1786"/>
      <c r="AI757" s="1786"/>
      <c r="AJ757" s="1786"/>
      <c r="AK757" s="1786"/>
      <c r="AL757" s="1786"/>
      <c r="AM757" s="1786"/>
      <c r="AP757" s="199"/>
      <c r="AQ757" s="199"/>
      <c r="AR757" s="199"/>
      <c r="AS757" s="199"/>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49"/>
      <c r="C758" s="1786"/>
      <c r="D758" s="1786"/>
      <c r="E758" s="1786"/>
      <c r="F758" s="1786"/>
      <c r="G758" s="1786"/>
      <c r="H758" s="1786"/>
      <c r="I758" s="1786"/>
      <c r="J758" s="1786"/>
      <c r="K758" s="1786"/>
      <c r="L758" s="1786"/>
      <c r="M758" s="1786"/>
      <c r="N758" s="1786"/>
      <c r="O758" s="1786"/>
      <c r="P758" s="1786"/>
      <c r="Q758" s="1786"/>
      <c r="R758" s="1786"/>
      <c r="S758" s="1786"/>
      <c r="T758" s="1786"/>
      <c r="U758" s="1786"/>
      <c r="V758" s="1786"/>
      <c r="W758" s="1786"/>
      <c r="X758" s="1786"/>
      <c r="Y758" s="1786"/>
      <c r="Z758" s="1786"/>
      <c r="AA758" s="1786"/>
      <c r="AB758" s="1786"/>
      <c r="AC758" s="1786"/>
      <c r="AD758" s="1786"/>
      <c r="AE758" s="1786"/>
      <c r="AF758" s="1786"/>
      <c r="AG758" s="1786"/>
      <c r="AH758" s="1786"/>
      <c r="AI758" s="1786"/>
      <c r="AJ758" s="1786"/>
      <c r="AK758" s="1786"/>
      <c r="AL758" s="1786"/>
      <c r="AM758" s="1786"/>
      <c r="AP758" s="199"/>
      <c r="AQ758" s="199"/>
      <c r="AR758" s="199"/>
      <c r="AS758" s="199"/>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84" t="s">
        <v>1496</v>
      </c>
      <c r="D759" s="924"/>
      <c r="E759" s="924"/>
      <c r="F759" s="924"/>
      <c r="G759" s="924"/>
      <c r="H759" s="924"/>
      <c r="I759" s="924"/>
      <c r="J759" s="924"/>
      <c r="K759" s="924"/>
      <c r="L759" s="924"/>
      <c r="M759" s="924"/>
      <c r="N759" s="924"/>
      <c r="O759" s="924"/>
      <c r="P759" s="924"/>
      <c r="Q759" s="924"/>
      <c r="R759" s="924"/>
      <c r="S759" s="924"/>
      <c r="T759" s="924"/>
      <c r="U759" s="924"/>
      <c r="V759" s="924"/>
      <c r="W759" s="924"/>
      <c r="X759" s="924"/>
      <c r="Y759" s="924"/>
      <c r="Z759" s="924"/>
      <c r="AA759" s="924"/>
      <c r="AB759" s="924"/>
      <c r="AC759" s="924"/>
      <c r="AD759" s="1657" t="s">
        <v>807</v>
      </c>
      <c r="AE759" s="1657"/>
      <c r="AF759" s="1657"/>
      <c r="AG759" s="924"/>
      <c r="AH759" s="924"/>
      <c r="AI759" s="924"/>
      <c r="AJ759" s="924"/>
      <c r="AK759" s="924"/>
      <c r="AL759" s="924"/>
      <c r="AM759" s="924"/>
      <c r="AN759" s="924"/>
      <c r="AO759" s="924"/>
      <c r="AP759" s="924"/>
      <c r="AQ759" s="924"/>
      <c r="AR759" s="92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925" t="s">
        <v>1497</v>
      </c>
      <c r="D760" s="924"/>
      <c r="E760" s="924"/>
      <c r="F760" s="924"/>
      <c r="G760" s="924"/>
      <c r="H760" s="924"/>
      <c r="I760" s="924"/>
      <c r="J760" s="924"/>
      <c r="K760" s="924"/>
      <c r="L760" s="924"/>
      <c r="M760" s="924"/>
      <c r="N760" s="924"/>
      <c r="O760" s="924"/>
      <c r="P760" s="924"/>
      <c r="Q760" s="924"/>
      <c r="R760" s="924"/>
      <c r="S760" s="924"/>
      <c r="T760" s="924"/>
      <c r="U760" s="924"/>
      <c r="V760" s="924"/>
      <c r="W760" s="924"/>
      <c r="X760" s="924"/>
      <c r="Y760" s="924"/>
      <c r="Z760" s="924"/>
      <c r="AA760" s="924"/>
      <c r="AB760" s="924"/>
      <c r="AC760" s="924"/>
      <c r="AD760" s="924"/>
      <c r="AE760" s="924"/>
      <c r="AF760" s="924"/>
      <c r="AG760" s="924"/>
      <c r="AH760" s="924"/>
      <c r="AI760" s="924"/>
      <c r="AJ760" s="924"/>
      <c r="AK760" s="924"/>
      <c r="AL760" s="924"/>
      <c r="AM760" s="924"/>
      <c r="AN760" s="924"/>
      <c r="AO760" s="924"/>
      <c r="AP760" s="924"/>
      <c r="AQ760" s="924"/>
      <c r="AR760" s="92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908</v>
      </c>
      <c r="B761" s="48"/>
      <c r="C761" s="49" t="s">
        <v>1498</v>
      </c>
      <c r="D761" s="48"/>
      <c r="E761" s="48"/>
      <c r="F761" s="48"/>
      <c r="G761" s="256"/>
      <c r="H761" s="256"/>
      <c r="I761" s="256"/>
      <c r="J761" s="256"/>
      <c r="K761" s="256"/>
      <c r="L761" s="48"/>
      <c r="M761" s="48"/>
      <c r="N761" s="48"/>
      <c r="O761" s="48"/>
      <c r="P761" s="48"/>
      <c r="Q761" s="256"/>
      <c r="R761" s="256"/>
      <c r="S761" s="256"/>
      <c r="T761" s="256"/>
      <c r="U761" s="25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922"/>
      <c r="C762" s="84" t="s">
        <v>1499</v>
      </c>
      <c r="D762" s="922"/>
      <c r="E762" s="922"/>
      <c r="F762" s="922"/>
      <c r="G762" s="256"/>
      <c r="H762" s="256"/>
      <c r="I762" s="256"/>
      <c r="J762" s="256"/>
      <c r="K762" s="256"/>
      <c r="L762" s="922"/>
      <c r="M762" s="922"/>
      <c r="N762" s="922"/>
      <c r="O762" s="922"/>
      <c r="P762" s="922"/>
      <c r="Q762" s="256"/>
      <c r="R762" s="256"/>
      <c r="S762" s="256"/>
      <c r="T762" s="256"/>
      <c r="U762" s="256"/>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922"/>
      <c r="C763" s="1227" t="s">
        <v>1500</v>
      </c>
      <c r="D763" s="1227"/>
      <c r="E763" s="1227"/>
      <c r="F763" s="1227"/>
      <c r="G763" s="1227"/>
      <c r="H763" s="1227"/>
      <c r="I763" s="1227"/>
      <c r="J763" s="1227"/>
      <c r="K763" s="1227"/>
      <c r="L763" s="1227"/>
      <c r="M763" s="1227"/>
      <c r="N763" s="1227"/>
      <c r="O763" s="1227"/>
      <c r="P763" s="1227"/>
      <c r="Q763" s="1227"/>
      <c r="R763" s="1227"/>
      <c r="S763" s="1227"/>
      <c r="T763" s="1227"/>
      <c r="U763" s="1227"/>
      <c r="V763" s="1227"/>
      <c r="W763" s="1227"/>
      <c r="X763" s="1227"/>
      <c r="Y763" s="1227"/>
      <c r="Z763" s="1227"/>
      <c r="AA763" s="1227"/>
      <c r="AB763" s="1227"/>
      <c r="AC763" s="1227"/>
      <c r="AD763" s="1227"/>
      <c r="AE763" s="1227"/>
      <c r="AF763" s="1227"/>
      <c r="AG763" s="1227"/>
      <c r="AH763" s="1227"/>
      <c r="AI763" s="1227"/>
      <c r="AJ763" s="1227"/>
      <c r="AK763" s="1227"/>
      <c r="AL763" s="1227"/>
      <c r="AM763" s="1227"/>
      <c r="AN763" s="1227"/>
      <c r="AO763" s="1227"/>
      <c r="AP763" s="1227"/>
      <c r="AQ763" s="1227"/>
      <c r="AR763" s="122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922"/>
      <c r="C764" s="1227"/>
      <c r="D764" s="1227"/>
      <c r="E764" s="1227"/>
      <c r="F764" s="1227"/>
      <c r="G764" s="1227"/>
      <c r="H764" s="1227"/>
      <c r="I764" s="1227"/>
      <c r="J764" s="1227"/>
      <c r="K764" s="1227"/>
      <c r="L764" s="1227"/>
      <c r="M764" s="1227"/>
      <c r="N764" s="1227"/>
      <c r="O764" s="1227"/>
      <c r="P764" s="1227"/>
      <c r="Q764" s="1227"/>
      <c r="R764" s="1227"/>
      <c r="S764" s="1227"/>
      <c r="T764" s="1227"/>
      <c r="U764" s="1227"/>
      <c r="V764" s="1227"/>
      <c r="W764" s="1227"/>
      <c r="X764" s="1227"/>
      <c r="Y764" s="1227"/>
      <c r="Z764" s="1227"/>
      <c r="AA764" s="1227"/>
      <c r="AB764" s="1227"/>
      <c r="AC764" s="1227"/>
      <c r="AD764" s="1227"/>
      <c r="AE764" s="1227"/>
      <c r="AF764" s="1227"/>
      <c r="AG764" s="1227"/>
      <c r="AH764" s="1227"/>
      <c r="AI764" s="1227"/>
      <c r="AJ764" s="1227"/>
      <c r="AK764" s="1227"/>
      <c r="AL764" s="1227"/>
      <c r="AM764" s="1227"/>
      <c r="AN764" s="1227"/>
      <c r="AO764" s="1227"/>
      <c r="AP764" s="1227"/>
      <c r="AQ764" s="1227"/>
      <c r="AR764" s="122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922"/>
      <c r="C765" s="1227"/>
      <c r="D765" s="1227"/>
      <c r="E765" s="1227"/>
      <c r="F765" s="1227"/>
      <c r="G765" s="1227"/>
      <c r="H765" s="1227"/>
      <c r="I765" s="1227"/>
      <c r="J765" s="1227"/>
      <c r="K765" s="1227"/>
      <c r="L765" s="1227"/>
      <c r="M765" s="1227"/>
      <c r="N765" s="1227"/>
      <c r="O765" s="1227"/>
      <c r="P765" s="1227"/>
      <c r="Q765" s="1227"/>
      <c r="R765" s="1227"/>
      <c r="S765" s="1227"/>
      <c r="T765" s="1227"/>
      <c r="U765" s="1227"/>
      <c r="V765" s="1227"/>
      <c r="W765" s="1227"/>
      <c r="X765" s="1227"/>
      <c r="Y765" s="1227"/>
      <c r="Z765" s="1227"/>
      <c r="AA765" s="1227"/>
      <c r="AB765" s="1227"/>
      <c r="AC765" s="1227"/>
      <c r="AD765" s="1227"/>
      <c r="AE765" s="1227"/>
      <c r="AF765" s="1227"/>
      <c r="AG765" s="1227"/>
      <c r="AH765" s="1227"/>
      <c r="AI765" s="1227"/>
      <c r="AJ765" s="1227"/>
      <c r="AK765" s="1227"/>
      <c r="AL765" s="1227"/>
      <c r="AM765" s="1227"/>
      <c r="AN765" s="1227"/>
      <c r="AO765" s="1227"/>
      <c r="AP765" s="1227"/>
      <c r="AQ765" s="1227"/>
      <c r="AR765" s="122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922"/>
      <c r="C766" s="1227" t="s">
        <v>1501</v>
      </c>
      <c r="D766" s="1227"/>
      <c r="E766" s="1227"/>
      <c r="F766" s="1227"/>
      <c r="G766" s="1227"/>
      <c r="H766" s="1227"/>
      <c r="I766" s="1227"/>
      <c r="J766" s="1227"/>
      <c r="K766" s="1227"/>
      <c r="L766" s="1227"/>
      <c r="M766" s="1227"/>
      <c r="N766" s="1227"/>
      <c r="O766" s="1227"/>
      <c r="P766" s="1227"/>
      <c r="Q766" s="1227"/>
      <c r="R766" s="1227"/>
      <c r="S766" s="1227"/>
      <c r="T766" s="1227"/>
      <c r="U766" s="1227"/>
      <c r="V766" s="1227"/>
      <c r="W766" s="1227"/>
      <c r="X766" s="1227"/>
      <c r="Y766" s="1227"/>
      <c r="Z766" s="1227"/>
      <c r="AA766" s="1227"/>
      <c r="AB766" s="1227"/>
      <c r="AC766" s="1227"/>
      <c r="AD766" s="1227"/>
      <c r="AE766" s="1227"/>
      <c r="AF766" s="1227"/>
      <c r="AG766" s="1227"/>
      <c r="AH766" s="1227"/>
      <c r="AI766" s="1227"/>
      <c r="AJ766" s="1227"/>
      <c r="AK766" s="1227"/>
      <c r="AL766" s="1227"/>
      <c r="AM766" s="1227"/>
      <c r="AN766" s="1227"/>
      <c r="AO766" s="1227"/>
      <c r="AP766" s="1227"/>
      <c r="AQ766" s="1227"/>
      <c r="AR766" s="122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199"/>
      <c r="DY766" s="199"/>
      <c r="DZ766" s="199"/>
      <c r="EA766" s="199"/>
      <c r="EB766" s="199"/>
      <c r="EC766" s="199"/>
      <c r="ED766" s="199"/>
      <c r="EE766" s="199"/>
      <c r="EF766" s="199"/>
      <c r="EG766" s="199"/>
      <c r="EH766" s="199"/>
      <c r="EI766" s="199"/>
      <c r="EJ766" s="199"/>
      <c r="EK766" s="199"/>
      <c r="EL766" s="199"/>
      <c r="EM766" s="199"/>
      <c r="EN766" s="199"/>
      <c r="EO766" s="199"/>
      <c r="EP766" s="199"/>
      <c r="EQ766" s="199"/>
      <c r="ER766" s="199"/>
      <c r="ES766" s="199"/>
      <c r="ET766" s="199"/>
      <c r="EU766" s="199"/>
      <c r="EV766" s="199"/>
      <c r="EW766" s="199"/>
      <c r="EX766" s="199"/>
      <c r="EY766" s="199"/>
      <c r="EZ766" s="199"/>
      <c r="FA766" s="199"/>
    </row>
    <row r="767" spans="1:185" ht="13" customHeight="1">
      <c r="A767" s="3"/>
      <c r="B767" s="922"/>
      <c r="C767" s="1227"/>
      <c r="D767" s="1227"/>
      <c r="E767" s="1227"/>
      <c r="F767" s="1227"/>
      <c r="G767" s="1227"/>
      <c r="H767" s="1227"/>
      <c r="I767" s="1227"/>
      <c r="J767" s="1227"/>
      <c r="K767" s="1227"/>
      <c r="L767" s="1227"/>
      <c r="M767" s="1227"/>
      <c r="N767" s="1227"/>
      <c r="O767" s="1227"/>
      <c r="P767" s="1227"/>
      <c r="Q767" s="1227"/>
      <c r="R767" s="1227"/>
      <c r="S767" s="1227"/>
      <c r="T767" s="1227"/>
      <c r="U767" s="1227"/>
      <c r="V767" s="1227"/>
      <c r="W767" s="1227"/>
      <c r="X767" s="1227"/>
      <c r="Y767" s="1227"/>
      <c r="Z767" s="1227"/>
      <c r="AA767" s="1227"/>
      <c r="AB767" s="1227"/>
      <c r="AC767" s="1227"/>
      <c r="AD767" s="1227"/>
      <c r="AE767" s="1227"/>
      <c r="AF767" s="1227"/>
      <c r="AG767" s="1227"/>
      <c r="AH767" s="1227"/>
      <c r="AI767" s="1227"/>
      <c r="AJ767" s="1227"/>
      <c r="AK767" s="1227"/>
      <c r="AL767" s="1227"/>
      <c r="AM767" s="1227"/>
      <c r="AN767" s="1227"/>
      <c r="AO767" s="1227"/>
      <c r="AP767" s="1227"/>
      <c r="AQ767" s="1227"/>
      <c r="AR767" s="122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922"/>
      <c r="C768" s="1227"/>
      <c r="D768" s="1227"/>
      <c r="E768" s="1227"/>
      <c r="F768" s="1227"/>
      <c r="G768" s="1227"/>
      <c r="H768" s="1227"/>
      <c r="I768" s="1227"/>
      <c r="J768" s="1227"/>
      <c r="K768" s="1227"/>
      <c r="L768" s="1227"/>
      <c r="M768" s="1227"/>
      <c r="N768" s="1227"/>
      <c r="O768" s="1227"/>
      <c r="P768" s="1227"/>
      <c r="Q768" s="1227"/>
      <c r="R768" s="1227"/>
      <c r="S768" s="1227"/>
      <c r="T768" s="1227"/>
      <c r="U768" s="1227"/>
      <c r="V768" s="1227"/>
      <c r="W768" s="1227"/>
      <c r="X768" s="1227"/>
      <c r="Y768" s="1227"/>
      <c r="Z768" s="1227"/>
      <c r="AA768" s="1227"/>
      <c r="AB768" s="1227"/>
      <c r="AC768" s="1227"/>
      <c r="AD768" s="1227"/>
      <c r="AE768" s="1227"/>
      <c r="AF768" s="1227"/>
      <c r="AG768" s="1227"/>
      <c r="AH768" s="1227"/>
      <c r="AI768" s="1227"/>
      <c r="AJ768" s="1227"/>
      <c r="AK768" s="1227"/>
      <c r="AL768" s="1227"/>
      <c r="AM768" s="1227"/>
      <c r="AN768" s="1227"/>
      <c r="AO768" s="1227"/>
      <c r="AP768" s="1227"/>
      <c r="AQ768" s="1227"/>
      <c r="AR768" s="122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45" t="s">
        <v>1467</v>
      </c>
      <c r="K769" s="1446"/>
      <c r="L769" s="1446"/>
      <c r="M769" s="1446"/>
      <c r="N769" s="1447"/>
      <c r="O769" s="1544" t="s">
        <v>1468</v>
      </c>
      <c r="P769" s="1544"/>
      <c r="Q769" s="1544"/>
      <c r="R769" s="1544"/>
      <c r="S769" s="1544"/>
      <c r="T769" s="1461" t="s">
        <v>1469</v>
      </c>
      <c r="U769" s="1462"/>
      <c r="V769" s="1462"/>
      <c r="W769" s="1463"/>
      <c r="X769" s="1445" t="s">
        <v>1470</v>
      </c>
      <c r="Y769" s="1446"/>
      <c r="Z769" s="1446"/>
      <c r="AA769" s="1446"/>
      <c r="AB769" s="1447"/>
      <c r="AC769" s="1445" t="s">
        <v>1502</v>
      </c>
      <c r="AD769" s="1446"/>
      <c r="AE769" s="1446"/>
      <c r="AF769" s="1446"/>
      <c r="AG769" s="1447"/>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448"/>
      <c r="K770" s="1449"/>
      <c r="L770" s="1449"/>
      <c r="M770" s="1449"/>
      <c r="N770" s="1450"/>
      <c r="O770" s="1544"/>
      <c r="P770" s="1544"/>
      <c r="Q770" s="1544"/>
      <c r="R770" s="1544"/>
      <c r="S770" s="1544"/>
      <c r="T770" s="1464"/>
      <c r="U770" s="1465"/>
      <c r="V770" s="1465"/>
      <c r="W770" s="1466"/>
      <c r="X770" s="1448"/>
      <c r="Y770" s="1449"/>
      <c r="Z770" s="1449"/>
      <c r="AA770" s="1449"/>
      <c r="AB770" s="1450"/>
      <c r="AC770" s="1448"/>
      <c r="AD770" s="1449"/>
      <c r="AE770" s="1449"/>
      <c r="AF770" s="1449"/>
      <c r="AG770" s="1450"/>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448"/>
      <c r="K771" s="1449"/>
      <c r="L771" s="1449"/>
      <c r="M771" s="1449"/>
      <c r="N771" s="1450"/>
      <c r="O771" s="1544"/>
      <c r="P771" s="1544"/>
      <c r="Q771" s="1544"/>
      <c r="R771" s="1544"/>
      <c r="S771" s="1544"/>
      <c r="T771" s="1464"/>
      <c r="U771" s="1465"/>
      <c r="V771" s="1465"/>
      <c r="W771" s="1466"/>
      <c r="X771" s="1448"/>
      <c r="Y771" s="1449"/>
      <c r="Z771" s="1449"/>
      <c r="AA771" s="1449"/>
      <c r="AB771" s="1450"/>
      <c r="AC771" s="1448"/>
      <c r="AD771" s="1449"/>
      <c r="AE771" s="1449"/>
      <c r="AF771" s="1449"/>
      <c r="AG771" s="1450"/>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451"/>
      <c r="K772" s="1452"/>
      <c r="L772" s="1452"/>
      <c r="M772" s="1452"/>
      <c r="N772" s="1453"/>
      <c r="O772" s="1544"/>
      <c r="P772" s="1544"/>
      <c r="Q772" s="1544"/>
      <c r="R772" s="1544"/>
      <c r="S772" s="1544"/>
      <c r="T772" s="1552"/>
      <c r="U772" s="1553"/>
      <c r="V772" s="1553"/>
      <c r="W772" s="1554"/>
      <c r="X772" s="1451"/>
      <c r="Y772" s="1452"/>
      <c r="Z772" s="1452"/>
      <c r="AA772" s="1452"/>
      <c r="AB772" s="1453"/>
      <c r="AC772" s="1451"/>
      <c r="AD772" s="1452"/>
      <c r="AE772" s="1452"/>
      <c r="AF772" s="1452"/>
      <c r="AG772" s="1453"/>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1503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6"/>
      <c r="DU772" s="3"/>
      <c r="DV772" s="3"/>
    </row>
    <row r="773" spans="1:126" ht="13" customHeight="1">
      <c r="J773" s="1310" t="s">
        <v>830</v>
      </c>
      <c r="K773" s="1311"/>
      <c r="L773" s="1311"/>
      <c r="M773" s="1311"/>
      <c r="N773" s="1312"/>
      <c r="O773" s="1416">
        <v>1</v>
      </c>
      <c r="P773" s="1416"/>
      <c r="Q773" s="1416"/>
      <c r="R773" s="1416"/>
      <c r="S773" s="1416"/>
      <c r="T773" s="1546">
        <v>1047</v>
      </c>
      <c r="U773" s="1547"/>
      <c r="V773" s="1547"/>
      <c r="W773" s="1548"/>
      <c r="X773" s="1420"/>
      <c r="Y773" s="1421"/>
      <c r="Z773" s="1421"/>
      <c r="AA773" s="1421"/>
      <c r="AB773" s="1422"/>
      <c r="AC773" s="1313">
        <f>X773*O773</f>
        <v>0</v>
      </c>
      <c r="AD773" s="1314"/>
      <c r="AE773" s="1314"/>
      <c r="AF773" s="1314"/>
      <c r="AG773" s="1315"/>
      <c r="AH773" s="1143"/>
      <c r="AI773" s="85"/>
      <c r="AJ773" s="85"/>
      <c r="AK773" s="1143"/>
      <c r="AL773" s="114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293">
        <f>IF(J773="SRO/Studio",O773,0)</f>
        <v>0</v>
      </c>
      <c r="CQ773" s="1294"/>
      <c r="CR773" s="1294"/>
      <c r="CS773" s="1294"/>
      <c r="CT773" s="1295"/>
      <c r="CU773" s="1309">
        <f>IF(J773="1 Bedroom",O773,0)</f>
        <v>0</v>
      </c>
      <c r="CV773" s="1309"/>
      <c r="CW773" s="1309"/>
      <c r="CX773" s="1309"/>
      <c r="CY773" s="1309"/>
      <c r="CZ773" s="1309">
        <f>IF(J773="2 Bedrooms",O773,0)</f>
        <v>0</v>
      </c>
      <c r="DA773" s="1309"/>
      <c r="DB773" s="1309"/>
      <c r="DC773" s="1309"/>
      <c r="DD773" s="1309"/>
      <c r="DE773" s="1309">
        <f>IF(J773="3 Bedrooms",O773,0)</f>
        <v>1</v>
      </c>
      <c r="DF773" s="1309"/>
      <c r="DG773" s="1309"/>
      <c r="DH773" s="1309"/>
      <c r="DI773" s="1309"/>
      <c r="DJ773" s="1309">
        <f>IF(J773="4 Bedrooms",O773,0)</f>
        <v>0</v>
      </c>
      <c r="DK773" s="1309"/>
      <c r="DL773" s="1309"/>
      <c r="DM773" s="1309"/>
      <c r="DN773" s="1309"/>
      <c r="DO773" s="1309">
        <f>IF(J773="5 Bedrooms",O773,0)</f>
        <v>0</v>
      </c>
      <c r="DP773" s="1309"/>
      <c r="DQ773" s="1309"/>
      <c r="DR773" s="1309"/>
      <c r="DS773" s="1309"/>
      <c r="DT773" s="256"/>
      <c r="DU773" s="3"/>
      <c r="DV773" s="3"/>
    </row>
    <row r="774" spans="1:126" ht="13" customHeight="1">
      <c r="J774" s="1310"/>
      <c r="K774" s="1311"/>
      <c r="L774" s="1311"/>
      <c r="M774" s="1311"/>
      <c r="N774" s="1312"/>
      <c r="O774" s="1416"/>
      <c r="P774" s="1416"/>
      <c r="Q774" s="1416"/>
      <c r="R774" s="1416"/>
      <c r="S774" s="1416"/>
      <c r="T774" s="1546"/>
      <c r="U774" s="1547"/>
      <c r="V774" s="1547"/>
      <c r="W774" s="1548"/>
      <c r="X774" s="1420"/>
      <c r="Y774" s="1421"/>
      <c r="Z774" s="1421"/>
      <c r="AA774" s="1421"/>
      <c r="AB774" s="1422"/>
      <c r="AC774" s="1313">
        <f>X774*O774</f>
        <v>0</v>
      </c>
      <c r="AD774" s="1314"/>
      <c r="AE774" s="1314"/>
      <c r="AF774" s="1314"/>
      <c r="AG774" s="1315"/>
      <c r="AH774" s="1143"/>
      <c r="AI774" s="1143"/>
      <c r="AJ774" s="1143"/>
      <c r="AK774" s="1143"/>
      <c r="AL774" s="114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293">
        <f>IF(J774="SRO/Studio",O774,0)</f>
        <v>0</v>
      </c>
      <c r="CQ774" s="1294"/>
      <c r="CR774" s="1294"/>
      <c r="CS774" s="1294"/>
      <c r="CT774" s="1295"/>
      <c r="CU774" s="1309">
        <f>IF(J774="1 Bedroom",O774,0)</f>
        <v>0</v>
      </c>
      <c r="CV774" s="1309"/>
      <c r="CW774" s="1309"/>
      <c r="CX774" s="1309"/>
      <c r="CY774" s="1309"/>
      <c r="CZ774" s="1309">
        <f>IF(J774="2 Bedrooms",O774,0)</f>
        <v>0</v>
      </c>
      <c r="DA774" s="1309"/>
      <c r="DB774" s="1309"/>
      <c r="DC774" s="1309"/>
      <c r="DD774" s="1309"/>
      <c r="DE774" s="1309">
        <f>IF(J774="3 Bedrooms",O774,0)</f>
        <v>0</v>
      </c>
      <c r="DF774" s="1309"/>
      <c r="DG774" s="1309"/>
      <c r="DH774" s="1309"/>
      <c r="DI774" s="1309"/>
      <c r="DJ774" s="1309">
        <f>IF(J774="4 Bedrooms",O774,0)</f>
        <v>0</v>
      </c>
      <c r="DK774" s="1309"/>
      <c r="DL774" s="1309"/>
      <c r="DM774" s="1309"/>
      <c r="DN774" s="1309"/>
      <c r="DO774" s="1309">
        <f>IF(J774="5 Bedrooms",O774,0)</f>
        <v>0</v>
      </c>
      <c r="DP774" s="1309"/>
      <c r="DQ774" s="1309"/>
      <c r="DR774" s="1309"/>
      <c r="DS774" s="1309"/>
      <c r="DT774" s="256"/>
      <c r="DU774" s="3"/>
      <c r="DV774" s="3"/>
    </row>
    <row r="775" spans="1:126" ht="13" customHeight="1">
      <c r="J775" s="1310"/>
      <c r="K775" s="1311"/>
      <c r="L775" s="1311"/>
      <c r="M775" s="1311"/>
      <c r="N775" s="1312"/>
      <c r="O775" s="1416"/>
      <c r="P775" s="1416"/>
      <c r="Q775" s="1416"/>
      <c r="R775" s="1416"/>
      <c r="S775" s="1416"/>
      <c r="T775" s="1546"/>
      <c r="U775" s="1547"/>
      <c r="V775" s="1547"/>
      <c r="W775" s="1548"/>
      <c r="X775" s="1420"/>
      <c r="Y775" s="1421"/>
      <c r="Z775" s="1421"/>
      <c r="AA775" s="1421"/>
      <c r="AB775" s="1422"/>
      <c r="AC775" s="1313">
        <f>X775*O775</f>
        <v>0</v>
      </c>
      <c r="AD775" s="1314"/>
      <c r="AE775" s="1314"/>
      <c r="AF775" s="1314"/>
      <c r="AG775" s="1315"/>
      <c r="AH775" s="1143"/>
      <c r="AI775" s="1143"/>
      <c r="AJ775" s="1143"/>
      <c r="AK775" s="1143"/>
      <c r="AL775" s="114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293">
        <f>IF(J775="SRO/Studio",O775,0)</f>
        <v>0</v>
      </c>
      <c r="CQ775" s="1294"/>
      <c r="CR775" s="1294"/>
      <c r="CS775" s="1294"/>
      <c r="CT775" s="1295"/>
      <c r="CU775" s="1309">
        <f>IF(J775="1 Bedroom",O775,0)</f>
        <v>0</v>
      </c>
      <c r="CV775" s="1309"/>
      <c r="CW775" s="1309"/>
      <c r="CX775" s="1309"/>
      <c r="CY775" s="1309"/>
      <c r="CZ775" s="1309">
        <f>IF(J775="2 Bedrooms",O775,0)</f>
        <v>0</v>
      </c>
      <c r="DA775" s="1309"/>
      <c r="DB775" s="1309"/>
      <c r="DC775" s="1309"/>
      <c r="DD775" s="1309"/>
      <c r="DE775" s="1309">
        <f>IF(J775="3 Bedrooms",O775,0)</f>
        <v>0</v>
      </c>
      <c r="DF775" s="1309"/>
      <c r="DG775" s="1309"/>
      <c r="DH775" s="1309"/>
      <c r="DI775" s="1309"/>
      <c r="DJ775" s="1309">
        <f>IF(J775="4 Bedrooms",O775,0)</f>
        <v>0</v>
      </c>
      <c r="DK775" s="1309"/>
      <c r="DL775" s="1309"/>
      <c r="DM775" s="1309"/>
      <c r="DN775" s="1309"/>
      <c r="DO775" s="1309">
        <f>IF(J775="5 Bedrooms",O775,0)</f>
        <v>0</v>
      </c>
      <c r="DP775" s="1309"/>
      <c r="DQ775" s="1309"/>
      <c r="DR775" s="1309"/>
      <c r="DS775" s="1309"/>
      <c r="DT775" s="256"/>
    </row>
    <row r="776" spans="1:126" ht="13" customHeight="1">
      <c r="J776" s="1310"/>
      <c r="K776" s="1311"/>
      <c r="L776" s="1311"/>
      <c r="M776" s="1311"/>
      <c r="N776" s="1312"/>
      <c r="O776" s="1416"/>
      <c r="P776" s="1416"/>
      <c r="Q776" s="1416"/>
      <c r="R776" s="1416"/>
      <c r="S776" s="1416"/>
      <c r="T776" s="1546"/>
      <c r="U776" s="1547"/>
      <c r="V776" s="1547"/>
      <c r="W776" s="1548"/>
      <c r="X776" s="1420"/>
      <c r="Y776" s="1421"/>
      <c r="Z776" s="1421"/>
      <c r="AA776" s="1421"/>
      <c r="AB776" s="1422"/>
      <c r="AC776" s="1313">
        <f>X776*O776</f>
        <v>0</v>
      </c>
      <c r="AD776" s="1314"/>
      <c r="AE776" s="1314"/>
      <c r="AF776" s="1314"/>
      <c r="AG776" s="1315"/>
      <c r="AH776" s="1143"/>
      <c r="AI776" s="1143"/>
      <c r="AJ776" s="1143"/>
      <c r="AK776" s="1143"/>
      <c r="AL776" s="114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293">
        <f>IF(J776="SRO/Studio",O776,0)</f>
        <v>0</v>
      </c>
      <c r="CQ776" s="1294"/>
      <c r="CR776" s="1294"/>
      <c r="CS776" s="1294"/>
      <c r="CT776" s="1295"/>
      <c r="CU776" s="1309">
        <f>IF(J776="1 Bedroom",O776,0)</f>
        <v>0</v>
      </c>
      <c r="CV776" s="1309"/>
      <c r="CW776" s="1309"/>
      <c r="CX776" s="1309"/>
      <c r="CY776" s="1309"/>
      <c r="CZ776" s="1309">
        <f>IF(J776="2 Bedrooms",O776,0)</f>
        <v>0</v>
      </c>
      <c r="DA776" s="1309"/>
      <c r="DB776" s="1309"/>
      <c r="DC776" s="1309"/>
      <c r="DD776" s="1309"/>
      <c r="DE776" s="1309">
        <f>IF(J776="3 Bedrooms",O776,0)</f>
        <v>0</v>
      </c>
      <c r="DF776" s="1309"/>
      <c r="DG776" s="1309"/>
      <c r="DH776" s="1309"/>
      <c r="DI776" s="1309"/>
      <c r="DJ776" s="1309">
        <f>IF(J776="4 Bedrooms",O776,0)</f>
        <v>0</v>
      </c>
      <c r="DK776" s="1309"/>
      <c r="DL776" s="1309"/>
      <c r="DM776" s="1309"/>
      <c r="DN776" s="1309"/>
      <c r="DO776" s="1309">
        <f>IF(J776="5 Bedrooms",O776,0)</f>
        <v>0</v>
      </c>
      <c r="DP776" s="1309"/>
      <c r="DQ776" s="1309"/>
      <c r="DR776" s="1309"/>
      <c r="DS776" s="1309"/>
    </row>
    <row r="777" spans="1:126" ht="13" customHeight="1">
      <c r="J777" s="1360" t="s">
        <v>1487</v>
      </c>
      <c r="K777" s="1361"/>
      <c r="L777" s="1361"/>
      <c r="M777" s="1361"/>
      <c r="N777" s="1363"/>
      <c r="O777" s="1296">
        <f>SUM(O773:S776)</f>
        <v>1</v>
      </c>
      <c r="P777" s="1297"/>
      <c r="Q777" s="1297"/>
      <c r="R777" s="1297"/>
      <c r="S777" s="1298"/>
      <c r="X777" s="1360" t="s">
        <v>1488</v>
      </c>
      <c r="Y777" s="1361"/>
      <c r="Z777" s="1361"/>
      <c r="AA777" s="1361"/>
      <c r="AB777" s="1363"/>
      <c r="AC777" s="1313">
        <f>SUM(AC773:AG776)</f>
        <v>0</v>
      </c>
      <c r="AD777" s="1314"/>
      <c r="AE777" s="1314"/>
      <c r="AF777" s="1314"/>
      <c r="AG777" s="1315"/>
      <c r="AI777" s="1143"/>
      <c r="AJ777" s="114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296">
        <f>SUM(CP773:CT776)</f>
        <v>0</v>
      </c>
      <c r="CQ777" s="1297"/>
      <c r="CR777" s="1297"/>
      <c r="CS777" s="1297"/>
      <c r="CT777" s="1298"/>
      <c r="CU777" s="1296">
        <f>SUM(CU773:CY776)</f>
        <v>0</v>
      </c>
      <c r="CV777" s="1297"/>
      <c r="CW777" s="1297"/>
      <c r="CX777" s="1297"/>
      <c r="CY777" s="1298"/>
      <c r="CZ777" s="1296">
        <f>SUM(CZ773:DD776)</f>
        <v>0</v>
      </c>
      <c r="DA777" s="1297"/>
      <c r="DB777" s="1297"/>
      <c r="DC777" s="1297"/>
      <c r="DD777" s="1298"/>
      <c r="DE777" s="1296">
        <f>SUM(DE773:DI776)</f>
        <v>1</v>
      </c>
      <c r="DF777" s="1297"/>
      <c r="DG777" s="1297"/>
      <c r="DH777" s="1297"/>
      <c r="DI777" s="1298"/>
      <c r="DJ777" s="1296">
        <f>SUM(DJ773:DN776)</f>
        <v>0</v>
      </c>
      <c r="DK777" s="1297"/>
      <c r="DL777" s="1297"/>
      <c r="DM777" s="1297"/>
      <c r="DN777" s="1298"/>
      <c r="DO777" s="1296">
        <f>SUM(DO773:DS776)</f>
        <v>0</v>
      </c>
      <c r="DP777" s="1297"/>
      <c r="DQ777" s="1297"/>
      <c r="DR777" s="1297"/>
      <c r="DS777" s="1298"/>
      <c r="DU777" s="759">
        <f>CP777+CU777+CZ777+DE777+DJ777+DO777</f>
        <v>1</v>
      </c>
      <c r="DV777" s="49" t="s">
        <v>1504</v>
      </c>
    </row>
    <row r="778" spans="1:126" ht="13" customHeight="1">
      <c r="J778" s="48"/>
      <c r="K778" s="48"/>
      <c r="L778" s="48"/>
      <c r="M778" s="48"/>
      <c r="N778" s="48"/>
      <c r="O778" s="256"/>
      <c r="P778" s="256"/>
      <c r="Q778" s="256"/>
      <c r="R778" s="256"/>
      <c r="S778" s="256"/>
      <c r="T778" s="48"/>
      <c r="U778" s="48"/>
      <c r="V778" s="48"/>
      <c r="W778" s="48"/>
      <c r="X778" s="48"/>
      <c r="Y778" s="862"/>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59">
        <f>CP777*1</f>
        <v>0</v>
      </c>
      <c r="CU778" s="3"/>
      <c r="CV778" s="3"/>
      <c r="CW778" s="3"/>
      <c r="CX778" s="3"/>
      <c r="CY778" s="759">
        <f>CU777*1</f>
        <v>0</v>
      </c>
      <c r="CZ778" s="3"/>
      <c r="DA778" s="3"/>
      <c r="DB778" s="3"/>
      <c r="DC778" s="3"/>
      <c r="DD778" s="759">
        <f>CZ777*2</f>
        <v>0</v>
      </c>
      <c r="DE778" s="3"/>
      <c r="DF778" s="3"/>
      <c r="DG778" s="3"/>
      <c r="DH778" s="3"/>
      <c r="DI778" s="759">
        <f>DE777*3</f>
        <v>3</v>
      </c>
      <c r="DJ778" s="3"/>
      <c r="DK778" s="3"/>
      <c r="DL778" s="3"/>
      <c r="DM778" s="3"/>
      <c r="DN778" s="759">
        <f>DJ777*4</f>
        <v>0</v>
      </c>
      <c r="DO778" s="3"/>
      <c r="DP778" s="3"/>
      <c r="DQ778" s="3"/>
      <c r="DR778" s="3"/>
      <c r="DS778" s="759">
        <f>DO777*5</f>
        <v>0</v>
      </c>
      <c r="DU778" s="759">
        <f>CT778+CY778+DD778+DI778+DN778+DS778</f>
        <v>3</v>
      </c>
      <c r="DV778" s="49" t="s">
        <v>1505</v>
      </c>
    </row>
    <row r="779" spans="1:126" ht="13" customHeight="1">
      <c r="B779" s="48"/>
      <c r="C779" s="48"/>
      <c r="D779" s="48"/>
      <c r="E779" s="48"/>
      <c r="F779" s="48"/>
      <c r="G779" s="256"/>
      <c r="H779" s="256"/>
      <c r="I779" s="256"/>
      <c r="J779" s="1344" t="s">
        <v>692</v>
      </c>
      <c r="K779" s="1344"/>
      <c r="L779" s="48"/>
      <c r="M779" s="84" t="s">
        <v>1506</v>
      </c>
      <c r="N779" s="48"/>
      <c r="O779" s="48"/>
      <c r="P779" s="48"/>
      <c r="Q779" s="256"/>
      <c r="R779" s="256"/>
      <c r="S779" s="256"/>
      <c r="T779" s="256"/>
      <c r="U779" s="25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48"/>
      <c r="C780" s="48"/>
      <c r="D780" s="48"/>
      <c r="E780" s="48"/>
      <c r="F780" s="48"/>
      <c r="G780" s="256"/>
      <c r="H780" s="256"/>
      <c r="I780" s="256"/>
      <c r="J780" s="256"/>
      <c r="K780" s="256"/>
      <c r="L780" s="48"/>
      <c r="M780" s="84" t="s">
        <v>1507</v>
      </c>
      <c r="N780" s="48"/>
      <c r="O780" s="48"/>
      <c r="P780" s="48"/>
      <c r="Q780" s="256"/>
      <c r="R780" s="256"/>
      <c r="S780" s="256"/>
      <c r="T780" s="256"/>
      <c r="U780" s="25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987</v>
      </c>
      <c r="B781" s="49"/>
      <c r="C781" s="49" t="s">
        <v>209</v>
      </c>
      <c r="D781" s="48"/>
      <c r="E781" s="48"/>
      <c r="F781" s="48"/>
      <c r="G781" s="256"/>
      <c r="H781" s="256"/>
      <c r="I781" s="256"/>
      <c r="J781" s="256"/>
      <c r="K781" s="256"/>
      <c r="L781" s="48"/>
      <c r="M781" s="48"/>
      <c r="N781" s="48"/>
      <c r="O781" s="48"/>
      <c r="P781" s="48"/>
      <c r="Q781" s="256"/>
      <c r="R781" s="256"/>
      <c r="S781" s="256"/>
      <c r="T781" s="256"/>
      <c r="U781" s="25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48"/>
      <c r="C782" s="48"/>
      <c r="D782" s="48"/>
      <c r="E782" s="48"/>
      <c r="F782" s="48"/>
      <c r="G782" s="256"/>
      <c r="H782" s="256"/>
      <c r="I782" s="256"/>
      <c r="J782" s="411"/>
      <c r="K782" s="256"/>
      <c r="L782" s="48"/>
      <c r="M782" s="48"/>
      <c r="N782" s="48"/>
      <c r="O782" s="48"/>
      <c r="P782" s="48"/>
      <c r="Q782" s="256"/>
      <c r="R782" s="256"/>
      <c r="S782" s="256"/>
      <c r="T782" s="256"/>
      <c r="U782" s="25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45" t="s">
        <v>1467</v>
      </c>
      <c r="K783" s="1446"/>
      <c r="L783" s="1446"/>
      <c r="M783" s="1446"/>
      <c r="N783" s="1447"/>
      <c r="O783" s="1544" t="s">
        <v>1468</v>
      </c>
      <c r="P783" s="1544"/>
      <c r="Q783" s="1544"/>
      <c r="R783" s="1544"/>
      <c r="S783" s="1544"/>
      <c r="T783" s="1461" t="s">
        <v>1469</v>
      </c>
      <c r="U783" s="1462"/>
      <c r="V783" s="1462"/>
      <c r="W783" s="1463"/>
      <c r="X783" s="1445" t="s">
        <v>1470</v>
      </c>
      <c r="Y783" s="1446"/>
      <c r="Z783" s="1446"/>
      <c r="AA783" s="1446"/>
      <c r="AB783" s="1447"/>
      <c r="AC783" s="1445" t="s">
        <v>1502</v>
      </c>
      <c r="AD783" s="1446"/>
      <c r="AE783" s="1446"/>
      <c r="AF783" s="1446"/>
      <c r="AG783" s="144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448"/>
      <c r="K784" s="1449"/>
      <c r="L784" s="1449"/>
      <c r="M784" s="1449"/>
      <c r="N784" s="1450"/>
      <c r="O784" s="1544"/>
      <c r="P784" s="1544"/>
      <c r="Q784" s="1544"/>
      <c r="R784" s="1544"/>
      <c r="S784" s="1544"/>
      <c r="T784" s="1464"/>
      <c r="U784" s="1465"/>
      <c r="V784" s="1465"/>
      <c r="W784" s="1466"/>
      <c r="X784" s="1448"/>
      <c r="Y784" s="1449"/>
      <c r="Z784" s="1449"/>
      <c r="AA784" s="1449"/>
      <c r="AB784" s="1450"/>
      <c r="AC784" s="1448"/>
      <c r="AD784" s="1449"/>
      <c r="AE784" s="1449"/>
      <c r="AF784" s="1449"/>
      <c r="AG784" s="145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448"/>
      <c r="K785" s="1449"/>
      <c r="L785" s="1449"/>
      <c r="M785" s="1449"/>
      <c r="N785" s="1450"/>
      <c r="O785" s="1544"/>
      <c r="P785" s="1544"/>
      <c r="Q785" s="1544"/>
      <c r="R785" s="1544"/>
      <c r="S785" s="1544"/>
      <c r="T785" s="1464"/>
      <c r="U785" s="1465"/>
      <c r="V785" s="1465"/>
      <c r="W785" s="1466"/>
      <c r="X785" s="1448"/>
      <c r="Y785" s="1449"/>
      <c r="Z785" s="1449"/>
      <c r="AA785" s="1449"/>
      <c r="AB785" s="1450"/>
      <c r="AC785" s="1448"/>
      <c r="AD785" s="1449"/>
      <c r="AE785" s="1449"/>
      <c r="AF785" s="1449"/>
      <c r="AG785" s="145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451"/>
      <c r="K786" s="1452"/>
      <c r="L786" s="1452"/>
      <c r="M786" s="1452"/>
      <c r="N786" s="1453"/>
      <c r="O786" s="1544"/>
      <c r="P786" s="1544"/>
      <c r="Q786" s="1544"/>
      <c r="R786" s="1544"/>
      <c r="S786" s="1544"/>
      <c r="T786" s="1552"/>
      <c r="U786" s="1553"/>
      <c r="V786" s="1553"/>
      <c r="W786" s="1554"/>
      <c r="X786" s="1451"/>
      <c r="Y786" s="1452"/>
      <c r="Z786" s="1452"/>
      <c r="AA786" s="1452"/>
      <c r="AB786" s="1453"/>
      <c r="AC786" s="1451"/>
      <c r="AD786" s="1452"/>
      <c r="AE786" s="1452"/>
      <c r="AF786" s="1452"/>
      <c r="AG786" s="145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1508</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1509</v>
      </c>
      <c r="DV786" s="3"/>
      <c r="DW786" s="3"/>
      <c r="DX786" s="3"/>
      <c r="DY786" s="3"/>
      <c r="DZ786" s="3"/>
      <c r="EA786" s="3"/>
      <c r="EB786" s="3"/>
      <c r="EC786" s="3"/>
      <c r="ED786" s="3"/>
      <c r="EE786" s="3"/>
      <c r="EF786" s="3"/>
      <c r="EG786" s="3"/>
      <c r="EH786" s="3"/>
    </row>
    <row r="787" spans="1:154" ht="13" customHeight="1">
      <c r="J787" s="1310"/>
      <c r="K787" s="1311"/>
      <c r="L787" s="1311"/>
      <c r="M787" s="1311"/>
      <c r="N787" s="1312"/>
      <c r="O787" s="1416"/>
      <c r="P787" s="1416"/>
      <c r="Q787" s="1416"/>
      <c r="R787" s="1416"/>
      <c r="S787" s="1416"/>
      <c r="T787" s="1546"/>
      <c r="U787" s="1547"/>
      <c r="V787" s="1547"/>
      <c r="W787" s="1548"/>
      <c r="X787" s="1420"/>
      <c r="Y787" s="1421"/>
      <c r="Z787" s="1421"/>
      <c r="AA787" s="1421"/>
      <c r="AB787" s="1422"/>
      <c r="AC787" s="1313">
        <f t="shared" ref="AC787:AC796" si="42">X787*O787</f>
        <v>0</v>
      </c>
      <c r="AD787" s="1314"/>
      <c r="AE787" s="1314"/>
      <c r="AF787" s="1314"/>
      <c r="AG787" s="131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293">
        <f t="shared" ref="CP787:CP796" si="43">IF(J787="SRO/Studio",O787,0)</f>
        <v>0</v>
      </c>
      <c r="CQ787" s="1294"/>
      <c r="CR787" s="1294"/>
      <c r="CS787" s="1294"/>
      <c r="CT787" s="1295"/>
      <c r="CU787" s="1293">
        <f t="shared" ref="CU787:CU796" si="44">IF(J787="1 Bedroom",O787,0)</f>
        <v>0</v>
      </c>
      <c r="CV787" s="1294"/>
      <c r="CW787" s="1294"/>
      <c r="CX787" s="1294"/>
      <c r="CY787" s="1295"/>
      <c r="CZ787" s="1293">
        <f t="shared" ref="CZ787:CZ796" si="45">IF(J787="2 Bedrooms",O787,0)</f>
        <v>0</v>
      </c>
      <c r="DA787" s="1294"/>
      <c r="DB787" s="1294"/>
      <c r="DC787" s="1294"/>
      <c r="DD787" s="1295"/>
      <c r="DE787" s="1293">
        <f t="shared" ref="DE787:DE796" si="46">IF(J787="3 Bedrooms",O787,0)</f>
        <v>0</v>
      </c>
      <c r="DF787" s="1294"/>
      <c r="DG787" s="1294"/>
      <c r="DH787" s="1294"/>
      <c r="DI787" s="1295"/>
      <c r="DJ787" s="1293">
        <f t="shared" ref="DJ787:DJ796" si="47">IF(J787="4 Bedrooms",O787,0)</f>
        <v>0</v>
      </c>
      <c r="DK787" s="1294"/>
      <c r="DL787" s="1294"/>
      <c r="DM787" s="1294"/>
      <c r="DN787" s="1295"/>
      <c r="DO787" s="1293">
        <f t="shared" ref="DO787:DO796" si="48">IF(J787="5 Bedrooms",O787,0)</f>
        <v>0</v>
      </c>
      <c r="DP787" s="1294"/>
      <c r="DQ787" s="1294"/>
      <c r="DR787" s="1294"/>
      <c r="DS787" s="1295"/>
      <c r="DT787" s="256"/>
      <c r="DU787" s="1293">
        <f t="shared" ref="DU787:DU796" si="49">IF(AND(CP787&gt;=1,AH787&gt;=0.1,AH787&lt;=1),O787,0)</f>
        <v>0</v>
      </c>
      <c r="DV787" s="1294"/>
      <c r="DW787" s="1294"/>
      <c r="DX787" s="1294"/>
      <c r="DY787" s="1295"/>
      <c r="DZ787" s="1293">
        <f t="shared" ref="DZ787:DZ796" si="50">IF(AND(CU787&gt;=1,AH787&gt;=0.1,AH787&lt;=1),O787,0)</f>
        <v>0</v>
      </c>
      <c r="EA787" s="1294"/>
      <c r="EB787" s="1294"/>
      <c r="EC787" s="1294"/>
      <c r="ED787" s="1295"/>
      <c r="EE787" s="1293">
        <f t="shared" ref="EE787:EE796" si="51">IF(AND(CZ787&gt;=1,AH787&gt;=0.1,AH787&lt;=1),O787,0)</f>
        <v>0</v>
      </c>
      <c r="EF787" s="1294"/>
      <c r="EG787" s="1294"/>
      <c r="EH787" s="1294"/>
      <c r="EI787" s="1295"/>
      <c r="EJ787" s="1293">
        <f t="shared" ref="EJ787:EJ796" si="52">IF(AND(DE787&gt;=1,AH787&gt;=0.1,AH787&lt;=1),O787,0)</f>
        <v>0</v>
      </c>
      <c r="EK787" s="1294"/>
      <c r="EL787" s="1294"/>
      <c r="EM787" s="1294"/>
      <c r="EN787" s="1295"/>
      <c r="EO787" s="1293">
        <f t="shared" ref="EO787:EO796" si="53">IF(AND(DJ787&gt;=1,AH787&gt;=0.1,AH787&lt;=1),O787,0)</f>
        <v>0</v>
      </c>
      <c r="EP787" s="1294"/>
      <c r="EQ787" s="1294"/>
      <c r="ER787" s="1294"/>
      <c r="ES787" s="1295"/>
      <c r="ET787" s="1293">
        <f t="shared" ref="ET787:ET796" si="54">IF(AND(DO787&gt;=1,AH787&gt;=0.1,AH787&lt;=1),O787,0)</f>
        <v>0</v>
      </c>
      <c r="EU787" s="1294"/>
      <c r="EV787" s="1294"/>
      <c r="EW787" s="1294"/>
      <c r="EX787" s="1295"/>
    </row>
    <row r="788" spans="1:154" s="13" customFormat="1" ht="13" customHeight="1">
      <c r="A788"/>
      <c r="B788"/>
      <c r="C788"/>
      <c r="D788"/>
      <c r="E788"/>
      <c r="F788"/>
      <c r="G788"/>
      <c r="H788"/>
      <c r="I788"/>
      <c r="J788" s="1310"/>
      <c r="K788" s="1311"/>
      <c r="L788" s="1311"/>
      <c r="M788" s="1311"/>
      <c r="N788" s="1312"/>
      <c r="O788" s="1416"/>
      <c r="P788" s="1416"/>
      <c r="Q788" s="1416"/>
      <c r="R788" s="1416"/>
      <c r="S788" s="1416"/>
      <c r="T788" s="1546"/>
      <c r="U788" s="1547"/>
      <c r="V788" s="1547"/>
      <c r="W788" s="1548"/>
      <c r="X788" s="1420"/>
      <c r="Y788" s="1421"/>
      <c r="Z788" s="1421"/>
      <c r="AA788" s="1421"/>
      <c r="AB788" s="1422"/>
      <c r="AC788" s="1313">
        <f t="shared" si="42"/>
        <v>0</v>
      </c>
      <c r="AD788" s="1314"/>
      <c r="AE788" s="1314"/>
      <c r="AF788" s="1314"/>
      <c r="AG788" s="131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293">
        <f t="shared" si="43"/>
        <v>0</v>
      </c>
      <c r="CQ788" s="1294"/>
      <c r="CR788" s="1294"/>
      <c r="CS788" s="1294"/>
      <c r="CT788" s="1295"/>
      <c r="CU788" s="1293">
        <f t="shared" si="44"/>
        <v>0</v>
      </c>
      <c r="CV788" s="1294"/>
      <c r="CW788" s="1294"/>
      <c r="CX788" s="1294"/>
      <c r="CY788" s="1295"/>
      <c r="CZ788" s="1293">
        <f t="shared" si="45"/>
        <v>0</v>
      </c>
      <c r="DA788" s="1294"/>
      <c r="DB788" s="1294"/>
      <c r="DC788" s="1294"/>
      <c r="DD788" s="1295"/>
      <c r="DE788" s="1293">
        <f t="shared" si="46"/>
        <v>0</v>
      </c>
      <c r="DF788" s="1294"/>
      <c r="DG788" s="1294"/>
      <c r="DH788" s="1294"/>
      <c r="DI788" s="1295"/>
      <c r="DJ788" s="1293">
        <f t="shared" si="47"/>
        <v>0</v>
      </c>
      <c r="DK788" s="1294"/>
      <c r="DL788" s="1294"/>
      <c r="DM788" s="1294"/>
      <c r="DN788" s="1295"/>
      <c r="DO788" s="1293">
        <f t="shared" si="48"/>
        <v>0</v>
      </c>
      <c r="DP788" s="1294"/>
      <c r="DQ788" s="1294"/>
      <c r="DR788" s="1294"/>
      <c r="DS788" s="1295"/>
      <c r="DT788" s="256"/>
      <c r="DU788" s="1293">
        <f t="shared" si="49"/>
        <v>0</v>
      </c>
      <c r="DV788" s="1294"/>
      <c r="DW788" s="1294"/>
      <c r="DX788" s="1294"/>
      <c r="DY788" s="1295"/>
      <c r="DZ788" s="1293">
        <f t="shared" si="50"/>
        <v>0</v>
      </c>
      <c r="EA788" s="1294"/>
      <c r="EB788" s="1294"/>
      <c r="EC788" s="1294"/>
      <c r="ED788" s="1295"/>
      <c r="EE788" s="1293">
        <f t="shared" si="51"/>
        <v>0</v>
      </c>
      <c r="EF788" s="1294"/>
      <c r="EG788" s="1294"/>
      <c r="EH788" s="1294"/>
      <c r="EI788" s="1295"/>
      <c r="EJ788" s="1293">
        <f t="shared" si="52"/>
        <v>0</v>
      </c>
      <c r="EK788" s="1294"/>
      <c r="EL788" s="1294"/>
      <c r="EM788" s="1294"/>
      <c r="EN788" s="1295"/>
      <c r="EO788" s="1293">
        <f t="shared" si="53"/>
        <v>0</v>
      </c>
      <c r="EP788" s="1294"/>
      <c r="EQ788" s="1294"/>
      <c r="ER788" s="1294"/>
      <c r="ES788" s="1295"/>
      <c r="ET788" s="1293">
        <f t="shared" si="54"/>
        <v>0</v>
      </c>
      <c r="EU788" s="1294"/>
      <c r="EV788" s="1294"/>
      <c r="EW788" s="1294"/>
      <c r="EX788" s="1295"/>
    </row>
    <row r="789" spans="1:154" s="13" customFormat="1" ht="13" customHeight="1">
      <c r="A789"/>
      <c r="B789"/>
      <c r="C789"/>
      <c r="D789"/>
      <c r="E789"/>
      <c r="F789"/>
      <c r="G789"/>
      <c r="H789"/>
      <c r="I789"/>
      <c r="J789" s="1310"/>
      <c r="K789" s="1311"/>
      <c r="L789" s="1311"/>
      <c r="M789" s="1311"/>
      <c r="N789" s="1312"/>
      <c r="O789" s="1416"/>
      <c r="P789" s="1416"/>
      <c r="Q789" s="1416"/>
      <c r="R789" s="1416"/>
      <c r="S789" s="1416"/>
      <c r="T789" s="1546"/>
      <c r="U789" s="1547"/>
      <c r="V789" s="1547"/>
      <c r="W789" s="1548"/>
      <c r="X789" s="1420"/>
      <c r="Y789" s="1421"/>
      <c r="Z789" s="1421"/>
      <c r="AA789" s="1421"/>
      <c r="AB789" s="1422"/>
      <c r="AC789" s="1313">
        <f t="shared" si="42"/>
        <v>0</v>
      </c>
      <c r="AD789" s="1314"/>
      <c r="AE789" s="1314"/>
      <c r="AF789" s="1314"/>
      <c r="AG789" s="131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293">
        <f t="shared" si="43"/>
        <v>0</v>
      </c>
      <c r="CQ789" s="1294"/>
      <c r="CR789" s="1294"/>
      <c r="CS789" s="1294"/>
      <c r="CT789" s="1295"/>
      <c r="CU789" s="1293">
        <f t="shared" si="44"/>
        <v>0</v>
      </c>
      <c r="CV789" s="1294"/>
      <c r="CW789" s="1294"/>
      <c r="CX789" s="1294"/>
      <c r="CY789" s="1295"/>
      <c r="CZ789" s="1293">
        <f t="shared" si="45"/>
        <v>0</v>
      </c>
      <c r="DA789" s="1294"/>
      <c r="DB789" s="1294"/>
      <c r="DC789" s="1294"/>
      <c r="DD789" s="1295"/>
      <c r="DE789" s="1293">
        <f t="shared" si="46"/>
        <v>0</v>
      </c>
      <c r="DF789" s="1294"/>
      <c r="DG789" s="1294"/>
      <c r="DH789" s="1294"/>
      <c r="DI789" s="1295"/>
      <c r="DJ789" s="1293">
        <f t="shared" si="47"/>
        <v>0</v>
      </c>
      <c r="DK789" s="1294"/>
      <c r="DL789" s="1294"/>
      <c r="DM789" s="1294"/>
      <c r="DN789" s="1295"/>
      <c r="DO789" s="1293">
        <f t="shared" si="48"/>
        <v>0</v>
      </c>
      <c r="DP789" s="1294"/>
      <c r="DQ789" s="1294"/>
      <c r="DR789" s="1294"/>
      <c r="DS789" s="1295"/>
      <c r="DT789" s="256"/>
      <c r="DU789" s="1293">
        <f t="shared" si="49"/>
        <v>0</v>
      </c>
      <c r="DV789" s="1294"/>
      <c r="DW789" s="1294"/>
      <c r="DX789" s="1294"/>
      <c r="DY789" s="1295"/>
      <c r="DZ789" s="1293">
        <f t="shared" si="50"/>
        <v>0</v>
      </c>
      <c r="EA789" s="1294"/>
      <c r="EB789" s="1294"/>
      <c r="EC789" s="1294"/>
      <c r="ED789" s="1295"/>
      <c r="EE789" s="1293">
        <f t="shared" si="51"/>
        <v>0</v>
      </c>
      <c r="EF789" s="1294"/>
      <c r="EG789" s="1294"/>
      <c r="EH789" s="1294"/>
      <c r="EI789" s="1295"/>
      <c r="EJ789" s="1293">
        <f t="shared" si="52"/>
        <v>0</v>
      </c>
      <c r="EK789" s="1294"/>
      <c r="EL789" s="1294"/>
      <c r="EM789" s="1294"/>
      <c r="EN789" s="1295"/>
      <c r="EO789" s="1293">
        <f t="shared" si="53"/>
        <v>0</v>
      </c>
      <c r="EP789" s="1294"/>
      <c r="EQ789" s="1294"/>
      <c r="ER789" s="1294"/>
      <c r="ES789" s="1295"/>
      <c r="ET789" s="1293">
        <f t="shared" si="54"/>
        <v>0</v>
      </c>
      <c r="EU789" s="1294"/>
      <c r="EV789" s="1294"/>
      <c r="EW789" s="1294"/>
      <c r="EX789" s="1295"/>
    </row>
    <row r="790" spans="1:154" s="13" customFormat="1" ht="13" customHeight="1">
      <c r="A790"/>
      <c r="B790"/>
      <c r="C790"/>
      <c r="D790"/>
      <c r="E790"/>
      <c r="F790"/>
      <c r="G790"/>
      <c r="H790"/>
      <c r="I790"/>
      <c r="J790" s="1310"/>
      <c r="K790" s="1311"/>
      <c r="L790" s="1311"/>
      <c r="M790" s="1311"/>
      <c r="N790" s="1312"/>
      <c r="O790" s="1416"/>
      <c r="P790" s="1416"/>
      <c r="Q790" s="1416"/>
      <c r="R790" s="1416"/>
      <c r="S790" s="1416"/>
      <c r="T790" s="1546"/>
      <c r="U790" s="1547"/>
      <c r="V790" s="1547"/>
      <c r="W790" s="1548"/>
      <c r="X790" s="1420"/>
      <c r="Y790" s="1421"/>
      <c r="Z790" s="1421"/>
      <c r="AA790" s="1421"/>
      <c r="AB790" s="1422"/>
      <c r="AC790" s="1313">
        <f t="shared" si="42"/>
        <v>0</v>
      </c>
      <c r="AD790" s="1314"/>
      <c r="AE790" s="1314"/>
      <c r="AF790" s="1314"/>
      <c r="AG790" s="131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293">
        <f t="shared" si="43"/>
        <v>0</v>
      </c>
      <c r="CQ790" s="1294"/>
      <c r="CR790" s="1294"/>
      <c r="CS790" s="1294"/>
      <c r="CT790" s="1295"/>
      <c r="CU790" s="1293">
        <f t="shared" si="44"/>
        <v>0</v>
      </c>
      <c r="CV790" s="1294"/>
      <c r="CW790" s="1294"/>
      <c r="CX790" s="1294"/>
      <c r="CY790" s="1295"/>
      <c r="CZ790" s="1293">
        <f t="shared" si="45"/>
        <v>0</v>
      </c>
      <c r="DA790" s="1294"/>
      <c r="DB790" s="1294"/>
      <c r="DC790" s="1294"/>
      <c r="DD790" s="1295"/>
      <c r="DE790" s="1293">
        <f t="shared" si="46"/>
        <v>0</v>
      </c>
      <c r="DF790" s="1294"/>
      <c r="DG790" s="1294"/>
      <c r="DH790" s="1294"/>
      <c r="DI790" s="1295"/>
      <c r="DJ790" s="1293">
        <f t="shared" si="47"/>
        <v>0</v>
      </c>
      <c r="DK790" s="1294"/>
      <c r="DL790" s="1294"/>
      <c r="DM790" s="1294"/>
      <c r="DN790" s="1295"/>
      <c r="DO790" s="1293">
        <f t="shared" si="48"/>
        <v>0</v>
      </c>
      <c r="DP790" s="1294"/>
      <c r="DQ790" s="1294"/>
      <c r="DR790" s="1294"/>
      <c r="DS790" s="1295"/>
      <c r="DT790" s="256"/>
      <c r="DU790" s="1293">
        <f t="shared" si="49"/>
        <v>0</v>
      </c>
      <c r="DV790" s="1294"/>
      <c r="DW790" s="1294"/>
      <c r="DX790" s="1294"/>
      <c r="DY790" s="1295"/>
      <c r="DZ790" s="1293">
        <f t="shared" si="50"/>
        <v>0</v>
      </c>
      <c r="EA790" s="1294"/>
      <c r="EB790" s="1294"/>
      <c r="EC790" s="1294"/>
      <c r="ED790" s="1295"/>
      <c r="EE790" s="1293">
        <f t="shared" si="51"/>
        <v>0</v>
      </c>
      <c r="EF790" s="1294"/>
      <c r="EG790" s="1294"/>
      <c r="EH790" s="1294"/>
      <c r="EI790" s="1295"/>
      <c r="EJ790" s="1293">
        <f t="shared" si="52"/>
        <v>0</v>
      </c>
      <c r="EK790" s="1294"/>
      <c r="EL790" s="1294"/>
      <c r="EM790" s="1294"/>
      <c r="EN790" s="1295"/>
      <c r="EO790" s="1293">
        <f t="shared" si="53"/>
        <v>0</v>
      </c>
      <c r="EP790" s="1294"/>
      <c r="EQ790" s="1294"/>
      <c r="ER790" s="1294"/>
      <c r="ES790" s="1295"/>
      <c r="ET790" s="1293">
        <f t="shared" si="54"/>
        <v>0</v>
      </c>
      <c r="EU790" s="1294"/>
      <c r="EV790" s="1294"/>
      <c r="EW790" s="1294"/>
      <c r="EX790" s="1295"/>
    </row>
    <row r="791" spans="1:154" s="13" customFormat="1" ht="13" customHeight="1">
      <c r="A791"/>
      <c r="B791"/>
      <c r="C791"/>
      <c r="D791"/>
      <c r="E791"/>
      <c r="F791"/>
      <c r="G791"/>
      <c r="H791"/>
      <c r="I791"/>
      <c r="J791" s="1310"/>
      <c r="K791" s="1311"/>
      <c r="L791" s="1311"/>
      <c r="M791" s="1311"/>
      <c r="N791" s="1312"/>
      <c r="O791" s="1416"/>
      <c r="P791" s="1416"/>
      <c r="Q791" s="1416"/>
      <c r="R791" s="1416"/>
      <c r="S791" s="1416"/>
      <c r="T791" s="1546"/>
      <c r="U791" s="1547"/>
      <c r="V791" s="1547"/>
      <c r="W791" s="1548"/>
      <c r="X791" s="1420"/>
      <c r="Y791" s="1421"/>
      <c r="Z791" s="1421"/>
      <c r="AA791" s="1421"/>
      <c r="AB791" s="1422"/>
      <c r="AC791" s="1313">
        <f t="shared" si="42"/>
        <v>0</v>
      </c>
      <c r="AD791" s="1314"/>
      <c r="AE791" s="1314"/>
      <c r="AF791" s="1314"/>
      <c r="AG791" s="131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293">
        <f t="shared" si="43"/>
        <v>0</v>
      </c>
      <c r="CQ791" s="1294"/>
      <c r="CR791" s="1294"/>
      <c r="CS791" s="1294"/>
      <c r="CT791" s="1295"/>
      <c r="CU791" s="1293">
        <f t="shared" si="44"/>
        <v>0</v>
      </c>
      <c r="CV791" s="1294"/>
      <c r="CW791" s="1294"/>
      <c r="CX791" s="1294"/>
      <c r="CY791" s="1295"/>
      <c r="CZ791" s="1293">
        <f t="shared" si="45"/>
        <v>0</v>
      </c>
      <c r="DA791" s="1294"/>
      <c r="DB791" s="1294"/>
      <c r="DC791" s="1294"/>
      <c r="DD791" s="1295"/>
      <c r="DE791" s="1293">
        <f t="shared" si="46"/>
        <v>0</v>
      </c>
      <c r="DF791" s="1294"/>
      <c r="DG791" s="1294"/>
      <c r="DH791" s="1294"/>
      <c r="DI791" s="1295"/>
      <c r="DJ791" s="1293">
        <f t="shared" si="47"/>
        <v>0</v>
      </c>
      <c r="DK791" s="1294"/>
      <c r="DL791" s="1294"/>
      <c r="DM791" s="1294"/>
      <c r="DN791" s="1295"/>
      <c r="DO791" s="1293">
        <f t="shared" si="48"/>
        <v>0</v>
      </c>
      <c r="DP791" s="1294"/>
      <c r="DQ791" s="1294"/>
      <c r="DR791" s="1294"/>
      <c r="DS791" s="1295"/>
      <c r="DT791" s="256"/>
      <c r="DU791" s="1293">
        <f t="shared" si="49"/>
        <v>0</v>
      </c>
      <c r="DV791" s="1294"/>
      <c r="DW791" s="1294"/>
      <c r="DX791" s="1294"/>
      <c r="DY791" s="1295"/>
      <c r="DZ791" s="1293">
        <f t="shared" si="50"/>
        <v>0</v>
      </c>
      <c r="EA791" s="1294"/>
      <c r="EB791" s="1294"/>
      <c r="EC791" s="1294"/>
      <c r="ED791" s="1295"/>
      <c r="EE791" s="1293">
        <f t="shared" si="51"/>
        <v>0</v>
      </c>
      <c r="EF791" s="1294"/>
      <c r="EG791" s="1294"/>
      <c r="EH791" s="1294"/>
      <c r="EI791" s="1295"/>
      <c r="EJ791" s="1293">
        <f t="shared" si="52"/>
        <v>0</v>
      </c>
      <c r="EK791" s="1294"/>
      <c r="EL791" s="1294"/>
      <c r="EM791" s="1294"/>
      <c r="EN791" s="1295"/>
      <c r="EO791" s="1293">
        <f t="shared" si="53"/>
        <v>0</v>
      </c>
      <c r="EP791" s="1294"/>
      <c r="EQ791" s="1294"/>
      <c r="ER791" s="1294"/>
      <c r="ES791" s="1295"/>
      <c r="ET791" s="1293">
        <f t="shared" si="54"/>
        <v>0</v>
      </c>
      <c r="EU791" s="1294"/>
      <c r="EV791" s="1294"/>
      <c r="EW791" s="1294"/>
      <c r="EX791" s="1295"/>
    </row>
    <row r="792" spans="1:154" s="13" customFormat="1" ht="13" customHeight="1">
      <c r="A792"/>
      <c r="B792"/>
      <c r="C792"/>
      <c r="D792"/>
      <c r="E792"/>
      <c r="F792"/>
      <c r="G792"/>
      <c r="H792"/>
      <c r="I792"/>
      <c r="J792" s="1310"/>
      <c r="K792" s="1311"/>
      <c r="L792" s="1311"/>
      <c r="M792" s="1311"/>
      <c r="N792" s="1312"/>
      <c r="O792" s="1416"/>
      <c r="P792" s="1416"/>
      <c r="Q792" s="1416"/>
      <c r="R792" s="1416"/>
      <c r="S792" s="1416"/>
      <c r="T792" s="1546"/>
      <c r="U792" s="1547"/>
      <c r="V792" s="1547"/>
      <c r="W792" s="1548"/>
      <c r="X792" s="1420"/>
      <c r="Y792" s="1421"/>
      <c r="Z792" s="1421"/>
      <c r="AA792" s="1421"/>
      <c r="AB792" s="1422"/>
      <c r="AC792" s="1313">
        <f t="shared" si="42"/>
        <v>0</v>
      </c>
      <c r="AD792" s="1314"/>
      <c r="AE792" s="1314"/>
      <c r="AF792" s="1314"/>
      <c r="AG792" s="131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293">
        <f t="shared" si="43"/>
        <v>0</v>
      </c>
      <c r="CQ792" s="1294"/>
      <c r="CR792" s="1294"/>
      <c r="CS792" s="1294"/>
      <c r="CT792" s="1295"/>
      <c r="CU792" s="1293">
        <f t="shared" si="44"/>
        <v>0</v>
      </c>
      <c r="CV792" s="1294"/>
      <c r="CW792" s="1294"/>
      <c r="CX792" s="1294"/>
      <c r="CY792" s="1295"/>
      <c r="CZ792" s="1293">
        <f t="shared" si="45"/>
        <v>0</v>
      </c>
      <c r="DA792" s="1294"/>
      <c r="DB792" s="1294"/>
      <c r="DC792" s="1294"/>
      <c r="DD792" s="1295"/>
      <c r="DE792" s="1293">
        <f t="shared" si="46"/>
        <v>0</v>
      </c>
      <c r="DF792" s="1294"/>
      <c r="DG792" s="1294"/>
      <c r="DH792" s="1294"/>
      <c r="DI792" s="1295"/>
      <c r="DJ792" s="1293">
        <f t="shared" si="47"/>
        <v>0</v>
      </c>
      <c r="DK792" s="1294"/>
      <c r="DL792" s="1294"/>
      <c r="DM792" s="1294"/>
      <c r="DN792" s="1295"/>
      <c r="DO792" s="1293">
        <f t="shared" si="48"/>
        <v>0</v>
      </c>
      <c r="DP792" s="1294"/>
      <c r="DQ792" s="1294"/>
      <c r="DR792" s="1294"/>
      <c r="DS792" s="1295"/>
      <c r="DT792" s="256"/>
      <c r="DU792" s="1293">
        <f t="shared" si="49"/>
        <v>0</v>
      </c>
      <c r="DV792" s="1294"/>
      <c r="DW792" s="1294"/>
      <c r="DX792" s="1294"/>
      <c r="DY792" s="1295"/>
      <c r="DZ792" s="1293">
        <f t="shared" si="50"/>
        <v>0</v>
      </c>
      <c r="EA792" s="1294"/>
      <c r="EB792" s="1294"/>
      <c r="EC792" s="1294"/>
      <c r="ED792" s="1295"/>
      <c r="EE792" s="1293">
        <f t="shared" si="51"/>
        <v>0</v>
      </c>
      <c r="EF792" s="1294"/>
      <c r="EG792" s="1294"/>
      <c r="EH792" s="1294"/>
      <c r="EI792" s="1295"/>
      <c r="EJ792" s="1293">
        <f t="shared" si="52"/>
        <v>0</v>
      </c>
      <c r="EK792" s="1294"/>
      <c r="EL792" s="1294"/>
      <c r="EM792" s="1294"/>
      <c r="EN792" s="1295"/>
      <c r="EO792" s="1293">
        <f t="shared" si="53"/>
        <v>0</v>
      </c>
      <c r="EP792" s="1294"/>
      <c r="EQ792" s="1294"/>
      <c r="ER792" s="1294"/>
      <c r="ES792" s="1295"/>
      <c r="ET792" s="1293">
        <f t="shared" si="54"/>
        <v>0</v>
      </c>
      <c r="EU792" s="1294"/>
      <c r="EV792" s="1294"/>
      <c r="EW792" s="1294"/>
      <c r="EX792" s="1295"/>
    </row>
    <row r="793" spans="1:154" s="13" customFormat="1" ht="13" customHeight="1">
      <c r="A793"/>
      <c r="B793"/>
      <c r="C793"/>
      <c r="D793"/>
      <c r="E793"/>
      <c r="F793"/>
      <c r="G793"/>
      <c r="H793"/>
      <c r="I793"/>
      <c r="J793" s="1310"/>
      <c r="K793" s="1311"/>
      <c r="L793" s="1311"/>
      <c r="M793" s="1311"/>
      <c r="N793" s="1312"/>
      <c r="O793" s="1416"/>
      <c r="P793" s="1416"/>
      <c r="Q793" s="1416"/>
      <c r="R793" s="1416"/>
      <c r="S793" s="1416"/>
      <c r="T793" s="1546"/>
      <c r="U793" s="1547"/>
      <c r="V793" s="1547"/>
      <c r="W793" s="1548"/>
      <c r="X793" s="1420"/>
      <c r="Y793" s="1421"/>
      <c r="Z793" s="1421"/>
      <c r="AA793" s="1421"/>
      <c r="AB793" s="1422"/>
      <c r="AC793" s="1313">
        <f t="shared" si="42"/>
        <v>0</v>
      </c>
      <c r="AD793" s="1314"/>
      <c r="AE793" s="1314"/>
      <c r="AF793" s="1314"/>
      <c r="AG793" s="131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293">
        <f t="shared" si="43"/>
        <v>0</v>
      </c>
      <c r="CQ793" s="1294"/>
      <c r="CR793" s="1294"/>
      <c r="CS793" s="1294"/>
      <c r="CT793" s="1295"/>
      <c r="CU793" s="1293">
        <f t="shared" si="44"/>
        <v>0</v>
      </c>
      <c r="CV793" s="1294"/>
      <c r="CW793" s="1294"/>
      <c r="CX793" s="1294"/>
      <c r="CY793" s="1295"/>
      <c r="CZ793" s="1293">
        <f t="shared" si="45"/>
        <v>0</v>
      </c>
      <c r="DA793" s="1294"/>
      <c r="DB793" s="1294"/>
      <c r="DC793" s="1294"/>
      <c r="DD793" s="1295"/>
      <c r="DE793" s="1293">
        <f t="shared" si="46"/>
        <v>0</v>
      </c>
      <c r="DF793" s="1294"/>
      <c r="DG793" s="1294"/>
      <c r="DH793" s="1294"/>
      <c r="DI793" s="1295"/>
      <c r="DJ793" s="1293">
        <f t="shared" si="47"/>
        <v>0</v>
      </c>
      <c r="DK793" s="1294"/>
      <c r="DL793" s="1294"/>
      <c r="DM793" s="1294"/>
      <c r="DN793" s="1295"/>
      <c r="DO793" s="1293">
        <f t="shared" si="48"/>
        <v>0</v>
      </c>
      <c r="DP793" s="1294"/>
      <c r="DQ793" s="1294"/>
      <c r="DR793" s="1294"/>
      <c r="DS793" s="1295"/>
      <c r="DT793" s="256"/>
      <c r="DU793" s="1293">
        <f t="shared" si="49"/>
        <v>0</v>
      </c>
      <c r="DV793" s="1294"/>
      <c r="DW793" s="1294"/>
      <c r="DX793" s="1294"/>
      <c r="DY793" s="1295"/>
      <c r="DZ793" s="1293">
        <f t="shared" si="50"/>
        <v>0</v>
      </c>
      <c r="EA793" s="1294"/>
      <c r="EB793" s="1294"/>
      <c r="EC793" s="1294"/>
      <c r="ED793" s="1295"/>
      <c r="EE793" s="1293">
        <f t="shared" si="51"/>
        <v>0</v>
      </c>
      <c r="EF793" s="1294"/>
      <c r="EG793" s="1294"/>
      <c r="EH793" s="1294"/>
      <c r="EI793" s="1295"/>
      <c r="EJ793" s="1293">
        <f t="shared" si="52"/>
        <v>0</v>
      </c>
      <c r="EK793" s="1294"/>
      <c r="EL793" s="1294"/>
      <c r="EM793" s="1294"/>
      <c r="EN793" s="1295"/>
      <c r="EO793" s="1293">
        <f t="shared" si="53"/>
        <v>0</v>
      </c>
      <c r="EP793" s="1294"/>
      <c r="EQ793" s="1294"/>
      <c r="ER793" s="1294"/>
      <c r="ES793" s="1295"/>
      <c r="ET793" s="1293">
        <f t="shared" si="54"/>
        <v>0</v>
      </c>
      <c r="EU793" s="1294"/>
      <c r="EV793" s="1294"/>
      <c r="EW793" s="1294"/>
      <c r="EX793" s="1295"/>
    </row>
    <row r="794" spans="1:154" s="13" customFormat="1" ht="13" customHeight="1">
      <c r="A794"/>
      <c r="B794"/>
      <c r="C794"/>
      <c r="D794"/>
      <c r="E794"/>
      <c r="F794"/>
      <c r="G794"/>
      <c r="H794"/>
      <c r="I794"/>
      <c r="J794" s="1310"/>
      <c r="K794" s="1311"/>
      <c r="L794" s="1311"/>
      <c r="M794" s="1311"/>
      <c r="N794" s="1312"/>
      <c r="O794" s="1416"/>
      <c r="P794" s="1416"/>
      <c r="Q794" s="1416"/>
      <c r="R794" s="1416"/>
      <c r="S794" s="1416"/>
      <c r="T794" s="1546"/>
      <c r="U794" s="1547"/>
      <c r="V794" s="1547"/>
      <c r="W794" s="1548"/>
      <c r="X794" s="1420"/>
      <c r="Y794" s="1421"/>
      <c r="Z794" s="1421"/>
      <c r="AA794" s="1421"/>
      <c r="AB794" s="1422"/>
      <c r="AC794" s="1313">
        <f t="shared" si="42"/>
        <v>0</v>
      </c>
      <c r="AD794" s="1314"/>
      <c r="AE794" s="1314"/>
      <c r="AF794" s="1314"/>
      <c r="AG794" s="131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293">
        <f t="shared" si="43"/>
        <v>0</v>
      </c>
      <c r="CQ794" s="1294"/>
      <c r="CR794" s="1294"/>
      <c r="CS794" s="1294"/>
      <c r="CT794" s="1295"/>
      <c r="CU794" s="1293">
        <f t="shared" si="44"/>
        <v>0</v>
      </c>
      <c r="CV794" s="1294"/>
      <c r="CW794" s="1294"/>
      <c r="CX794" s="1294"/>
      <c r="CY794" s="1295"/>
      <c r="CZ794" s="1293">
        <f t="shared" si="45"/>
        <v>0</v>
      </c>
      <c r="DA794" s="1294"/>
      <c r="DB794" s="1294"/>
      <c r="DC794" s="1294"/>
      <c r="DD794" s="1295"/>
      <c r="DE794" s="1293">
        <f t="shared" si="46"/>
        <v>0</v>
      </c>
      <c r="DF794" s="1294"/>
      <c r="DG794" s="1294"/>
      <c r="DH794" s="1294"/>
      <c r="DI794" s="1295"/>
      <c r="DJ794" s="1293">
        <f t="shared" si="47"/>
        <v>0</v>
      </c>
      <c r="DK794" s="1294"/>
      <c r="DL794" s="1294"/>
      <c r="DM794" s="1294"/>
      <c r="DN794" s="1295"/>
      <c r="DO794" s="1293">
        <f t="shared" si="48"/>
        <v>0</v>
      </c>
      <c r="DP794" s="1294"/>
      <c r="DQ794" s="1294"/>
      <c r="DR794" s="1294"/>
      <c r="DS794" s="1295"/>
      <c r="DT794" s="256"/>
      <c r="DU794" s="1293">
        <f t="shared" si="49"/>
        <v>0</v>
      </c>
      <c r="DV794" s="1294"/>
      <c r="DW794" s="1294"/>
      <c r="DX794" s="1294"/>
      <c r="DY794" s="1295"/>
      <c r="DZ794" s="1293">
        <f t="shared" si="50"/>
        <v>0</v>
      </c>
      <c r="EA794" s="1294"/>
      <c r="EB794" s="1294"/>
      <c r="EC794" s="1294"/>
      <c r="ED794" s="1295"/>
      <c r="EE794" s="1293">
        <f t="shared" si="51"/>
        <v>0</v>
      </c>
      <c r="EF794" s="1294"/>
      <c r="EG794" s="1294"/>
      <c r="EH794" s="1294"/>
      <c r="EI794" s="1295"/>
      <c r="EJ794" s="1293">
        <f t="shared" si="52"/>
        <v>0</v>
      </c>
      <c r="EK794" s="1294"/>
      <c r="EL794" s="1294"/>
      <c r="EM794" s="1294"/>
      <c r="EN794" s="1295"/>
      <c r="EO794" s="1293">
        <f t="shared" si="53"/>
        <v>0</v>
      </c>
      <c r="EP794" s="1294"/>
      <c r="EQ794" s="1294"/>
      <c r="ER794" s="1294"/>
      <c r="ES794" s="1295"/>
      <c r="ET794" s="1293">
        <f t="shared" si="54"/>
        <v>0</v>
      </c>
      <c r="EU794" s="1294"/>
      <c r="EV794" s="1294"/>
      <c r="EW794" s="1294"/>
      <c r="EX794" s="1295"/>
    </row>
    <row r="795" spans="1:154" s="13" customFormat="1" ht="13" customHeight="1">
      <c r="A795"/>
      <c r="B795"/>
      <c r="C795"/>
      <c r="D795"/>
      <c r="E795"/>
      <c r="F795"/>
      <c r="G795"/>
      <c r="H795"/>
      <c r="I795"/>
      <c r="J795" s="1310"/>
      <c r="K795" s="1311"/>
      <c r="L795" s="1311"/>
      <c r="M795" s="1311"/>
      <c r="N795" s="1312"/>
      <c r="O795" s="1416"/>
      <c r="P795" s="1416"/>
      <c r="Q795" s="1416"/>
      <c r="R795" s="1416"/>
      <c r="S795" s="1416"/>
      <c r="T795" s="1546"/>
      <c r="U795" s="1547"/>
      <c r="V795" s="1547"/>
      <c r="W795" s="1548"/>
      <c r="X795" s="1420"/>
      <c r="Y795" s="1421"/>
      <c r="Z795" s="1421"/>
      <c r="AA795" s="1421"/>
      <c r="AB795" s="1422"/>
      <c r="AC795" s="1313">
        <f t="shared" si="42"/>
        <v>0</v>
      </c>
      <c r="AD795" s="1314"/>
      <c r="AE795" s="1314"/>
      <c r="AF795" s="1314"/>
      <c r="AG795" s="131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293">
        <f t="shared" si="43"/>
        <v>0</v>
      </c>
      <c r="CQ795" s="1294"/>
      <c r="CR795" s="1294"/>
      <c r="CS795" s="1294"/>
      <c r="CT795" s="1295"/>
      <c r="CU795" s="1293">
        <f t="shared" si="44"/>
        <v>0</v>
      </c>
      <c r="CV795" s="1294"/>
      <c r="CW795" s="1294"/>
      <c r="CX795" s="1294"/>
      <c r="CY795" s="1295"/>
      <c r="CZ795" s="1293">
        <f t="shared" si="45"/>
        <v>0</v>
      </c>
      <c r="DA795" s="1294"/>
      <c r="DB795" s="1294"/>
      <c r="DC795" s="1294"/>
      <c r="DD795" s="1295"/>
      <c r="DE795" s="1293">
        <f t="shared" si="46"/>
        <v>0</v>
      </c>
      <c r="DF795" s="1294"/>
      <c r="DG795" s="1294"/>
      <c r="DH795" s="1294"/>
      <c r="DI795" s="1295"/>
      <c r="DJ795" s="1293">
        <f t="shared" si="47"/>
        <v>0</v>
      </c>
      <c r="DK795" s="1294"/>
      <c r="DL795" s="1294"/>
      <c r="DM795" s="1294"/>
      <c r="DN795" s="1295"/>
      <c r="DO795" s="1293">
        <f t="shared" si="48"/>
        <v>0</v>
      </c>
      <c r="DP795" s="1294"/>
      <c r="DQ795" s="1294"/>
      <c r="DR795" s="1294"/>
      <c r="DS795" s="1295"/>
      <c r="DT795" s="256"/>
      <c r="DU795" s="1293">
        <f t="shared" si="49"/>
        <v>0</v>
      </c>
      <c r="DV795" s="1294"/>
      <c r="DW795" s="1294"/>
      <c r="DX795" s="1294"/>
      <c r="DY795" s="1295"/>
      <c r="DZ795" s="1293">
        <f t="shared" si="50"/>
        <v>0</v>
      </c>
      <c r="EA795" s="1294"/>
      <c r="EB795" s="1294"/>
      <c r="EC795" s="1294"/>
      <c r="ED795" s="1295"/>
      <c r="EE795" s="1293">
        <f t="shared" si="51"/>
        <v>0</v>
      </c>
      <c r="EF795" s="1294"/>
      <c r="EG795" s="1294"/>
      <c r="EH795" s="1294"/>
      <c r="EI795" s="1295"/>
      <c r="EJ795" s="1293">
        <f t="shared" si="52"/>
        <v>0</v>
      </c>
      <c r="EK795" s="1294"/>
      <c r="EL795" s="1294"/>
      <c r="EM795" s="1294"/>
      <c r="EN795" s="1295"/>
      <c r="EO795" s="1293">
        <f t="shared" si="53"/>
        <v>0</v>
      </c>
      <c r="EP795" s="1294"/>
      <c r="EQ795" s="1294"/>
      <c r="ER795" s="1294"/>
      <c r="ES795" s="1295"/>
      <c r="ET795" s="1293">
        <f t="shared" si="54"/>
        <v>0</v>
      </c>
      <c r="EU795" s="1294"/>
      <c r="EV795" s="1294"/>
      <c r="EW795" s="1294"/>
      <c r="EX795" s="1295"/>
    </row>
    <row r="796" spans="1:154" s="4" customFormat="1" ht="13" customHeight="1">
      <c r="A796"/>
      <c r="B796"/>
      <c r="C796"/>
      <c r="D796"/>
      <c r="E796"/>
      <c r="F796"/>
      <c r="G796"/>
      <c r="H796"/>
      <c r="I796"/>
      <c r="J796" s="1310"/>
      <c r="K796" s="1311"/>
      <c r="L796" s="1311"/>
      <c r="M796" s="1311"/>
      <c r="N796" s="1312"/>
      <c r="O796" s="1416"/>
      <c r="P796" s="1416"/>
      <c r="Q796" s="1416"/>
      <c r="R796" s="1416"/>
      <c r="S796" s="1416"/>
      <c r="T796" s="1546"/>
      <c r="U796" s="1547"/>
      <c r="V796" s="1547"/>
      <c r="W796" s="1548"/>
      <c r="X796" s="1420"/>
      <c r="Y796" s="1421"/>
      <c r="Z796" s="1421"/>
      <c r="AA796" s="1421"/>
      <c r="AB796" s="1422"/>
      <c r="AC796" s="1313">
        <f t="shared" si="42"/>
        <v>0</v>
      </c>
      <c r="AD796" s="1314"/>
      <c r="AE796" s="1314"/>
      <c r="AF796" s="1314"/>
      <c r="AG796" s="1315"/>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293">
        <f t="shared" si="43"/>
        <v>0</v>
      </c>
      <c r="CQ796" s="1294"/>
      <c r="CR796" s="1294"/>
      <c r="CS796" s="1294"/>
      <c r="CT796" s="1295"/>
      <c r="CU796" s="1293">
        <f t="shared" si="44"/>
        <v>0</v>
      </c>
      <c r="CV796" s="1294"/>
      <c r="CW796" s="1294"/>
      <c r="CX796" s="1294"/>
      <c r="CY796" s="1295"/>
      <c r="CZ796" s="1293">
        <f t="shared" si="45"/>
        <v>0</v>
      </c>
      <c r="DA796" s="1294"/>
      <c r="DB796" s="1294"/>
      <c r="DC796" s="1294"/>
      <c r="DD796" s="1295"/>
      <c r="DE796" s="1293">
        <f t="shared" si="46"/>
        <v>0</v>
      </c>
      <c r="DF796" s="1294"/>
      <c r="DG796" s="1294"/>
      <c r="DH796" s="1294"/>
      <c r="DI796" s="1295"/>
      <c r="DJ796" s="1293">
        <f t="shared" si="47"/>
        <v>0</v>
      </c>
      <c r="DK796" s="1294"/>
      <c r="DL796" s="1294"/>
      <c r="DM796" s="1294"/>
      <c r="DN796" s="1295"/>
      <c r="DO796" s="1293">
        <f t="shared" si="48"/>
        <v>0</v>
      </c>
      <c r="DP796" s="1294"/>
      <c r="DQ796" s="1294"/>
      <c r="DR796" s="1294"/>
      <c r="DS796" s="1295"/>
      <c r="DT796" s="256"/>
      <c r="DU796" s="1293">
        <f t="shared" si="49"/>
        <v>0</v>
      </c>
      <c r="DV796" s="1294"/>
      <c r="DW796" s="1294"/>
      <c r="DX796" s="1294"/>
      <c r="DY796" s="1295"/>
      <c r="DZ796" s="1293">
        <f t="shared" si="50"/>
        <v>0</v>
      </c>
      <c r="EA796" s="1294"/>
      <c r="EB796" s="1294"/>
      <c r="EC796" s="1294"/>
      <c r="ED796" s="1295"/>
      <c r="EE796" s="1293">
        <f t="shared" si="51"/>
        <v>0</v>
      </c>
      <c r="EF796" s="1294"/>
      <c r="EG796" s="1294"/>
      <c r="EH796" s="1294"/>
      <c r="EI796" s="1295"/>
      <c r="EJ796" s="1293">
        <f t="shared" si="52"/>
        <v>0</v>
      </c>
      <c r="EK796" s="1294"/>
      <c r="EL796" s="1294"/>
      <c r="EM796" s="1294"/>
      <c r="EN796" s="1295"/>
      <c r="EO796" s="1293">
        <f t="shared" si="53"/>
        <v>0</v>
      </c>
      <c r="EP796" s="1294"/>
      <c r="EQ796" s="1294"/>
      <c r="ER796" s="1294"/>
      <c r="ES796" s="1295"/>
      <c r="ET796" s="1293">
        <f t="shared" si="54"/>
        <v>0</v>
      </c>
      <c r="EU796" s="1294"/>
      <c r="EV796" s="1294"/>
      <c r="EW796" s="1294"/>
      <c r="EX796" s="1295"/>
    </row>
    <row r="797" spans="1:154" s="4" customFormat="1" ht="13" customHeight="1">
      <c r="A797"/>
      <c r="B797"/>
      <c r="C797"/>
      <c r="D797"/>
      <c r="E797"/>
      <c r="F797"/>
      <c r="G797"/>
      <c r="H797"/>
      <c r="I797"/>
      <c r="J797" s="1360" t="s">
        <v>1487</v>
      </c>
      <c r="K797" s="1361"/>
      <c r="L797" s="1361"/>
      <c r="M797" s="1361"/>
      <c r="N797" s="1363"/>
      <c r="O797" s="1322">
        <f>SUM(O787:S796)</f>
        <v>0</v>
      </c>
      <c r="P797" s="1322"/>
      <c r="Q797" s="1322"/>
      <c r="R797" s="1322"/>
      <c r="S797" s="1322"/>
      <c r="T797"/>
      <c r="U797"/>
      <c r="V797"/>
      <c r="W797"/>
      <c r="X797" s="797" t="s">
        <v>1488</v>
      </c>
      <c r="Y797" s="10"/>
      <c r="Z797" s="10"/>
      <c r="AA797" s="10"/>
      <c r="AB797" s="804"/>
      <c r="AC797" s="1313">
        <f>SUM(AC787:AG796)</f>
        <v>0</v>
      </c>
      <c r="AD797" s="1314"/>
      <c r="AE797" s="1314"/>
      <c r="AF797" s="1314"/>
      <c r="AG797" s="1315"/>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296">
        <f>SUM(CP787:CT796)</f>
        <v>0</v>
      </c>
      <c r="CQ797" s="1297"/>
      <c r="CR797" s="1297"/>
      <c r="CS797" s="1297"/>
      <c r="CT797" s="1298"/>
      <c r="CU797" s="1296">
        <f>SUM(CU787:CY796)</f>
        <v>0</v>
      </c>
      <c r="CV797" s="1297"/>
      <c r="CW797" s="1297"/>
      <c r="CX797" s="1297"/>
      <c r="CY797" s="1298"/>
      <c r="CZ797" s="1296">
        <f>SUM(CZ787:DD796)</f>
        <v>0</v>
      </c>
      <c r="DA797" s="1297"/>
      <c r="DB797" s="1297"/>
      <c r="DC797" s="1297"/>
      <c r="DD797" s="1298"/>
      <c r="DE797" s="1296">
        <f>SUM(DE787:DI796)</f>
        <v>0</v>
      </c>
      <c r="DF797" s="1297"/>
      <c r="DG797" s="1297"/>
      <c r="DH797" s="1297"/>
      <c r="DI797" s="1298"/>
      <c r="DJ797" s="1296">
        <f>SUM(DJ787:DN796)</f>
        <v>0</v>
      </c>
      <c r="DK797" s="1297"/>
      <c r="DL797" s="1297"/>
      <c r="DM797" s="1297"/>
      <c r="DN797" s="1298"/>
      <c r="DO797" s="1296">
        <f>SUM(DO787:DS796)</f>
        <v>0</v>
      </c>
      <c r="DP797" s="1297"/>
      <c r="DQ797" s="1297"/>
      <c r="DR797" s="1297"/>
      <c r="DS797" s="1298"/>
      <c r="DT797" s="256"/>
      <c r="DU797" s="1296">
        <f>SUM(DU787:DY796)</f>
        <v>0</v>
      </c>
      <c r="DV797" s="1297"/>
      <c r="DW797" s="1297"/>
      <c r="DX797" s="1297"/>
      <c r="DY797" s="1298"/>
      <c r="DZ797" s="1296">
        <f>SUM(DZ787:ED796)</f>
        <v>0</v>
      </c>
      <c r="EA797" s="1297"/>
      <c r="EB797" s="1297"/>
      <c r="EC797" s="1297"/>
      <c r="ED797" s="1298"/>
      <c r="EE797" s="1296">
        <f>SUM(EE787:EI796)</f>
        <v>0</v>
      </c>
      <c r="EF797" s="1297"/>
      <c r="EG797" s="1297"/>
      <c r="EH797" s="1297"/>
      <c r="EI797" s="1298"/>
      <c r="EJ797" s="1296">
        <f>SUM(EJ787:EN796)</f>
        <v>0</v>
      </c>
      <c r="EK797" s="1297"/>
      <c r="EL797" s="1297"/>
      <c r="EM797" s="1297"/>
      <c r="EN797" s="1298"/>
      <c r="EO797" s="1296">
        <f>SUM(EO787:ES796)</f>
        <v>0</v>
      </c>
      <c r="EP797" s="1297"/>
      <c r="EQ797" s="1297"/>
      <c r="ER797" s="1297"/>
      <c r="ES797" s="1298"/>
      <c r="ET797" s="1296">
        <f>SUM(ET787:EX796)</f>
        <v>0</v>
      </c>
      <c r="EU797" s="1297"/>
      <c r="EV797" s="1297"/>
      <c r="EW797" s="1297"/>
      <c r="EX797" s="1298"/>
    </row>
    <row r="798" spans="1:154" s="4" customFormat="1" ht="13" customHeight="1">
      <c r="A798"/>
      <c r="B798"/>
      <c r="C798" s="1329" t="str">
        <f>IF(O797&lt;&gt;AG438,"! Total market rate units in the Unit Mix Table above does not match the number of  market rate units on row #"&amp;TEXT(ROW(D438),"#"),"")</f>
        <v/>
      </c>
      <c r="D798" s="1329"/>
      <c r="E798" s="1329"/>
      <c r="F798" s="1329"/>
      <c r="G798" s="1329"/>
      <c r="H798" s="1329"/>
      <c r="I798" s="1329"/>
      <c r="J798" s="1329"/>
      <c r="K798" s="1329"/>
      <c r="L798" s="1329"/>
      <c r="M798" s="1329"/>
      <c r="N798" s="1329"/>
      <c r="O798" s="1329"/>
      <c r="P798" s="1329"/>
      <c r="Q798" s="1329"/>
      <c r="R798" s="1329"/>
      <c r="S798" s="1329"/>
      <c r="T798" s="1329"/>
      <c r="U798" s="1329"/>
      <c r="V798" s="1329"/>
      <c r="W798" s="1329"/>
      <c r="X798" s="1329"/>
      <c r="Y798" s="1329"/>
      <c r="Z798" s="1329"/>
      <c r="AA798" s="1329"/>
      <c r="AB798" s="1329"/>
      <c r="AC798" s="1329"/>
      <c r="AD798" s="1329"/>
      <c r="AE798" s="1329"/>
      <c r="AF798" s="1329"/>
      <c r="AG798" s="1329"/>
      <c r="AH798" s="1329"/>
      <c r="AI798" s="1329"/>
      <c r="AJ798" s="1329"/>
      <c r="AK798" s="1329"/>
      <c r="AL798" s="1329"/>
      <c r="AM798" s="1329"/>
      <c r="AN798" s="1329"/>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59">
        <f>CP797*1</f>
        <v>0</v>
      </c>
      <c r="CU798" s="3"/>
      <c r="CV798" s="3"/>
      <c r="CW798" s="3"/>
      <c r="CX798" s="3"/>
      <c r="CY798" s="759">
        <f>CU797*1</f>
        <v>0</v>
      </c>
      <c r="CZ798" s="3"/>
      <c r="DA798" s="3"/>
      <c r="DB798" s="3"/>
      <c r="DC798" s="3"/>
      <c r="DD798" s="759">
        <f>CZ797*2</f>
        <v>0</v>
      </c>
      <c r="DE798" s="3"/>
      <c r="DF798" s="3"/>
      <c r="DG798" s="3"/>
      <c r="DH798" s="3"/>
      <c r="DI798" s="759">
        <f>DE797*3</f>
        <v>0</v>
      </c>
      <c r="DJ798" s="3"/>
      <c r="DK798" s="3"/>
      <c r="DL798" s="3"/>
      <c r="DM798" s="3"/>
      <c r="DN798" s="759">
        <f>DJ797*4</f>
        <v>0</v>
      </c>
      <c r="DO798" s="3"/>
      <c r="DP798" s="3"/>
      <c r="DQ798" s="3"/>
      <c r="DR798" s="3"/>
      <c r="DS798" s="759">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29"/>
      <c r="D799" s="1329"/>
      <c r="E799" s="1329"/>
      <c r="F799" s="1329"/>
      <c r="G799" s="1329"/>
      <c r="H799" s="1329"/>
      <c r="I799" s="1329"/>
      <c r="J799" s="1329"/>
      <c r="K799" s="1329"/>
      <c r="L799" s="1329"/>
      <c r="M799" s="1329"/>
      <c r="N799" s="1329"/>
      <c r="O799" s="1329"/>
      <c r="P799" s="1329"/>
      <c r="Q799" s="1329"/>
      <c r="R799" s="1329"/>
      <c r="S799" s="1329"/>
      <c r="T799" s="1329"/>
      <c r="U799" s="1329"/>
      <c r="V799" s="1329"/>
      <c r="W799" s="1329"/>
      <c r="X799" s="1329"/>
      <c r="Y799" s="1329"/>
      <c r="Z799" s="1329"/>
      <c r="AA799" s="1329"/>
      <c r="AB799" s="1329"/>
      <c r="AC799" s="1329"/>
      <c r="AD799" s="1329"/>
      <c r="AE799" s="1329"/>
      <c r="AF799" s="1329"/>
      <c r="AG799" s="1329"/>
      <c r="AH799" s="1329"/>
      <c r="AI799" s="1329"/>
      <c r="AJ799" s="1329"/>
      <c r="AK799" s="1329"/>
      <c r="AL799" s="1329"/>
      <c r="AM799" s="1329"/>
      <c r="AN799" s="1329"/>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59">
        <f>CP797+CU797+CZ797+DE797+DJ797+DO797</f>
        <v>0</v>
      </c>
      <c r="DV799" s="49" t="s">
        <v>1510</v>
      </c>
      <c r="DW799" s="3"/>
      <c r="DX799" s="3"/>
      <c r="DY799" s="3"/>
      <c r="DZ799" s="3"/>
      <c r="EA799" s="3"/>
      <c r="EB799" s="3"/>
      <c r="EC799" s="3"/>
      <c r="ED799" s="3"/>
      <c r="EE799" s="3"/>
      <c r="EF799" s="3"/>
      <c r="EG799" s="3"/>
      <c r="EH799" s="3"/>
      <c r="EI799"/>
      <c r="EJ799"/>
      <c r="EK799"/>
      <c r="EL799"/>
      <c r="EM799"/>
      <c r="EN799"/>
      <c r="EO799"/>
      <c r="EP799"/>
      <c r="EQ799"/>
      <c r="ER799"/>
      <c r="ES799" s="48" t="s">
        <v>1511</v>
      </c>
      <c r="ET799" s="1306">
        <f>SUM(DU797:EX797)</f>
        <v>0</v>
      </c>
      <c r="EU799" s="1307"/>
      <c r="EV799" s="1307"/>
      <c r="EW799" s="1307"/>
      <c r="EX799" s="1308"/>
    </row>
    <row r="800" spans="1:154" s="4" customFormat="1" ht="13" customHeight="1">
      <c r="A800"/>
      <c r="B800"/>
      <c r="C800"/>
      <c r="D800"/>
      <c r="E800"/>
      <c r="F800"/>
      <c r="G800"/>
      <c r="H800"/>
      <c r="I800"/>
      <c r="J800" s="37"/>
      <c r="K800" s="5"/>
      <c r="L800" s="5"/>
      <c r="M800" s="5"/>
      <c r="N800" s="5"/>
      <c r="O800" s="5"/>
      <c r="P800" s="5"/>
      <c r="Q800" s="5"/>
      <c r="R800" s="5"/>
      <c r="S800" s="5"/>
      <c r="T800" s="5"/>
      <c r="U800" s="5"/>
      <c r="V800" s="5"/>
      <c r="W800" s="5"/>
      <c r="X800" s="46" t="s">
        <v>1512</v>
      </c>
      <c r="Y800" s="1543">
        <f>O753+AC777+AC797</f>
        <v>114002</v>
      </c>
      <c r="Z800" s="1543"/>
      <c r="AA800" s="1543"/>
      <c r="AB800" s="1543"/>
      <c r="AC800" s="1543"/>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59">
        <f>CT798+CY798+DD798+DI798+DN798+DS798</f>
        <v>0</v>
      </c>
      <c r="DV800" s="49" t="s">
        <v>1513</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39"/>
      <c r="K801" s="40"/>
      <c r="L801" s="40"/>
      <c r="M801" s="40"/>
      <c r="N801" s="40"/>
      <c r="O801" s="40"/>
      <c r="P801" s="40"/>
      <c r="Q801" s="40"/>
      <c r="R801" s="40"/>
      <c r="S801" s="40"/>
      <c r="T801" s="40"/>
      <c r="U801" s="40"/>
      <c r="V801" s="40"/>
      <c r="W801" s="40"/>
      <c r="X801" s="69" t="s">
        <v>1514</v>
      </c>
      <c r="Y801" s="1543">
        <f>(O753+AC777+AC797)*12</f>
        <v>1368024</v>
      </c>
      <c r="Z801" s="1543"/>
      <c r="AA801" s="1543"/>
      <c r="AB801" s="1543"/>
      <c r="AC801" s="1543"/>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1515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296">
        <f>CP753+CP777+CP797</f>
        <v>0</v>
      </c>
      <c r="CQ802" s="1297"/>
      <c r="CR802" s="1297"/>
      <c r="CS802" s="1297"/>
      <c r="CT802" s="1298"/>
      <c r="CU802" s="1296">
        <f>CU753+CU777+CU797</f>
        <v>21</v>
      </c>
      <c r="CV802" s="1297"/>
      <c r="CW802" s="1297"/>
      <c r="CX802" s="1297"/>
      <c r="CY802" s="1298"/>
      <c r="CZ802" s="1296">
        <f>CZ753+CZ777+CZ797</f>
        <v>33</v>
      </c>
      <c r="DA802" s="1297"/>
      <c r="DB802" s="1297"/>
      <c r="DC802" s="1297"/>
      <c r="DD802" s="1298"/>
      <c r="DE802" s="1296">
        <f>DE753+DE777+DE797</f>
        <v>25</v>
      </c>
      <c r="DF802" s="1297"/>
      <c r="DG802" s="1297"/>
      <c r="DH802" s="1297"/>
      <c r="DI802" s="1298"/>
      <c r="DJ802" s="1296">
        <f>DJ753+DJ777+DJ797</f>
        <v>0</v>
      </c>
      <c r="DK802" s="1297"/>
      <c r="DL802" s="1297"/>
      <c r="DM802" s="1297"/>
      <c r="DN802" s="1298"/>
      <c r="DO802" s="1296">
        <f>DO797+DO777+DO753</f>
        <v>0</v>
      </c>
      <c r="DP802" s="1297"/>
      <c r="DQ802" s="1297"/>
      <c r="DR802" s="1297"/>
      <c r="DS802" s="1298"/>
      <c r="DT802" s="3"/>
      <c r="DU802" s="759">
        <f>DU755+DU800</f>
        <v>159</v>
      </c>
      <c r="DV802" s="49" t="s">
        <v>1516</v>
      </c>
    </row>
    <row r="803" spans="1:126" s="4" customFormat="1" ht="13" customHeight="1">
      <c r="A803" s="2" t="s">
        <v>1005</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1517</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3"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3" customHeight="1">
      <c r="A806"/>
      <c r="B806"/>
      <c r="C806"/>
      <c r="D806"/>
      <c r="E806"/>
      <c r="F806"/>
      <c r="G806"/>
      <c r="H806" s="37" t="s">
        <v>1518</v>
      </c>
      <c r="I806" s="5"/>
      <c r="J806" s="5"/>
      <c r="K806" s="5"/>
      <c r="L806" s="5"/>
      <c r="M806" s="5"/>
      <c r="N806" s="5"/>
      <c r="O806" s="5"/>
      <c r="P806" s="5"/>
      <c r="Q806" s="5"/>
      <c r="R806" s="5"/>
      <c r="S806" s="5"/>
      <c r="T806" s="5"/>
      <c r="U806" s="5"/>
      <c r="V806" s="5"/>
      <c r="W806" s="5"/>
      <c r="X806" s="5"/>
      <c r="Y806" s="5"/>
      <c r="Z806" s="1659">
        <v>19</v>
      </c>
      <c r="AA806" s="1550"/>
      <c r="AB806" s="1550"/>
      <c r="AC806" s="1550"/>
      <c r="AD806" s="1550"/>
      <c r="AE806" s="1551"/>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3" customHeight="1">
      <c r="A807"/>
      <c r="B807"/>
      <c r="C807"/>
      <c r="D807"/>
      <c r="E807"/>
      <c r="F807"/>
      <c r="G807"/>
      <c r="H807" s="37" t="s">
        <v>1519</v>
      </c>
      <c r="I807" s="5"/>
      <c r="J807" s="5"/>
      <c r="K807" s="5"/>
      <c r="L807" s="5"/>
      <c r="M807" s="5"/>
      <c r="N807" s="5"/>
      <c r="O807" s="5"/>
      <c r="P807" s="5"/>
      <c r="Q807" s="5"/>
      <c r="R807" s="5"/>
      <c r="S807" s="5"/>
      <c r="T807" s="5"/>
      <c r="U807" s="5"/>
      <c r="V807" s="5"/>
      <c r="W807" s="5"/>
      <c r="X807" s="5"/>
      <c r="Y807" s="5"/>
      <c r="Z807" s="1549">
        <v>15</v>
      </c>
      <c r="AA807" s="1550"/>
      <c r="AB807" s="1550"/>
      <c r="AC807" s="1550"/>
      <c r="AD807" s="1550"/>
      <c r="AE807" s="1551"/>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3" customHeight="1">
      <c r="A808"/>
      <c r="B808"/>
      <c r="C808"/>
      <c r="D808"/>
      <c r="E808"/>
      <c r="F808"/>
      <c r="G808"/>
      <c r="H808" s="37" t="s">
        <v>1520</v>
      </c>
      <c r="I808" s="5"/>
      <c r="J808" s="5"/>
      <c r="K808" s="5"/>
      <c r="L808" s="5"/>
      <c r="M808" s="5"/>
      <c r="N808" s="5"/>
      <c r="O808" s="5"/>
      <c r="P808" s="5"/>
      <c r="Q808" s="5"/>
      <c r="R808" s="5"/>
      <c r="S808" s="5"/>
      <c r="T808" s="5"/>
      <c r="U808" s="5"/>
      <c r="V808" s="5"/>
      <c r="W808" s="5"/>
      <c r="X808" s="5"/>
      <c r="Y808" s="5"/>
      <c r="Z808" s="1564">
        <v>50071</v>
      </c>
      <c r="AA808" s="1470"/>
      <c r="AB808" s="1470"/>
      <c r="AC808" s="1470"/>
      <c r="AD808" s="1470"/>
      <c r="AE808" s="1565"/>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3" customHeight="1">
      <c r="A809"/>
      <c r="B809"/>
      <c r="C809"/>
      <c r="D809"/>
      <c r="E809"/>
      <c r="F809"/>
      <c r="G809"/>
      <c r="H809" s="37"/>
      <c r="I809" s="5"/>
      <c r="J809" s="5"/>
      <c r="K809" s="5"/>
      <c r="L809" s="5"/>
      <c r="M809" s="5"/>
      <c r="N809" s="5"/>
      <c r="O809" s="5"/>
      <c r="P809" s="5"/>
      <c r="Q809" s="5"/>
      <c r="R809" s="5"/>
      <c r="S809" s="5"/>
      <c r="T809" s="5"/>
      <c r="U809" s="5"/>
      <c r="V809" s="5"/>
      <c r="W809" s="5"/>
      <c r="X809" s="5"/>
      <c r="Y809" s="45" t="s">
        <v>1521</v>
      </c>
      <c r="Z809" s="1424">
        <f>'Subsidy Contract Calculation'!J40</f>
        <v>541284</v>
      </c>
      <c r="AA809" s="1425"/>
      <c r="AB809" s="1425"/>
      <c r="AC809" s="1425"/>
      <c r="AD809" s="1425"/>
      <c r="AE809" s="1426"/>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3"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3" customHeight="1">
      <c r="A811" s="2" t="s">
        <v>1017</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3"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3" customHeight="1">
      <c r="A813"/>
      <c r="B813"/>
      <c r="C813"/>
      <c r="D813"/>
      <c r="E813"/>
      <c r="F813"/>
      <c r="G813"/>
      <c r="H813" s="37" t="s">
        <v>1522</v>
      </c>
      <c r="I813" s="5"/>
      <c r="J813" s="5"/>
      <c r="K813" s="5"/>
      <c r="L813" s="5"/>
      <c r="M813" s="5"/>
      <c r="N813" s="5"/>
      <c r="O813" s="5"/>
      <c r="P813" s="5"/>
      <c r="Q813" s="5"/>
      <c r="R813" s="5"/>
      <c r="S813" s="5"/>
      <c r="T813" s="5"/>
      <c r="U813" s="5"/>
      <c r="V813" s="5"/>
      <c r="W813" s="5"/>
      <c r="X813" s="5"/>
      <c r="Y813" s="5"/>
      <c r="Z813" s="1427">
        <v>15228</v>
      </c>
      <c r="AA813" s="1299"/>
      <c r="AB813" s="1299"/>
      <c r="AC813" s="1299"/>
      <c r="AD813" s="1299"/>
      <c r="AE813" s="1300"/>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3" customHeight="1">
      <c r="A814"/>
      <c r="B814"/>
      <c r="C814"/>
      <c r="D814"/>
      <c r="E814"/>
      <c r="F814"/>
      <c r="G814"/>
      <c r="H814" s="37" t="s">
        <v>1523</v>
      </c>
      <c r="I814" s="5"/>
      <c r="J814" s="5"/>
      <c r="K814" s="5"/>
      <c r="L814" s="5"/>
      <c r="M814" s="5"/>
      <c r="N814" s="5"/>
      <c r="O814" s="5"/>
      <c r="P814" s="5"/>
      <c r="Q814" s="5"/>
      <c r="R814" s="5"/>
      <c r="S814" s="5"/>
      <c r="T814" s="5"/>
      <c r="U814" s="5"/>
      <c r="V814" s="5"/>
      <c r="W814" s="5"/>
      <c r="X814" s="5"/>
      <c r="Y814" s="5"/>
      <c r="Z814" s="1427"/>
      <c r="AA814" s="1299"/>
      <c r="AB814" s="1299"/>
      <c r="AC814" s="1299"/>
      <c r="AD814" s="1299"/>
      <c r="AE814" s="1300"/>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3" customHeight="1">
      <c r="A815"/>
      <c r="B815"/>
      <c r="C815"/>
      <c r="D815"/>
      <c r="E815"/>
      <c r="F815"/>
      <c r="G815"/>
      <c r="H815" s="37" t="s">
        <v>1524</v>
      </c>
      <c r="I815" s="5"/>
      <c r="J815" s="5"/>
      <c r="K815" s="5"/>
      <c r="L815" s="5"/>
      <c r="M815" s="5"/>
      <c r="N815" s="5"/>
      <c r="O815" s="5"/>
      <c r="P815" s="5"/>
      <c r="Q815" s="5"/>
      <c r="R815" s="5"/>
      <c r="S815" s="5"/>
      <c r="T815" s="5"/>
      <c r="U815" s="5"/>
      <c r="V815" s="5"/>
      <c r="W815" s="5"/>
      <c r="X815" s="5"/>
      <c r="Y815" s="5"/>
      <c r="Z815" s="1427"/>
      <c r="AA815" s="1299"/>
      <c r="AB815" s="1299"/>
      <c r="AC815" s="1299"/>
      <c r="AD815" s="1299"/>
      <c r="AE815" s="1300"/>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3" customHeight="1">
      <c r="A816"/>
      <c r="B816"/>
      <c r="C816"/>
      <c r="D816"/>
      <c r="E816"/>
      <c r="F816"/>
      <c r="G816"/>
      <c r="H816" s="37" t="s">
        <v>1525</v>
      </c>
      <c r="I816" s="5"/>
      <c r="J816" s="5"/>
      <c r="K816" s="5"/>
      <c r="L816" s="5"/>
      <c r="M816" s="5"/>
      <c r="N816" s="5"/>
      <c r="O816" s="5"/>
      <c r="P816" s="1583" t="s">
        <v>2744</v>
      </c>
      <c r="Q816" s="1584"/>
      <c r="R816" s="1584"/>
      <c r="S816" s="1584"/>
      <c r="T816" s="1584"/>
      <c r="U816" s="1584"/>
      <c r="V816" s="1584"/>
      <c r="W816" s="1584"/>
      <c r="X816" s="1584"/>
      <c r="Y816" s="1585"/>
      <c r="Z816" s="1427">
        <v>3270</v>
      </c>
      <c r="AA816" s="1299"/>
      <c r="AB816" s="1299"/>
      <c r="AC816" s="1299"/>
      <c r="AD816" s="1299"/>
      <c r="AE816" s="1300"/>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3" customHeight="1">
      <c r="A817"/>
      <c r="B817"/>
      <c r="C817"/>
      <c r="D817"/>
      <c r="E817"/>
      <c r="F817"/>
      <c r="G817"/>
      <c r="H817" s="37"/>
      <c r="I817" s="5"/>
      <c r="J817" s="5"/>
      <c r="K817" s="5"/>
      <c r="L817" s="5"/>
      <c r="M817" s="5"/>
      <c r="N817" s="5"/>
      <c r="O817" s="5"/>
      <c r="P817" s="5"/>
      <c r="Q817" s="5"/>
      <c r="R817" s="5"/>
      <c r="S817" s="5"/>
      <c r="T817" s="5"/>
      <c r="U817" s="5"/>
      <c r="V817" s="5"/>
      <c r="W817" s="5"/>
      <c r="X817" s="5"/>
      <c r="Y817" s="45" t="s">
        <v>1526</v>
      </c>
      <c r="Z817" s="1424">
        <f>SUM(Z813:AE816)</f>
        <v>18498</v>
      </c>
      <c r="AA817" s="1425"/>
      <c r="AB817" s="1425"/>
      <c r="AC817" s="1425"/>
      <c r="AD817" s="1425"/>
      <c r="AE817" s="1426"/>
      <c r="AF817"/>
      <c r="AG817"/>
      <c r="AH817"/>
      <c r="AI817"/>
      <c r="AJ817"/>
      <c r="AK817"/>
      <c r="AL817"/>
      <c r="AM817"/>
      <c r="AN817"/>
      <c r="AO817"/>
      <c r="AP817"/>
      <c r="AQ817"/>
      <c r="AR817"/>
      <c r="AS817"/>
      <c r="AT817"/>
      <c r="AU817" s="3"/>
      <c r="AV817"/>
      <c r="AW817"/>
      <c r="AX817"/>
      <c r="AY817"/>
      <c r="AZ817" s="25"/>
      <c r="BA817" s="25"/>
      <c r="BB817" s="13"/>
      <c r="BC817" s="13"/>
    </row>
    <row r="818" spans="1:55" s="4" customFormat="1" ht="13" customHeight="1">
      <c r="A818"/>
      <c r="B818"/>
      <c r="C818"/>
      <c r="D818"/>
      <c r="E818"/>
      <c r="F818"/>
      <c r="G818"/>
      <c r="H818" s="37"/>
      <c r="I818" s="5"/>
      <c r="J818" s="5"/>
      <c r="K818" s="5"/>
      <c r="L818" s="5"/>
      <c r="M818" s="5"/>
      <c r="N818" s="5"/>
      <c r="O818" s="5"/>
      <c r="P818" s="5"/>
      <c r="Q818" s="5"/>
      <c r="R818" s="5"/>
      <c r="S818" s="5"/>
      <c r="T818" s="5"/>
      <c r="U818" s="5"/>
      <c r="V818" s="5"/>
      <c r="W818" s="5"/>
      <c r="X818" s="5"/>
      <c r="Y818" s="45" t="s">
        <v>1527</v>
      </c>
      <c r="Z818" s="1424">
        <f>Z817+Y801+Z809</f>
        <v>1927806</v>
      </c>
      <c r="AA818" s="1425"/>
      <c r="AB818" s="1425"/>
      <c r="AC818" s="1425"/>
      <c r="AD818" s="1425"/>
      <c r="AE818" s="1426"/>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3"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3" customHeight="1">
      <c r="A820" s="2" t="s">
        <v>1044</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3" customHeight="1">
      <c r="A821"/>
      <c r="B821"/>
      <c r="C821" s="19" t="s">
        <v>1528</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3"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3" customHeight="1">
      <c r="A823"/>
      <c r="B823"/>
      <c r="C823" s="33"/>
      <c r="D823" s="34"/>
      <c r="E823" s="34"/>
      <c r="F823" s="34"/>
      <c r="G823" s="34"/>
      <c r="H823" s="34"/>
      <c r="I823" s="34"/>
      <c r="J823" s="34"/>
      <c r="K823" s="34"/>
      <c r="L823" s="50"/>
      <c r="M823" s="1626" t="s">
        <v>1529</v>
      </c>
      <c r="N823" s="1626"/>
      <c r="O823" s="1626"/>
      <c r="P823" s="1627"/>
      <c r="Q823" s="1563" t="s">
        <v>1530</v>
      </c>
      <c r="R823" s="1563"/>
      <c r="S823" s="1563"/>
      <c r="T823" s="1563"/>
      <c r="U823" s="1563" t="s">
        <v>1531</v>
      </c>
      <c r="V823" s="1563"/>
      <c r="W823" s="1563"/>
      <c r="X823" s="1563"/>
      <c r="Y823" s="1563" t="s">
        <v>1532</v>
      </c>
      <c r="Z823" s="1563"/>
      <c r="AA823" s="1563"/>
      <c r="AB823" s="1563"/>
      <c r="AC823" s="1563" t="s">
        <v>1533</v>
      </c>
      <c r="AD823" s="1563"/>
      <c r="AE823" s="1563"/>
      <c r="AF823" s="1563"/>
      <c r="AG823" s="1558" t="s">
        <v>1534</v>
      </c>
      <c r="AH823" s="1558"/>
      <c r="AI823" s="1558"/>
      <c r="AJ823" s="1558"/>
      <c r="AK823"/>
      <c r="AL823" s="3"/>
      <c r="AM823" s="3"/>
      <c r="AN823" s="3"/>
      <c r="AO823" s="3"/>
      <c r="AP823" s="3"/>
      <c r="AQ823" s="3"/>
      <c r="AR823" s="3"/>
      <c r="AS823" s="3"/>
      <c r="AT823" s="3"/>
      <c r="AU823" s="3"/>
      <c r="AV823" s="3"/>
      <c r="AW823" s="3"/>
      <c r="AX823" s="3"/>
      <c r="AY823" s="3"/>
      <c r="AZ823" s="25"/>
      <c r="BA823" s="25"/>
      <c r="BB823" s="13"/>
      <c r="BC823" s="13"/>
    </row>
    <row r="824" spans="1:55" s="13" customFormat="1" ht="13" customHeight="1">
      <c r="A824"/>
      <c r="B824"/>
      <c r="C824" s="39"/>
      <c r="D824" s="40"/>
      <c r="E824" s="40"/>
      <c r="F824" s="40"/>
      <c r="G824" s="40"/>
      <c r="H824" s="40"/>
      <c r="I824" s="40"/>
      <c r="J824" s="40"/>
      <c r="K824" s="40"/>
      <c r="L824" s="41"/>
      <c r="M824" s="1628"/>
      <c r="N824" s="1628"/>
      <c r="O824" s="1628"/>
      <c r="P824" s="1629"/>
      <c r="Q824" s="1563"/>
      <c r="R824" s="1563"/>
      <c r="S824" s="1563"/>
      <c r="T824" s="1563"/>
      <c r="U824" s="1563"/>
      <c r="V824" s="1563"/>
      <c r="W824" s="1563"/>
      <c r="X824" s="1563"/>
      <c r="Y824" s="1563"/>
      <c r="Z824" s="1563"/>
      <c r="AA824" s="1563"/>
      <c r="AB824" s="1563"/>
      <c r="AC824" s="1563"/>
      <c r="AD824" s="1563"/>
      <c r="AE824" s="1563"/>
      <c r="AF824" s="1563"/>
      <c r="AG824" s="1558"/>
      <c r="AH824" s="1558"/>
      <c r="AI824" s="1558"/>
      <c r="AJ824" s="1558"/>
      <c r="AK824"/>
      <c r="AL824" s="3"/>
      <c r="AM824" s="3"/>
      <c r="AN824" s="3"/>
      <c r="AO824" s="3"/>
      <c r="AP824" s="3"/>
      <c r="AQ824" s="3"/>
      <c r="AR824" s="3"/>
      <c r="AS824" s="3"/>
      <c r="AT824" s="3"/>
      <c r="AU824"/>
      <c r="AV824" s="3"/>
      <c r="AW824" s="3"/>
      <c r="AX824" s="3"/>
      <c r="AY824" s="3"/>
      <c r="AZ824" s="25"/>
      <c r="BA824" s="25"/>
    </row>
    <row r="825" spans="1:55" s="13" customFormat="1" ht="13" customHeight="1">
      <c r="A825"/>
      <c r="B825"/>
      <c r="C825" s="1545" t="s">
        <v>1535</v>
      </c>
      <c r="D825" s="1435"/>
      <c r="E825" s="1435"/>
      <c r="F825" s="1435"/>
      <c r="G825" s="1435"/>
      <c r="H825" s="1435"/>
      <c r="I825" s="40"/>
      <c r="J825" s="40"/>
      <c r="K825" s="40"/>
      <c r="L825" s="41"/>
      <c r="M825" s="1542"/>
      <c r="N825" s="1542"/>
      <c r="O825" s="1542"/>
      <c r="P825" s="1542"/>
      <c r="Q825" s="1542">
        <v>31</v>
      </c>
      <c r="R825" s="1542"/>
      <c r="S825" s="1542"/>
      <c r="T825" s="1542"/>
      <c r="U825" s="1542">
        <v>35</v>
      </c>
      <c r="V825" s="1542"/>
      <c r="W825" s="1542"/>
      <c r="X825" s="1542"/>
      <c r="Y825" s="1542">
        <v>39</v>
      </c>
      <c r="Z825" s="1542"/>
      <c r="AA825" s="1542"/>
      <c r="AB825" s="1542"/>
      <c r="AC825" s="1441"/>
      <c r="AD825" s="1442"/>
      <c r="AE825" s="1442"/>
      <c r="AF825" s="1443"/>
      <c r="AG825" s="1441"/>
      <c r="AH825" s="1442"/>
      <c r="AI825" s="1442"/>
      <c r="AJ825" s="1443"/>
      <c r="AK825"/>
      <c r="AL825" s="3"/>
      <c r="AM825" s="3"/>
      <c r="AN825" s="3"/>
      <c r="AO825" s="3"/>
      <c r="AP825" s="3"/>
      <c r="AQ825" s="3"/>
      <c r="AR825" s="3"/>
      <c r="AS825" s="3"/>
      <c r="AT825" s="3"/>
      <c r="AU825"/>
      <c r="AV825" s="3"/>
      <c r="AW825" s="3"/>
      <c r="AX825" s="3"/>
      <c r="AY825" s="3"/>
      <c r="AZ825" s="25"/>
      <c r="BA825" s="25"/>
    </row>
    <row r="826" spans="1:55" s="13" customFormat="1" ht="13" customHeight="1">
      <c r="A826"/>
      <c r="B826"/>
      <c r="C826" s="1455" t="s">
        <v>1536</v>
      </c>
      <c r="D826" s="1393"/>
      <c r="E826" s="1393"/>
      <c r="F826" s="1393"/>
      <c r="G826" s="1393"/>
      <c r="H826" s="1393"/>
      <c r="I826" s="5"/>
      <c r="J826" s="5"/>
      <c r="K826" s="5"/>
      <c r="L826" s="38"/>
      <c r="M826" s="1542"/>
      <c r="N826" s="1542"/>
      <c r="O826" s="1542"/>
      <c r="P826" s="1542"/>
      <c r="Q826" s="1542">
        <v>13</v>
      </c>
      <c r="R826" s="1542"/>
      <c r="S826" s="1542"/>
      <c r="T826" s="1542"/>
      <c r="U826" s="1542">
        <v>20</v>
      </c>
      <c r="V826" s="1542"/>
      <c r="W826" s="1542"/>
      <c r="X826" s="1542"/>
      <c r="Y826" s="1542">
        <v>24</v>
      </c>
      <c r="Z826" s="1542"/>
      <c r="AA826" s="1542"/>
      <c r="AB826" s="1542"/>
      <c r="AC826" s="1441"/>
      <c r="AD826" s="1442"/>
      <c r="AE826" s="1442"/>
      <c r="AF826" s="1443"/>
      <c r="AG826" s="1441"/>
      <c r="AH826" s="1442"/>
      <c r="AI826" s="1442"/>
      <c r="AJ826" s="1443"/>
      <c r="AK826"/>
      <c r="AL826" s="3"/>
      <c r="AM826" s="3"/>
      <c r="AN826" s="3"/>
      <c r="AO826" s="3"/>
      <c r="AP826" s="3"/>
      <c r="AQ826" s="3"/>
      <c r="AR826" s="3"/>
      <c r="AS826" s="3"/>
      <c r="AT826" s="3"/>
      <c r="AU826"/>
      <c r="AV826" s="3"/>
      <c r="AW826" s="3"/>
      <c r="AX826" s="3"/>
      <c r="AY826" s="3"/>
      <c r="AZ826" s="25"/>
      <c r="BA826" s="25"/>
    </row>
    <row r="827" spans="1:55" s="13" customFormat="1" ht="13" customHeight="1">
      <c r="A827"/>
      <c r="B827"/>
      <c r="C827" s="1455" t="s">
        <v>1537</v>
      </c>
      <c r="D827" s="1393"/>
      <c r="E827" s="1393"/>
      <c r="F827" s="1393"/>
      <c r="G827" s="1393"/>
      <c r="H827" s="1393"/>
      <c r="I827" s="52"/>
      <c r="J827" s="52"/>
      <c r="K827" s="52"/>
      <c r="L827" s="53"/>
      <c r="M827" s="1542"/>
      <c r="N827" s="1542"/>
      <c r="O827" s="1542"/>
      <c r="P827" s="1542"/>
      <c r="Q827" s="1542">
        <v>7</v>
      </c>
      <c r="R827" s="1542"/>
      <c r="S827" s="1542"/>
      <c r="T827" s="1542"/>
      <c r="U827" s="1542">
        <v>9</v>
      </c>
      <c r="V827" s="1542"/>
      <c r="W827" s="1542"/>
      <c r="X827" s="1542"/>
      <c r="Y827" s="1542">
        <v>11</v>
      </c>
      <c r="Z827" s="1542"/>
      <c r="AA827" s="1542"/>
      <c r="AB827" s="1542"/>
      <c r="AC827" s="1441"/>
      <c r="AD827" s="1442"/>
      <c r="AE827" s="1442"/>
      <c r="AF827" s="1443"/>
      <c r="AG827" s="1441"/>
      <c r="AH827" s="1442"/>
      <c r="AI827" s="1442"/>
      <c r="AJ827" s="1443"/>
      <c r="AK827"/>
      <c r="AL827" s="3"/>
      <c r="AM827" s="3"/>
      <c r="AN827" s="3"/>
      <c r="AO827" s="3"/>
      <c r="AP827" s="3"/>
      <c r="AQ827" s="3"/>
      <c r="AR827" s="3"/>
      <c r="AS827" s="3"/>
      <c r="AT827" s="3"/>
      <c r="AU827"/>
      <c r="AV827" s="3"/>
      <c r="AW827" s="3"/>
      <c r="AX827" s="3"/>
      <c r="AY827" s="3"/>
      <c r="AZ827" s="25"/>
      <c r="BA827" s="25"/>
    </row>
    <row r="828" spans="1:55" s="13" customFormat="1" ht="13" customHeight="1">
      <c r="A828"/>
      <c r="B828"/>
      <c r="C828" s="1455" t="s">
        <v>1538</v>
      </c>
      <c r="D828" s="1393"/>
      <c r="E828" s="1393"/>
      <c r="F828" s="1393"/>
      <c r="G828" s="1393"/>
      <c r="H828" s="1393"/>
      <c r="I828" s="52"/>
      <c r="J828" s="52"/>
      <c r="K828" s="52"/>
      <c r="L828" s="53"/>
      <c r="M828" s="1542"/>
      <c r="N828" s="1542"/>
      <c r="O828" s="1542"/>
      <c r="P828" s="1542"/>
      <c r="Q828" s="1542"/>
      <c r="R828" s="1542"/>
      <c r="S828" s="1542"/>
      <c r="T828" s="1542"/>
      <c r="U828" s="1542"/>
      <c r="V828" s="1542"/>
      <c r="W828" s="1542"/>
      <c r="X828" s="1542"/>
      <c r="Y828" s="1542"/>
      <c r="Z828" s="1542"/>
      <c r="AA828" s="1542"/>
      <c r="AB828" s="1542"/>
      <c r="AC828" s="1441"/>
      <c r="AD828" s="1442"/>
      <c r="AE828" s="1442"/>
      <c r="AF828" s="1443"/>
      <c r="AG828" s="1441"/>
      <c r="AH828" s="1442"/>
      <c r="AI828" s="1442"/>
      <c r="AJ828" s="1443"/>
      <c r="AK828"/>
      <c r="AL828" s="3"/>
      <c r="AM828" s="3"/>
      <c r="AN828" s="3"/>
      <c r="AO828" s="3"/>
      <c r="AP828" s="3"/>
      <c r="AQ828" s="3"/>
      <c r="AR828" s="3"/>
      <c r="AS828" s="3"/>
      <c r="AT828" s="3"/>
      <c r="AU828"/>
      <c r="AV828" s="3"/>
      <c r="AW828" s="3"/>
      <c r="AX828" s="3"/>
      <c r="AY828" s="3"/>
      <c r="AZ828" s="25"/>
      <c r="BA828" s="25"/>
    </row>
    <row r="829" spans="1:55" s="13" customFormat="1" ht="13" customHeight="1">
      <c r="A829"/>
      <c r="B829"/>
      <c r="C829" s="1455" t="s">
        <v>1539</v>
      </c>
      <c r="D829" s="1393"/>
      <c r="E829" s="1393"/>
      <c r="F829" s="1393"/>
      <c r="G829" s="1393"/>
      <c r="H829" s="1393"/>
      <c r="I829" s="52"/>
      <c r="J829" s="52"/>
      <c r="K829" s="52"/>
      <c r="L829" s="53"/>
      <c r="M829" s="1542"/>
      <c r="N829" s="1542"/>
      <c r="O829" s="1542"/>
      <c r="P829" s="1542"/>
      <c r="Q829" s="1542">
        <v>27</v>
      </c>
      <c r="R829" s="1542"/>
      <c r="S829" s="1542"/>
      <c r="T829" s="1542"/>
      <c r="U829" s="1542">
        <v>41</v>
      </c>
      <c r="V829" s="1542"/>
      <c r="W829" s="1542"/>
      <c r="X829" s="1542"/>
      <c r="Y829" s="1542">
        <v>56</v>
      </c>
      <c r="Z829" s="1542"/>
      <c r="AA829" s="1542"/>
      <c r="AB829" s="1542"/>
      <c r="AC829" s="1441"/>
      <c r="AD829" s="1442"/>
      <c r="AE829" s="1442"/>
      <c r="AF829" s="1443"/>
      <c r="AG829" s="1441"/>
      <c r="AH829" s="1442"/>
      <c r="AI829" s="1442"/>
      <c r="AJ829" s="1443"/>
      <c r="AK829"/>
      <c r="AL829" s="3"/>
      <c r="AM829" s="3"/>
      <c r="AN829" s="3"/>
      <c r="AO829" s="3"/>
      <c r="AP829" s="3"/>
      <c r="AQ829" s="3"/>
      <c r="AR829" s="3"/>
      <c r="AS829" s="3"/>
      <c r="AT829" s="3"/>
      <c r="AU829"/>
      <c r="AV829" s="3"/>
      <c r="AW829" s="3"/>
      <c r="AX829" s="3"/>
      <c r="AY829" s="3"/>
      <c r="AZ829" s="25"/>
      <c r="BA829" s="25"/>
    </row>
    <row r="830" spans="1:55" s="13" customFormat="1" ht="13" customHeight="1">
      <c r="A830"/>
      <c r="B830"/>
      <c r="C830" s="1370" t="s">
        <v>1540</v>
      </c>
      <c r="D830" s="1393"/>
      <c r="E830" s="1393"/>
      <c r="F830" s="1393"/>
      <c r="G830" s="1393"/>
      <c r="H830" s="1393"/>
      <c r="I830" s="52"/>
      <c r="J830" s="52"/>
      <c r="K830" s="52"/>
      <c r="L830" s="53"/>
      <c r="M830" s="1542"/>
      <c r="N830" s="1542"/>
      <c r="O830" s="1542"/>
      <c r="P830" s="1542"/>
      <c r="Q830" s="1542"/>
      <c r="R830" s="1542"/>
      <c r="S830" s="1542"/>
      <c r="T830" s="1542"/>
      <c r="U830" s="1542"/>
      <c r="V830" s="1542"/>
      <c r="W830" s="1542"/>
      <c r="X830" s="1542"/>
      <c r="Y830" s="1542"/>
      <c r="Z830" s="1542"/>
      <c r="AA830" s="1542"/>
      <c r="AB830" s="1542"/>
      <c r="AC830" s="1441"/>
      <c r="AD830" s="1442"/>
      <c r="AE830" s="1442"/>
      <c r="AF830" s="1443"/>
      <c r="AG830" s="1441"/>
      <c r="AH830" s="1442"/>
      <c r="AI830" s="1442"/>
      <c r="AJ830" s="1443"/>
      <c r="AK830"/>
      <c r="AL830" s="3"/>
      <c r="AM830" s="3"/>
      <c r="AN830" s="3"/>
      <c r="AO830" s="3"/>
      <c r="AP830" s="3"/>
      <c r="AQ830" s="3"/>
      <c r="AR830" s="3"/>
      <c r="AS830" s="3"/>
      <c r="AT830" s="3"/>
      <c r="AU830"/>
      <c r="AV830" s="3"/>
      <c r="AW830" s="3"/>
      <c r="AX830" s="3"/>
      <c r="AY830" s="3"/>
      <c r="AZ830" s="25"/>
      <c r="BA830" s="25"/>
    </row>
    <row r="831" spans="1:55" s="13" customFormat="1" ht="13" customHeight="1">
      <c r="A831"/>
      <c r="B831"/>
      <c r="C831" s="51" t="s">
        <v>1541</v>
      </c>
      <c r="D831" s="52"/>
      <c r="E831" s="52"/>
      <c r="F831" s="1583" t="s">
        <v>2745</v>
      </c>
      <c r="G831" s="1584"/>
      <c r="H831" s="1584"/>
      <c r="I831" s="1584"/>
      <c r="J831" s="1584"/>
      <c r="K831" s="1584"/>
      <c r="L831" s="1584"/>
      <c r="M831" s="1542"/>
      <c r="N831" s="1542"/>
      <c r="O831" s="1542"/>
      <c r="P831" s="1542"/>
      <c r="Q831" s="1542">
        <v>-7</v>
      </c>
      <c r="R831" s="1542"/>
      <c r="S831" s="1542"/>
      <c r="T831" s="1542"/>
      <c r="U831" s="1542">
        <v>-7</v>
      </c>
      <c r="V831" s="1542"/>
      <c r="W831" s="1542"/>
      <c r="X831" s="1542"/>
      <c r="Y831" s="1542">
        <v>-7</v>
      </c>
      <c r="Z831" s="1542"/>
      <c r="AA831" s="1542"/>
      <c r="AB831" s="1542"/>
      <c r="AC831" s="1441"/>
      <c r="AD831" s="1442"/>
      <c r="AE831" s="1442"/>
      <c r="AF831" s="1443"/>
      <c r="AG831" s="1441"/>
      <c r="AH831" s="1442"/>
      <c r="AI831" s="1442"/>
      <c r="AJ831" s="1443"/>
      <c r="AK831"/>
      <c r="AL831" s="3"/>
      <c r="AM831" s="3"/>
      <c r="AN831" s="3"/>
      <c r="AO831" s="3"/>
      <c r="AP831" s="3"/>
      <c r="AQ831" s="3"/>
      <c r="AR831" s="3"/>
      <c r="AS831" s="3"/>
      <c r="AT831" s="3"/>
      <c r="AU831"/>
      <c r="AV831" s="3"/>
      <c r="AW831" s="3"/>
      <c r="AX831" s="3"/>
      <c r="AY831" s="3"/>
      <c r="AZ831" s="25"/>
      <c r="BA831" s="25"/>
    </row>
    <row r="832" spans="1:55" s="13" customFormat="1" ht="13" customHeight="1">
      <c r="A832"/>
      <c r="B832"/>
      <c r="C832" s="1360" t="s">
        <v>1488</v>
      </c>
      <c r="D832" s="1361"/>
      <c r="E832" s="1361"/>
      <c r="F832" s="1361"/>
      <c r="G832" s="1361"/>
      <c r="H832" s="1361"/>
      <c r="I832" s="1361"/>
      <c r="J832" s="1361"/>
      <c r="K832" s="1361"/>
      <c r="L832" s="1363"/>
      <c r="M832" s="1590">
        <f>SUM(M825:P831)</f>
        <v>0</v>
      </c>
      <c r="N832" s="1590"/>
      <c r="O832" s="1590"/>
      <c r="P832" s="1590"/>
      <c r="Q832" s="1590">
        <f>SUM(Q825:T831)</f>
        <v>71</v>
      </c>
      <c r="R832" s="1590"/>
      <c r="S832" s="1590"/>
      <c r="T832" s="1590"/>
      <c r="U832" s="1590">
        <f>SUM(U825:X831)</f>
        <v>98</v>
      </c>
      <c r="V832" s="1590"/>
      <c r="W832" s="1590"/>
      <c r="X832" s="1590"/>
      <c r="Y832" s="1590">
        <f>SUM(Y825:AB831)</f>
        <v>123</v>
      </c>
      <c r="Z832" s="1590"/>
      <c r="AA832" s="1590"/>
      <c r="AB832" s="1590"/>
      <c r="AC832" s="1590">
        <f>SUM(AC825:AF831)</f>
        <v>0</v>
      </c>
      <c r="AD832" s="1590"/>
      <c r="AE832" s="1590"/>
      <c r="AF832" s="1590"/>
      <c r="AG832" s="1590">
        <f>SUM(AG825:AJ831)</f>
        <v>0</v>
      </c>
      <c r="AH832" s="1590"/>
      <c r="AI832" s="1590"/>
      <c r="AJ832" s="1590"/>
      <c r="AK832"/>
      <c r="AL832" s="3"/>
      <c r="AM832" s="3"/>
      <c r="AN832" s="3"/>
      <c r="AO832" s="3"/>
      <c r="AP832" s="3"/>
      <c r="AQ832" s="3"/>
      <c r="AR832" s="3"/>
      <c r="AS832" s="3"/>
      <c r="AT832" s="3"/>
      <c r="AU832"/>
      <c r="AV832" s="3"/>
      <c r="AW832" s="3"/>
      <c r="AX832" s="3"/>
      <c r="AY832" s="3"/>
      <c r="AZ832" s="25"/>
      <c r="BA832" s="25"/>
    </row>
    <row r="833" spans="1:64" s="13" customFormat="1" ht="13" customHeight="1">
      <c r="A833"/>
      <c r="B833"/>
      <c r="C833" s="49" t="s">
        <v>1542</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3" customHeight="1">
      <c r="A834"/>
      <c r="B834"/>
      <c r="C834" s="49" t="s">
        <v>1543</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3"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3" customHeight="1">
      <c r="A836"/>
      <c r="B836"/>
      <c r="C836" s="2" t="s">
        <v>1544</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3" customHeight="1">
      <c r="A837"/>
      <c r="B837"/>
      <c r="C837" s="1596" t="s">
        <v>2746</v>
      </c>
      <c r="D837" s="1597"/>
      <c r="E837" s="1597"/>
      <c r="F837" s="1597"/>
      <c r="G837" s="1597"/>
      <c r="H837" s="1597"/>
      <c r="I837" s="1597"/>
      <c r="J837" s="1597"/>
      <c r="K837" s="1597"/>
      <c r="L837" s="1597"/>
      <c r="M837" s="1597"/>
      <c r="N837" s="1597"/>
      <c r="O837" s="1597"/>
      <c r="P837" s="1597"/>
      <c r="Q837" s="1597"/>
      <c r="R837" s="1597"/>
      <c r="S837" s="1597"/>
      <c r="T837" s="1597"/>
      <c r="U837" s="1597"/>
      <c r="V837" s="1597"/>
      <c r="W837" s="1597"/>
      <c r="X837" s="1597"/>
      <c r="Y837" s="1597"/>
      <c r="Z837" s="1597"/>
      <c r="AA837" s="1597"/>
      <c r="AB837" s="1597"/>
      <c r="AC837" s="1597"/>
      <c r="AD837" s="1597"/>
      <c r="AE837" s="1597"/>
      <c r="AF837" s="1597"/>
      <c r="AG837" s="1597"/>
      <c r="AH837" s="1597"/>
      <c r="AI837" s="1597"/>
      <c r="AJ837" s="1598"/>
      <c r="AK837"/>
      <c r="AL837" s="3"/>
      <c r="AM837" s="3"/>
      <c r="AN837" s="3"/>
      <c r="AO837" s="3"/>
      <c r="AP837" s="3"/>
      <c r="AQ837" s="3"/>
      <c r="AR837" s="3"/>
      <c r="AS837" s="3"/>
      <c r="AT837" s="3"/>
      <c r="AU837"/>
      <c r="AV837"/>
      <c r="AW837"/>
      <c r="AX837"/>
      <c r="AY837"/>
      <c r="AZ837" s="25"/>
      <c r="BA837" s="25"/>
    </row>
    <row r="838" spans="1:64" s="13" customFormat="1" ht="13" customHeight="1">
      <c r="A838"/>
      <c r="B838" s="3"/>
      <c r="C838" s="3" t="s">
        <v>1545</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3" customHeight="1">
      <c r="A840" s="2" t="s">
        <v>1101</v>
      </c>
      <c r="B840"/>
      <c r="C840" s="2" t="s">
        <v>1546</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3"/>
      <c r="BJ841" s="1603"/>
      <c r="BK841" s="1603"/>
      <c r="BL841" s="1603"/>
    </row>
    <row r="842" spans="1:64" s="13" customFormat="1" ht="13" customHeight="1">
      <c r="A842"/>
      <c r="B842"/>
      <c r="C842" s="2" t="s">
        <v>1547</v>
      </c>
      <c r="D842"/>
      <c r="E842"/>
      <c r="F842"/>
      <c r="G842"/>
      <c r="H842"/>
      <c r="I842"/>
      <c r="J842" s="37" t="s">
        <v>1548</v>
      </c>
      <c r="K842" s="5"/>
      <c r="L842" s="5"/>
      <c r="M842" s="5"/>
      <c r="N842" s="5"/>
      <c r="O842" s="5"/>
      <c r="P842" s="5"/>
      <c r="Q842" s="5"/>
      <c r="R842" s="5"/>
      <c r="S842" s="5"/>
      <c r="T842" s="5"/>
      <c r="U842" s="5"/>
      <c r="V842" s="38"/>
      <c r="W842" s="1579">
        <v>1500</v>
      </c>
      <c r="X842" s="1579"/>
      <c r="Y842" s="1579"/>
      <c r="Z842" s="1579"/>
      <c r="AA842" s="1579"/>
      <c r="AB842" s="1579"/>
      <c r="AC842" s="1579"/>
      <c r="AD842"/>
      <c r="AE842"/>
      <c r="AF842"/>
      <c r="AG842"/>
      <c r="AH842"/>
      <c r="AI842"/>
      <c r="AJ842"/>
      <c r="AK842"/>
      <c r="AL842"/>
      <c r="AM842"/>
      <c r="AN842"/>
      <c r="AO842"/>
      <c r="AP842"/>
      <c r="AQ842"/>
      <c r="AR842"/>
      <c r="AS842"/>
      <c r="AT842"/>
      <c r="AU842"/>
      <c r="AV842"/>
      <c r="AW842"/>
      <c r="AX842"/>
      <c r="AY842"/>
      <c r="AZ842" s="25"/>
      <c r="BA842" s="25"/>
    </row>
    <row r="843" spans="1:64" s="13" customFormat="1" ht="13" customHeight="1">
      <c r="A843"/>
      <c r="B843"/>
      <c r="C843"/>
      <c r="D843"/>
      <c r="E843"/>
      <c r="F843"/>
      <c r="G843"/>
      <c r="H843"/>
      <c r="I843"/>
      <c r="J843" s="37" t="s">
        <v>1549</v>
      </c>
      <c r="K843" s="5"/>
      <c r="L843" s="5"/>
      <c r="M843" s="5"/>
      <c r="N843" s="5"/>
      <c r="O843" s="5"/>
      <c r="P843" s="5"/>
      <c r="Q843" s="5"/>
      <c r="R843" s="5"/>
      <c r="S843" s="5"/>
      <c r="T843" s="5"/>
      <c r="U843" s="5"/>
      <c r="V843" s="38"/>
      <c r="W843" s="1579">
        <v>12500</v>
      </c>
      <c r="X843" s="1579"/>
      <c r="Y843" s="1579"/>
      <c r="Z843" s="1579"/>
      <c r="AA843" s="1579"/>
      <c r="AB843" s="1579"/>
      <c r="AC843" s="1579"/>
      <c r="AD843"/>
      <c r="AE843"/>
      <c r="AF843"/>
      <c r="AG843"/>
      <c r="AH843"/>
      <c r="AI843"/>
      <c r="AJ843"/>
      <c r="AK843"/>
      <c r="AL843"/>
      <c r="AM843"/>
      <c r="AN843"/>
      <c r="AO843"/>
      <c r="AP843"/>
      <c r="AQ843"/>
      <c r="AR843"/>
      <c r="AS843"/>
      <c r="AT843"/>
      <c r="AU843"/>
      <c r="AV843"/>
      <c r="AW843"/>
      <c r="AX843"/>
      <c r="AY843"/>
      <c r="AZ843" s="25"/>
      <c r="BA843" s="25"/>
    </row>
    <row r="844" spans="1:64" ht="13" customHeight="1">
      <c r="J844" s="37" t="s">
        <v>1550</v>
      </c>
      <c r="K844" s="5"/>
      <c r="L844" s="5"/>
      <c r="M844" s="5"/>
      <c r="N844" s="5"/>
      <c r="O844" s="5"/>
      <c r="P844" s="5"/>
      <c r="Q844" s="5"/>
      <c r="R844" s="5"/>
      <c r="S844" s="5"/>
      <c r="T844" s="5"/>
      <c r="U844" s="5"/>
      <c r="V844" s="38"/>
      <c r="W844" s="1579">
        <v>22274</v>
      </c>
      <c r="X844" s="1579"/>
      <c r="Y844" s="1579"/>
      <c r="Z844" s="1579"/>
      <c r="AA844" s="1579"/>
      <c r="AB844" s="1579"/>
      <c r="AC844" s="1579"/>
      <c r="AZ844" s="25"/>
      <c r="BA844" s="25"/>
      <c r="BB844" s="13"/>
      <c r="BC844" s="13"/>
      <c r="BD844" s="13"/>
      <c r="BE844" s="13"/>
      <c r="BF844" s="13"/>
      <c r="BG844" s="13"/>
      <c r="BH844" s="13"/>
      <c r="BI844" s="13"/>
      <c r="BJ844" s="13"/>
      <c r="BK844" s="13"/>
      <c r="BL844" s="13"/>
    </row>
    <row r="845" spans="1:64" ht="13" customHeight="1">
      <c r="J845" s="37" t="s">
        <v>1551</v>
      </c>
      <c r="K845" s="5"/>
      <c r="L845" s="5"/>
      <c r="M845" s="5"/>
      <c r="N845" s="5"/>
      <c r="O845" s="5"/>
      <c r="P845" s="5"/>
      <c r="Q845" s="5"/>
      <c r="R845" s="5"/>
      <c r="S845" s="5"/>
      <c r="T845" s="5"/>
      <c r="U845" s="5"/>
      <c r="V845" s="38"/>
      <c r="W845" s="1579">
        <v>6600</v>
      </c>
      <c r="X845" s="1579"/>
      <c r="Y845" s="1579"/>
      <c r="Z845" s="1579"/>
      <c r="AA845" s="1579"/>
      <c r="AB845" s="1579"/>
      <c r="AC845" s="1579"/>
      <c r="AZ845" s="25"/>
      <c r="BA845" s="25"/>
      <c r="BB845" s="13"/>
      <c r="BC845" s="13"/>
      <c r="BD845" s="13"/>
      <c r="BE845" s="13"/>
      <c r="BF845" s="13"/>
      <c r="BG845" s="13"/>
      <c r="BH845" s="13"/>
      <c r="BI845" s="13"/>
      <c r="BJ845" s="13"/>
      <c r="BK845" s="13"/>
      <c r="BL845" s="13"/>
    </row>
    <row r="846" spans="1:64" ht="13" customHeight="1">
      <c r="J846" s="37" t="s">
        <v>233</v>
      </c>
      <c r="K846" s="5"/>
      <c r="L846" s="5"/>
      <c r="M846" s="1583" t="s">
        <v>2747</v>
      </c>
      <c r="N846" s="1584"/>
      <c r="O846" s="1584"/>
      <c r="P846" s="1584"/>
      <c r="Q846" s="1584"/>
      <c r="R846" s="1584"/>
      <c r="S846" s="1584"/>
      <c r="T846" s="1584"/>
      <c r="U846" s="1584"/>
      <c r="V846" s="1585"/>
      <c r="W846" s="1579">
        <v>72214</v>
      </c>
      <c r="X846" s="1579"/>
      <c r="Y846" s="1579"/>
      <c r="Z846" s="1579"/>
      <c r="AA846" s="1579"/>
      <c r="AB846" s="1579"/>
      <c r="AC846" s="1579"/>
      <c r="AZ846" s="25"/>
      <c r="BA846" s="25"/>
      <c r="BB846" s="13"/>
      <c r="BC846" s="13"/>
      <c r="BD846" s="13"/>
      <c r="BE846" s="13"/>
      <c r="BF846" s="13"/>
      <c r="BG846" s="13"/>
      <c r="BH846" s="13"/>
      <c r="BI846" s="13"/>
      <c r="BJ846" s="13"/>
      <c r="BK846" s="13"/>
      <c r="BL846" s="13"/>
    </row>
    <row r="847" spans="1:64" ht="13" customHeight="1">
      <c r="J847" s="37"/>
      <c r="K847" s="5"/>
      <c r="L847" s="5"/>
      <c r="M847" s="5"/>
      <c r="N847" s="5"/>
      <c r="O847" s="5"/>
      <c r="P847" s="5"/>
      <c r="Q847" s="5"/>
      <c r="R847" s="5"/>
      <c r="S847" s="5"/>
      <c r="T847" s="5"/>
      <c r="U847" s="5"/>
      <c r="V847" s="46" t="s">
        <v>1552</v>
      </c>
      <c r="W847" s="1424">
        <f>SUM(W842:W846)</f>
        <v>115088</v>
      </c>
      <c r="X847" s="1425"/>
      <c r="Y847" s="1425"/>
      <c r="Z847" s="1425"/>
      <c r="AA847" s="1425"/>
      <c r="AB847" s="1425"/>
      <c r="AC847" s="1426"/>
      <c r="AZ847" s="25"/>
      <c r="BA847" s="25"/>
      <c r="BB847" s="13"/>
      <c r="BC847" s="13"/>
      <c r="BD847" s="13"/>
      <c r="BE847" s="13"/>
      <c r="BF847" s="13"/>
      <c r="BG847" s="13"/>
      <c r="BH847" s="13"/>
      <c r="BI847" s="13"/>
      <c r="BJ847" s="13"/>
      <c r="BK847" s="13"/>
      <c r="BL847" s="13"/>
    </row>
    <row r="848" spans="1:64" ht="13" customHeight="1">
      <c r="AZ848" s="25"/>
      <c r="BA848" s="25"/>
      <c r="BB848" s="13"/>
      <c r="BC848" s="13"/>
      <c r="BD848" s="13"/>
      <c r="BE848" s="13"/>
      <c r="BF848" s="13"/>
      <c r="BG848" s="1575"/>
      <c r="BH848" s="1575"/>
      <c r="BI848" s="1575"/>
      <c r="BJ848" s="1575"/>
      <c r="BK848" s="1575"/>
      <c r="BL848" s="1575"/>
    </row>
    <row r="849" spans="3:55" ht="13" customHeight="1">
      <c r="C849" s="2" t="s">
        <v>1553</v>
      </c>
      <c r="J849" s="1360" t="s">
        <v>1554</v>
      </c>
      <c r="K849" s="1361"/>
      <c r="L849" s="1361"/>
      <c r="M849" s="1361"/>
      <c r="N849" s="1361"/>
      <c r="O849" s="1361"/>
      <c r="P849" s="1361"/>
      <c r="Q849" s="1361"/>
      <c r="R849" s="1361"/>
      <c r="S849" s="1361"/>
      <c r="T849" s="1361"/>
      <c r="U849" s="1361"/>
      <c r="V849" s="1363"/>
      <c r="W849" s="1427">
        <v>76788</v>
      </c>
      <c r="X849" s="1299"/>
      <c r="Y849" s="1299"/>
      <c r="Z849" s="1299"/>
      <c r="AA849" s="1299"/>
      <c r="AB849" s="1299"/>
      <c r="AC849" s="1300"/>
      <c r="AD849" s="432"/>
      <c r="AZ849" s="25"/>
      <c r="BA849" s="25"/>
      <c r="BB849" s="13"/>
      <c r="BC849" s="13"/>
    </row>
    <row r="850" spans="3:55" ht="13" customHeight="1">
      <c r="AD850" s="432"/>
      <c r="AZ850" s="25"/>
      <c r="BA850" s="25"/>
      <c r="BB850" s="13"/>
      <c r="BC850" s="13"/>
    </row>
    <row r="851" spans="3:55" ht="13" customHeight="1">
      <c r="C851" s="2" t="s">
        <v>230</v>
      </c>
      <c r="J851" s="37" t="s">
        <v>1555</v>
      </c>
      <c r="K851" s="5"/>
      <c r="L851" s="5"/>
      <c r="M851" s="5"/>
      <c r="N851" s="5"/>
      <c r="O851" s="5"/>
      <c r="P851" s="5"/>
      <c r="Q851" s="5"/>
      <c r="R851" s="5"/>
      <c r="S851" s="5"/>
      <c r="T851" s="5"/>
      <c r="U851" s="5"/>
      <c r="V851" s="38"/>
      <c r="W851" s="1594"/>
      <c r="X851" s="1594"/>
      <c r="Y851" s="1594"/>
      <c r="Z851" s="1594"/>
      <c r="AA851" s="1594"/>
      <c r="AB851" s="1594"/>
      <c r="AC851" s="1594"/>
      <c r="AZ851" s="1562"/>
      <c r="BA851" s="1562"/>
      <c r="BB851" s="13"/>
      <c r="BC851" s="13"/>
    </row>
    <row r="852" spans="3:55" ht="13" customHeight="1">
      <c r="J852" s="37" t="s">
        <v>1556</v>
      </c>
      <c r="K852" s="5"/>
      <c r="L852" s="5"/>
      <c r="M852" s="5"/>
      <c r="N852" s="5"/>
      <c r="O852" s="5"/>
      <c r="P852" s="5"/>
      <c r="Q852" s="5"/>
      <c r="R852" s="5"/>
      <c r="S852" s="5"/>
      <c r="T852" s="5"/>
      <c r="U852" s="5"/>
      <c r="V852" s="38"/>
      <c r="W852" s="1594">
        <v>3696</v>
      </c>
      <c r="X852" s="1594"/>
      <c r="Y852" s="1594"/>
      <c r="Z852" s="1594"/>
      <c r="AA852" s="1594"/>
      <c r="AB852" s="1594"/>
      <c r="AC852" s="1594"/>
      <c r="AZ852" s="25"/>
      <c r="BA852" s="25"/>
      <c r="BB852" s="13"/>
      <c r="BC852" s="13"/>
    </row>
    <row r="853" spans="3:55" ht="13" customHeight="1">
      <c r="J853" s="37" t="s">
        <v>1539</v>
      </c>
      <c r="K853" s="5"/>
      <c r="L853" s="5"/>
      <c r="M853" s="5"/>
      <c r="N853" s="5"/>
      <c r="O853" s="5"/>
      <c r="P853" s="5"/>
      <c r="Q853" s="5"/>
      <c r="R853" s="5"/>
      <c r="S853" s="5"/>
      <c r="T853" s="5"/>
      <c r="U853" s="5"/>
      <c r="V853" s="38"/>
      <c r="W853" s="1594">
        <v>18780</v>
      </c>
      <c r="X853" s="1594"/>
      <c r="Y853" s="1594"/>
      <c r="Z853" s="1594"/>
      <c r="AA853" s="1594"/>
      <c r="AB853" s="1594"/>
      <c r="AC853" s="1594"/>
      <c r="AZ853" s="25"/>
      <c r="BA853" s="25"/>
      <c r="BB853" s="13"/>
      <c r="BC853" s="13"/>
    </row>
    <row r="854" spans="3:55" ht="13" customHeight="1">
      <c r="J854" s="1174" t="s">
        <v>1557</v>
      </c>
      <c r="K854" s="5"/>
      <c r="L854" s="5"/>
      <c r="M854" s="5"/>
      <c r="N854" s="5"/>
      <c r="O854" s="5"/>
      <c r="P854" s="5"/>
      <c r="Q854" s="5"/>
      <c r="R854" s="5"/>
      <c r="S854" s="5"/>
      <c r="T854" s="5"/>
      <c r="U854" s="5"/>
      <c r="V854" s="38"/>
      <c r="W854" s="1594">
        <v>107185</v>
      </c>
      <c r="X854" s="1594"/>
      <c r="Y854" s="1594"/>
      <c r="Z854" s="1594"/>
      <c r="AA854" s="1594"/>
      <c r="AB854" s="1594"/>
      <c r="AC854" s="1594"/>
      <c r="AZ854" s="3"/>
      <c r="BA854" s="3"/>
      <c r="BB854" s="3"/>
      <c r="BC854" s="3"/>
    </row>
    <row r="855" spans="3:55" ht="13" customHeight="1">
      <c r="J855" s="54"/>
      <c r="K855" s="40"/>
      <c r="L855" s="40"/>
      <c r="M855" s="40"/>
      <c r="N855" s="40"/>
      <c r="O855" s="40"/>
      <c r="P855" s="40"/>
      <c r="Q855" s="40"/>
      <c r="R855" s="40"/>
      <c r="S855" s="40"/>
      <c r="T855" s="40"/>
      <c r="U855" s="40"/>
      <c r="V855" s="46" t="s">
        <v>1558</v>
      </c>
      <c r="W855" s="1595">
        <f>SUM(W851:W854)</f>
        <v>129661</v>
      </c>
      <c r="X855" s="1595"/>
      <c r="Y855" s="1595"/>
      <c r="Z855" s="1595"/>
      <c r="AA855" s="1595"/>
      <c r="AB855" s="1595"/>
      <c r="AC855" s="1595"/>
      <c r="AZ855" s="3"/>
      <c r="BA855" s="3"/>
      <c r="BB855" s="3"/>
      <c r="BC855" s="3"/>
    </row>
    <row r="856" spans="3:55" ht="13" customHeight="1">
      <c r="AZ856" s="3"/>
      <c r="BA856" s="3"/>
      <c r="BB856" s="3"/>
      <c r="BC856" s="3"/>
    </row>
    <row r="857" spans="3:55" ht="13" customHeight="1">
      <c r="C857" s="2" t="s">
        <v>1559</v>
      </c>
      <c r="J857" s="37" t="s">
        <v>1560</v>
      </c>
      <c r="K857" s="5"/>
      <c r="L857" s="5"/>
      <c r="M857" s="5"/>
      <c r="N857" s="5"/>
      <c r="O857" s="5"/>
      <c r="P857" s="5"/>
      <c r="Q857" s="5"/>
      <c r="R857" s="5"/>
      <c r="S857" s="5"/>
      <c r="T857" s="5"/>
      <c r="U857" s="5"/>
      <c r="V857" s="38"/>
      <c r="W857" s="1591">
        <v>130515</v>
      </c>
      <c r="X857" s="1592"/>
      <c r="Y857" s="1592"/>
      <c r="Z857" s="1592"/>
      <c r="AA857" s="1592"/>
      <c r="AB857" s="1592"/>
      <c r="AC857" s="1593"/>
      <c r="AD857" s="427"/>
      <c r="AZ857" s="3"/>
      <c r="BA857" s="3"/>
      <c r="BB857" s="3"/>
      <c r="BC857" s="3"/>
    </row>
    <row r="858" spans="3:55" ht="13" customHeight="1">
      <c r="C858" s="2" t="s">
        <v>1561</v>
      </c>
      <c r="J858" s="87" t="s">
        <v>1562</v>
      </c>
      <c r="K858" s="5"/>
      <c r="L858" s="5"/>
      <c r="M858" s="5"/>
      <c r="N858" s="5"/>
      <c r="O858" s="5"/>
      <c r="P858" s="5"/>
      <c r="Q858" s="5"/>
      <c r="R858" s="5"/>
      <c r="S858" s="5"/>
      <c r="T858" s="1577">
        <v>2</v>
      </c>
      <c r="U858" s="1541"/>
      <c r="V858" s="1578"/>
      <c r="W858" s="772"/>
      <c r="X858" s="773"/>
      <c r="Y858" s="773"/>
      <c r="Z858" s="773"/>
      <c r="AA858" s="773"/>
      <c r="AB858" s="773"/>
      <c r="AC858" s="774"/>
      <c r="AD858" s="427"/>
      <c r="AZ858" s="3"/>
      <c r="BA858" s="3"/>
      <c r="BB858" s="3"/>
      <c r="BC858" s="3"/>
    </row>
    <row r="859" spans="3:55" ht="13" customHeight="1">
      <c r="C859" s="2"/>
      <c r="J859" s="37" t="s">
        <v>1563</v>
      </c>
      <c r="K859" s="5"/>
      <c r="L859" s="5"/>
      <c r="M859" s="5"/>
      <c r="N859" s="5"/>
      <c r="O859" s="5"/>
      <c r="P859" s="5"/>
      <c r="Q859" s="5"/>
      <c r="R859" s="5"/>
      <c r="S859" s="5"/>
      <c r="T859" s="5"/>
      <c r="U859" s="5"/>
      <c r="V859" s="38"/>
      <c r="W859" s="1591">
        <v>87927</v>
      </c>
      <c r="X859" s="1592"/>
      <c r="Y859" s="1592"/>
      <c r="Z859" s="1592"/>
      <c r="AA859" s="1592"/>
      <c r="AB859" s="1592"/>
      <c r="AC859" s="1593"/>
      <c r="AD859" s="432"/>
      <c r="AZ859" s="3"/>
      <c r="BA859" s="3"/>
      <c r="BB859" s="3"/>
      <c r="BC859" s="3"/>
    </row>
    <row r="860" spans="3:55" ht="13" customHeight="1">
      <c r="C860" s="2"/>
      <c r="J860" s="87" t="s">
        <v>1564</v>
      </c>
      <c r="K860" s="5"/>
      <c r="L860" s="5"/>
      <c r="M860" s="5"/>
      <c r="N860" s="5"/>
      <c r="O860" s="5"/>
      <c r="P860" s="5"/>
      <c r="Q860" s="5"/>
      <c r="R860" s="5"/>
      <c r="S860" s="5"/>
      <c r="T860" s="1577"/>
      <c r="U860" s="1541"/>
      <c r="V860" s="1578"/>
      <c r="W860" s="772"/>
      <c r="X860" s="773"/>
      <c r="Y860" s="773"/>
      <c r="Z860" s="773"/>
      <c r="AA860" s="773"/>
      <c r="AB860" s="773"/>
      <c r="AC860" s="774"/>
      <c r="AD860" s="432"/>
      <c r="AZ860" s="3"/>
      <c r="BA860" s="3"/>
      <c r="BB860" s="3"/>
      <c r="BC860" s="3"/>
    </row>
    <row r="861" spans="3:55" ht="13" customHeight="1">
      <c r="J861" s="37" t="s">
        <v>233</v>
      </c>
      <c r="K861" s="5"/>
      <c r="L861" s="5"/>
      <c r="M861" s="1583" t="s">
        <v>2748</v>
      </c>
      <c r="N861" s="1584"/>
      <c r="O861" s="1584"/>
      <c r="P861" s="1584"/>
      <c r="Q861" s="1584"/>
      <c r="R861" s="1584"/>
      <c r="S861" s="1584"/>
      <c r="T861" s="1584"/>
      <c r="U861" s="1584"/>
      <c r="V861" s="1585"/>
      <c r="W861" s="1591">
        <v>25009</v>
      </c>
      <c r="X861" s="1592"/>
      <c r="Y861" s="1592"/>
      <c r="Z861" s="1592"/>
      <c r="AA861" s="1592"/>
      <c r="AB861" s="1592"/>
      <c r="AC861" s="1593"/>
      <c r="AD861" s="427"/>
      <c r="AU861" s="13"/>
      <c r="AZ861" s="3"/>
      <c r="BA861" s="3"/>
      <c r="BB861" s="3"/>
      <c r="BC861" s="3"/>
    </row>
    <row r="862" spans="3:55" ht="13" customHeight="1">
      <c r="J862" s="37"/>
      <c r="K862" s="5"/>
      <c r="L862" s="5"/>
      <c r="M862" s="5"/>
      <c r="N862" s="5"/>
      <c r="O862" s="5"/>
      <c r="P862" s="5"/>
      <c r="Q862" s="5"/>
      <c r="R862" s="5"/>
      <c r="S862" s="5"/>
      <c r="T862" s="5"/>
      <c r="U862" s="5"/>
      <c r="V862" s="46" t="s">
        <v>1565</v>
      </c>
      <c r="W862" s="1580">
        <f>SUM(W857:W861)</f>
        <v>243451</v>
      </c>
      <c r="X862" s="1581"/>
      <c r="Y862" s="1581"/>
      <c r="Z862" s="1581"/>
      <c r="AA862" s="1581"/>
      <c r="AB862" s="1581"/>
      <c r="AC862" s="1582"/>
      <c r="AD862" s="432"/>
      <c r="AU862" s="13"/>
      <c r="AZ862" s="3"/>
      <c r="BA862" s="3"/>
      <c r="BB862" s="3"/>
      <c r="BC862" s="3"/>
    </row>
    <row r="863" spans="3:55" ht="13" customHeight="1">
      <c r="J863" s="37"/>
      <c r="K863" s="5"/>
      <c r="L863" s="5"/>
      <c r="M863" s="5"/>
      <c r="N863" s="5"/>
      <c r="O863" s="5"/>
      <c r="P863" s="5"/>
      <c r="Q863" s="5"/>
      <c r="R863" s="5"/>
      <c r="S863" s="5"/>
      <c r="T863" s="5"/>
      <c r="U863" s="5"/>
      <c r="V863" s="46" t="s">
        <v>1566</v>
      </c>
      <c r="W863" s="1591">
        <v>242927</v>
      </c>
      <c r="X863" s="1592"/>
      <c r="Y863" s="1592"/>
      <c r="Z863" s="1592"/>
      <c r="AA863" s="1592"/>
      <c r="AB863" s="1592"/>
      <c r="AC863" s="1593"/>
      <c r="AU863" s="13"/>
      <c r="AZ863" s="3"/>
      <c r="BA863" s="3"/>
      <c r="BB863" s="3"/>
      <c r="BC863" s="3"/>
    </row>
    <row r="864" spans="3:55" ht="13" customHeight="1">
      <c r="J864" s="411"/>
      <c r="AU864" s="13"/>
      <c r="AZ864" s="3"/>
      <c r="BA864" s="3"/>
      <c r="BB864" s="3"/>
      <c r="BC864" s="3"/>
    </row>
    <row r="865" spans="3:55" ht="13" customHeight="1">
      <c r="C865" s="2" t="s">
        <v>232</v>
      </c>
      <c r="J865" s="37" t="s">
        <v>1567</v>
      </c>
      <c r="K865" s="5"/>
      <c r="L865" s="5"/>
      <c r="M865" s="5"/>
      <c r="N865" s="5"/>
      <c r="O865" s="5"/>
      <c r="P865" s="5"/>
      <c r="Q865" s="5"/>
      <c r="R865" s="5"/>
      <c r="S865" s="5"/>
      <c r="T865" s="5"/>
      <c r="U865" s="5"/>
      <c r="V865" s="38"/>
      <c r="W865" s="1579">
        <v>12049</v>
      </c>
      <c r="X865" s="1579"/>
      <c r="Y865" s="1579"/>
      <c r="Z865" s="1579"/>
      <c r="AA865" s="1579"/>
      <c r="AB865" s="1579"/>
      <c r="AC865" s="1579"/>
      <c r="AU865" s="13"/>
      <c r="AZ865" s="3"/>
      <c r="BA865" s="3"/>
      <c r="BB865" s="3"/>
      <c r="BC865" s="3"/>
    </row>
    <row r="866" spans="3:55" ht="13" customHeight="1">
      <c r="J866" s="37" t="s">
        <v>1568</v>
      </c>
      <c r="K866" s="5"/>
      <c r="L866" s="5"/>
      <c r="M866" s="5"/>
      <c r="N866" s="5"/>
      <c r="O866" s="5"/>
      <c r="P866" s="5"/>
      <c r="Q866" s="5"/>
      <c r="R866" s="5"/>
      <c r="S866" s="5"/>
      <c r="T866" s="5"/>
      <c r="U866" s="5"/>
      <c r="V866" s="38"/>
      <c r="W866" s="1579">
        <v>4380</v>
      </c>
      <c r="X866" s="1579"/>
      <c r="Y866" s="1579"/>
      <c r="Z866" s="1579"/>
      <c r="AA866" s="1579"/>
      <c r="AB866" s="1579"/>
      <c r="AC866" s="1579"/>
      <c r="AU866" s="3"/>
      <c r="AZ866" s="3"/>
      <c r="BA866" s="3"/>
      <c r="BB866" s="3"/>
      <c r="BC866" s="3"/>
    </row>
    <row r="867" spans="3:55" ht="13" customHeight="1">
      <c r="J867" s="37" t="s">
        <v>1569</v>
      </c>
      <c r="K867" s="5"/>
      <c r="L867" s="5"/>
      <c r="M867" s="5"/>
      <c r="N867" s="5"/>
      <c r="O867" s="5"/>
      <c r="P867" s="5"/>
      <c r="Q867" s="5"/>
      <c r="R867" s="5"/>
      <c r="S867" s="5"/>
      <c r="T867" s="5"/>
      <c r="U867" s="5"/>
      <c r="V867" s="38"/>
      <c r="W867" s="1579">
        <v>78534</v>
      </c>
      <c r="X867" s="1579"/>
      <c r="Y867" s="1579"/>
      <c r="Z867" s="1579"/>
      <c r="AA867" s="1579"/>
      <c r="AB867" s="1579"/>
      <c r="AC867" s="1579"/>
      <c r="AU867" s="3"/>
      <c r="AZ867" s="3"/>
      <c r="BA867" s="3"/>
      <c r="BB867" s="3"/>
      <c r="BC867" s="3"/>
    </row>
    <row r="868" spans="3:55" ht="13" customHeight="1">
      <c r="J868" s="37" t="s">
        <v>1570</v>
      </c>
      <c r="K868" s="5"/>
      <c r="L868" s="5"/>
      <c r="M868" s="5"/>
      <c r="N868" s="5"/>
      <c r="O868" s="5"/>
      <c r="P868" s="5"/>
      <c r="Q868" s="5"/>
      <c r="R868" s="5"/>
      <c r="S868" s="5"/>
      <c r="T868" s="5"/>
      <c r="U868" s="5"/>
      <c r="V868" s="38"/>
      <c r="W868" s="1579">
        <v>2520</v>
      </c>
      <c r="X868" s="1579"/>
      <c r="Y868" s="1579"/>
      <c r="Z868" s="1579"/>
      <c r="AA868" s="1579"/>
      <c r="AB868" s="1579"/>
      <c r="AC868" s="1579"/>
      <c r="AU868" s="3"/>
      <c r="AZ868" s="3"/>
      <c r="BA868" s="3"/>
      <c r="BB868" s="3"/>
      <c r="BC868" s="3"/>
    </row>
    <row r="869" spans="3:55" ht="13" customHeight="1">
      <c r="J869" s="37" t="s">
        <v>1571</v>
      </c>
      <c r="K869" s="5"/>
      <c r="L869" s="5"/>
      <c r="M869" s="5"/>
      <c r="N869" s="5"/>
      <c r="O869" s="5"/>
      <c r="P869" s="5"/>
      <c r="Q869" s="5"/>
      <c r="R869" s="5"/>
      <c r="S869" s="5"/>
      <c r="T869" s="5"/>
      <c r="U869" s="5"/>
      <c r="V869" s="38"/>
      <c r="W869" s="1579">
        <v>31100</v>
      </c>
      <c r="X869" s="1579"/>
      <c r="Y869" s="1579"/>
      <c r="Z869" s="1579"/>
      <c r="AA869" s="1579"/>
      <c r="AB869" s="1579"/>
      <c r="AC869" s="1579"/>
      <c r="AU869" s="3"/>
      <c r="AZ869" s="3"/>
      <c r="BA869" s="3"/>
      <c r="BB869" s="3"/>
      <c r="BC869" s="3"/>
    </row>
    <row r="870" spans="3:55" ht="13" customHeight="1">
      <c r="J870" s="37" t="s">
        <v>1572</v>
      </c>
      <c r="K870" s="5"/>
      <c r="L870" s="5"/>
      <c r="M870" s="5"/>
      <c r="N870" s="5"/>
      <c r="O870" s="5"/>
      <c r="P870" s="5"/>
      <c r="Q870" s="5"/>
      <c r="R870" s="5"/>
      <c r="S870" s="5"/>
      <c r="T870" s="5"/>
      <c r="U870" s="5"/>
      <c r="V870" s="38"/>
      <c r="W870" s="1579">
        <v>11100</v>
      </c>
      <c r="X870" s="1579"/>
      <c r="Y870" s="1579"/>
      <c r="Z870" s="1579"/>
      <c r="AA870" s="1579"/>
      <c r="AB870" s="1579"/>
      <c r="AC870" s="1579"/>
      <c r="AU870" s="3"/>
      <c r="AZ870" s="3"/>
      <c r="BA870" s="3"/>
      <c r="BB870" s="3"/>
      <c r="BC870" s="3"/>
    </row>
    <row r="871" spans="3:55" ht="13" customHeight="1">
      <c r="J871" s="37" t="s">
        <v>233</v>
      </c>
      <c r="K871" s="5"/>
      <c r="L871" s="5"/>
      <c r="M871" s="1583" t="s">
        <v>2749</v>
      </c>
      <c r="N871" s="1584"/>
      <c r="O871" s="1584"/>
      <c r="P871" s="1584"/>
      <c r="Q871" s="1584"/>
      <c r="R871" s="1584"/>
      <c r="S871" s="1584"/>
      <c r="T871" s="1584"/>
      <c r="U871" s="1584"/>
      <c r="V871" s="1585"/>
      <c r="W871" s="1579">
        <v>8760</v>
      </c>
      <c r="X871" s="1579"/>
      <c r="Y871" s="1579"/>
      <c r="Z871" s="1579"/>
      <c r="AA871" s="1579"/>
      <c r="AB871" s="1579"/>
      <c r="AC871" s="1579"/>
      <c r="AD871" s="432"/>
      <c r="AU871" s="3"/>
      <c r="AV871" s="13"/>
      <c r="AW871" s="13"/>
      <c r="AX871" s="13"/>
      <c r="AY871" s="13"/>
      <c r="AZ871" s="3"/>
      <c r="BA871" s="3"/>
      <c r="BB871" s="3"/>
      <c r="BC871" s="3"/>
    </row>
    <row r="872" spans="3:55" ht="13" customHeight="1">
      <c r="J872" s="37"/>
      <c r="K872" s="5"/>
      <c r="L872" s="5"/>
      <c r="M872" s="5"/>
      <c r="N872" s="5"/>
      <c r="O872" s="5"/>
      <c r="P872" s="5"/>
      <c r="Q872" s="5"/>
      <c r="R872" s="5"/>
      <c r="S872" s="5"/>
      <c r="T872" s="5"/>
      <c r="U872" s="5"/>
      <c r="V872" s="46" t="s">
        <v>1573</v>
      </c>
      <c r="W872" s="1543">
        <f>SUM(W865:W871)</f>
        <v>148443</v>
      </c>
      <c r="X872" s="1543"/>
      <c r="Y872" s="1543"/>
      <c r="Z872" s="1543"/>
      <c r="AA872" s="1543"/>
      <c r="AB872" s="1543"/>
      <c r="AC872" s="1543"/>
      <c r="AU872" s="3"/>
      <c r="AV872" s="13"/>
      <c r="AW872" s="13"/>
      <c r="AX872" s="13"/>
      <c r="AY872" s="13"/>
      <c r="AZ872" s="3"/>
      <c r="BA872" s="3"/>
      <c r="BB872" s="3"/>
      <c r="BC872" s="3"/>
    </row>
    <row r="873" spans="3:55" ht="13" customHeight="1">
      <c r="AU873" s="3"/>
      <c r="AV873" s="13"/>
      <c r="AW873" s="13"/>
      <c r="AX873" s="13"/>
      <c r="AY873" s="13"/>
      <c r="AZ873" s="3"/>
      <c r="BA873" s="3"/>
      <c r="BB873" s="3"/>
      <c r="BC873" s="3"/>
    </row>
    <row r="874" spans="3:55" ht="13" customHeight="1">
      <c r="C874" s="2" t="s">
        <v>1574</v>
      </c>
      <c r="J874" s="37" t="s">
        <v>233</v>
      </c>
      <c r="K874" s="5"/>
      <c r="L874" s="5"/>
      <c r="M874" s="1583" t="s">
        <v>2750</v>
      </c>
      <c r="N874" s="1584"/>
      <c r="O874" s="1584"/>
      <c r="P874" s="1584"/>
      <c r="Q874" s="1584"/>
      <c r="R874" s="1584"/>
      <c r="S874" s="1584"/>
      <c r="T874" s="1584"/>
      <c r="U874" s="1584"/>
      <c r="V874" s="1585"/>
      <c r="W874" s="1427">
        <v>1592</v>
      </c>
      <c r="X874" s="1299"/>
      <c r="Y874" s="1299"/>
      <c r="Z874" s="1299"/>
      <c r="AA874" s="1299"/>
      <c r="AB874" s="1299"/>
      <c r="AC874" s="1300"/>
      <c r="AD874" s="432"/>
      <c r="AV874" s="13"/>
      <c r="AW874" s="13"/>
      <c r="AX874" s="13"/>
      <c r="AY874" s="13"/>
      <c r="AZ874" s="3"/>
      <c r="BA874" s="3"/>
      <c r="BB874" s="3"/>
      <c r="BC874" s="3"/>
    </row>
    <row r="875" spans="3:55" ht="13" customHeight="1">
      <c r="C875" s="2" t="s">
        <v>1575</v>
      </c>
      <c r="J875" s="37" t="s">
        <v>233</v>
      </c>
      <c r="K875" s="5"/>
      <c r="L875" s="5"/>
      <c r="M875" s="1583" t="s">
        <v>1261</v>
      </c>
      <c r="N875" s="1584"/>
      <c r="O875" s="1584"/>
      <c r="P875" s="1584"/>
      <c r="Q875" s="1584"/>
      <c r="R875" s="1584"/>
      <c r="S875" s="1584"/>
      <c r="T875" s="1584"/>
      <c r="U875" s="1584"/>
      <c r="V875" s="1585"/>
      <c r="W875" s="1427"/>
      <c r="X875" s="1299"/>
      <c r="Y875" s="1299"/>
      <c r="Z875" s="1299"/>
      <c r="AA875" s="1299"/>
      <c r="AB875" s="1299"/>
      <c r="AC875" s="1300"/>
      <c r="AD875" s="432"/>
      <c r="AV875" s="13"/>
      <c r="AW875" s="13"/>
      <c r="AX875" s="13"/>
      <c r="AY875" s="13"/>
      <c r="AZ875" s="3"/>
      <c r="BA875" s="3"/>
      <c r="BB875" s="3"/>
      <c r="BC875" s="3"/>
    </row>
    <row r="876" spans="3:55" ht="13" customHeight="1">
      <c r="J876" s="37" t="s">
        <v>233</v>
      </c>
      <c r="K876" s="5"/>
      <c r="L876" s="5"/>
      <c r="M876" s="1583" t="s">
        <v>1261</v>
      </c>
      <c r="N876" s="1584"/>
      <c r="O876" s="1584"/>
      <c r="P876" s="1584"/>
      <c r="Q876" s="1584"/>
      <c r="R876" s="1584"/>
      <c r="S876" s="1584"/>
      <c r="T876" s="1584"/>
      <c r="U876" s="1584"/>
      <c r="V876" s="1585"/>
      <c r="W876" s="1427"/>
      <c r="X876" s="1299"/>
      <c r="Y876" s="1299"/>
      <c r="Z876" s="1299"/>
      <c r="AA876" s="1299"/>
      <c r="AB876" s="1299"/>
      <c r="AC876" s="1300"/>
      <c r="AL876" s="13"/>
      <c r="AM876" s="13"/>
      <c r="AN876" s="13"/>
      <c r="AO876" s="13"/>
      <c r="AP876" s="13"/>
      <c r="AQ876" s="13"/>
      <c r="AR876" s="13"/>
      <c r="AS876" s="13"/>
      <c r="AT876" s="13"/>
      <c r="AV876" s="3"/>
      <c r="AW876" s="3"/>
      <c r="AX876" s="3"/>
      <c r="AY876" s="3"/>
      <c r="AZ876" s="3"/>
      <c r="BA876" s="3"/>
      <c r="BB876" s="3"/>
      <c r="BC876" s="3"/>
    </row>
    <row r="877" spans="3:55" ht="13" customHeight="1">
      <c r="J877" s="37" t="s">
        <v>233</v>
      </c>
      <c r="K877" s="5"/>
      <c r="L877" s="5"/>
      <c r="M877" s="1583" t="s">
        <v>1261</v>
      </c>
      <c r="N877" s="1584"/>
      <c r="O877" s="1584"/>
      <c r="P877" s="1584"/>
      <c r="Q877" s="1584"/>
      <c r="R877" s="1584"/>
      <c r="S877" s="1584"/>
      <c r="T877" s="1584"/>
      <c r="U877" s="1584"/>
      <c r="V877" s="1585"/>
      <c r="W877" s="1427"/>
      <c r="X877" s="1299"/>
      <c r="Y877" s="1299"/>
      <c r="Z877" s="1299"/>
      <c r="AA877" s="1299"/>
      <c r="AB877" s="1299"/>
      <c r="AC877" s="1300"/>
      <c r="AL877" s="13"/>
      <c r="AM877" s="13"/>
      <c r="AN877" s="13"/>
      <c r="AO877" s="13"/>
      <c r="AP877" s="13"/>
      <c r="AQ877" s="13"/>
      <c r="AR877" s="13"/>
      <c r="AS877" s="13"/>
      <c r="AT877" s="13"/>
      <c r="AV877" s="3"/>
      <c r="AW877" s="3"/>
      <c r="AX877" s="3"/>
      <c r="AY877" s="3"/>
      <c r="AZ877" s="3"/>
      <c r="BA877" s="3"/>
      <c r="BB877" s="3"/>
      <c r="BC877" s="3"/>
    </row>
    <row r="878" spans="3:55" ht="13" customHeight="1">
      <c r="J878" s="37" t="s">
        <v>233</v>
      </c>
      <c r="K878" s="5"/>
      <c r="L878" s="5"/>
      <c r="M878" s="1583" t="s">
        <v>1261</v>
      </c>
      <c r="N878" s="1584"/>
      <c r="O878" s="1584"/>
      <c r="P878" s="1584"/>
      <c r="Q878" s="1584"/>
      <c r="R878" s="1584"/>
      <c r="S878" s="1584"/>
      <c r="T878" s="1584"/>
      <c r="U878" s="1584"/>
      <c r="V878" s="1585"/>
      <c r="W878" s="1427"/>
      <c r="X878" s="1299"/>
      <c r="Y878" s="1299"/>
      <c r="Z878" s="1299"/>
      <c r="AA878" s="1299"/>
      <c r="AB878" s="1299"/>
      <c r="AC878" s="1300"/>
      <c r="AL878" s="13"/>
      <c r="AM878" s="13"/>
      <c r="AN878" s="13"/>
      <c r="AO878" s="13"/>
      <c r="AP878" s="13"/>
      <c r="AQ878" s="13"/>
      <c r="AR878" s="13"/>
      <c r="AS878" s="13"/>
      <c r="AT878" s="13"/>
      <c r="AV878" s="3"/>
      <c r="AW878" s="3"/>
      <c r="AX878" s="3"/>
      <c r="AY878" s="3"/>
      <c r="AZ878" s="3"/>
      <c r="BA878" s="3"/>
      <c r="BB878" s="3"/>
      <c r="BC878" s="3"/>
    </row>
    <row r="879" spans="3:55" ht="13" customHeight="1">
      <c r="J879" s="37"/>
      <c r="K879" s="5"/>
      <c r="L879" s="5"/>
      <c r="M879" s="5"/>
      <c r="N879" s="5"/>
      <c r="O879" s="5"/>
      <c r="P879" s="5"/>
      <c r="Q879" s="5"/>
      <c r="R879" s="5"/>
      <c r="S879" s="5"/>
      <c r="T879" s="5"/>
      <c r="U879" s="5"/>
      <c r="V879" s="46" t="s">
        <v>1576</v>
      </c>
      <c r="W879" s="1424">
        <f>SUM(W874:W878)</f>
        <v>1592</v>
      </c>
      <c r="X879" s="1425"/>
      <c r="Y879" s="1425"/>
      <c r="Z879" s="1425"/>
      <c r="AA879" s="1425"/>
      <c r="AB879" s="1425"/>
      <c r="AC879" s="1426"/>
      <c r="AL879" s="13"/>
      <c r="AM879" s="13"/>
      <c r="AN879" s="13"/>
      <c r="AO879" s="13"/>
      <c r="AP879" s="13"/>
      <c r="AQ879" s="13"/>
      <c r="AR879" s="13"/>
      <c r="AS879" s="13"/>
      <c r="AT879" s="13"/>
      <c r="AV879" s="3"/>
      <c r="AW879" s="3"/>
      <c r="AX879" s="3"/>
      <c r="AY879" s="3"/>
      <c r="AZ879" s="3"/>
      <c r="BA879" s="3"/>
      <c r="BB879" s="3"/>
      <c r="BC879" s="3"/>
    </row>
    <row r="880" spans="3:55" ht="13" customHeight="1">
      <c r="E880" s="411"/>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3" customHeight="1">
      <c r="C881" s="2" t="s">
        <v>1577</v>
      </c>
      <c r="I881" s="432"/>
      <c r="J881" s="432"/>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3" customHeight="1">
      <c r="E882" s="411"/>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3"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8" t="s">
        <v>1578</v>
      </c>
      <c r="AC883" s="1425">
        <f>W847+W855+W862+W863+W872+W879+W849</f>
        <v>957950</v>
      </c>
      <c r="AD883" s="1425"/>
      <c r="AE883" s="1425"/>
      <c r="AF883" s="1425"/>
      <c r="AG883" s="1425"/>
      <c r="AH883" s="1426"/>
      <c r="AL883" s="3"/>
      <c r="AM883" s="3"/>
      <c r="AN883" s="3"/>
      <c r="AO883" s="3"/>
      <c r="AP883" s="3"/>
      <c r="AQ883" s="3"/>
      <c r="AR883" s="3"/>
      <c r="AS883" s="3"/>
      <c r="AT883" s="3"/>
      <c r="AV883" s="3"/>
      <c r="AW883" s="3"/>
      <c r="AX883" s="3"/>
      <c r="AY883" s="3"/>
      <c r="AZ883" s="3"/>
      <c r="BA883" s="3"/>
      <c r="BB883" s="3"/>
      <c r="BC883" s="3"/>
    </row>
    <row r="884" spans="3:55" ht="13"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8" t="s">
        <v>1579</v>
      </c>
      <c r="AC884" s="1586">
        <f>O797+O777+G753</f>
        <v>79</v>
      </c>
      <c r="AD884" s="1586"/>
      <c r="AE884" s="1586"/>
      <c r="AF884" s="1586"/>
      <c r="AG884" s="1586"/>
      <c r="AH884" s="1587"/>
      <c r="AL884" s="3"/>
      <c r="AM884" s="3"/>
      <c r="AN884" s="3"/>
      <c r="AO884" s="3"/>
      <c r="AP884" s="3"/>
      <c r="AQ884" s="3"/>
      <c r="AR884" s="3"/>
      <c r="AS884" s="3"/>
      <c r="AT884" s="3"/>
      <c r="AZ884" s="3"/>
      <c r="BA884" s="3"/>
      <c r="BB884" s="3"/>
      <c r="BC884" s="3"/>
    </row>
    <row r="885" spans="3:55" ht="13" customHeight="1">
      <c r="C885" s="33"/>
      <c r="D885" s="34"/>
      <c r="E885" s="1645" t="s">
        <v>1580</v>
      </c>
      <c r="F885" s="1645"/>
      <c r="G885" s="1645"/>
      <c r="H885" s="1645"/>
      <c r="I885" s="1645"/>
      <c r="J885" s="1645"/>
      <c r="K885" s="1645"/>
      <c r="L885" s="1645"/>
      <c r="M885" s="1645"/>
      <c r="N885" s="1645"/>
      <c r="O885" s="1645"/>
      <c r="P885" s="1645"/>
      <c r="Q885" s="1645"/>
      <c r="R885" s="1645"/>
      <c r="S885" s="1645"/>
      <c r="T885" s="1645"/>
      <c r="U885" s="1645"/>
      <c r="V885" s="1645"/>
      <c r="W885" s="1645"/>
      <c r="X885" s="1645"/>
      <c r="Y885" s="1645"/>
      <c r="Z885" s="1645"/>
      <c r="AA885" s="1645"/>
      <c r="AB885" s="1646"/>
      <c r="AC885" s="1543">
        <f>IF(ISERROR((ROUNDDOWN(AC883/AC884,0))),0,(ROUNDDOWN(AC883/AC884,0)))</f>
        <v>12125</v>
      </c>
      <c r="AD885" s="1543"/>
      <c r="AE885" s="1543"/>
      <c r="AF885" s="1543"/>
      <c r="AG885" s="1543"/>
      <c r="AH885" s="1543"/>
      <c r="AL885" s="3"/>
      <c r="AM885" s="3"/>
      <c r="AN885" s="3"/>
      <c r="AO885" s="3"/>
      <c r="AP885" s="3"/>
      <c r="AQ885" s="3"/>
      <c r="AR885" s="3"/>
      <c r="AS885" s="3"/>
      <c r="AT885" s="3"/>
      <c r="AZ885" s="3"/>
      <c r="BA885" s="3"/>
      <c r="BB885" s="3"/>
      <c r="BC885" s="3"/>
    </row>
    <row r="886" spans="3:55" ht="13"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1581</v>
      </c>
      <c r="AC886" s="1588">
        <f>+(AC883+AC888+AC889+AC891+AF627+AC894)/4</f>
        <v>429067.75</v>
      </c>
      <c r="AD886" s="1589"/>
      <c r="AE886" s="1589"/>
      <c r="AF886" s="1589"/>
      <c r="AG886" s="1589"/>
      <c r="AH886" s="1589"/>
      <c r="AL886" s="3"/>
      <c r="AM886" s="3"/>
      <c r="AN886" s="3"/>
      <c r="AO886" s="3"/>
      <c r="AP886" s="3"/>
      <c r="AQ886" s="3"/>
      <c r="AR886" s="3"/>
      <c r="AS886" s="3"/>
      <c r="AT886" s="3"/>
      <c r="AZ886" s="3"/>
      <c r="BA886" s="3"/>
      <c r="BB886" s="3"/>
      <c r="BC886" s="3"/>
    </row>
    <row r="887" spans="3:55" ht="13"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1582</v>
      </c>
      <c r="AC887" s="1300"/>
      <c r="AD887" s="1579"/>
      <c r="AE887" s="1579"/>
      <c r="AF887" s="1579"/>
      <c r="AG887" s="1579"/>
      <c r="AH887" s="1579"/>
      <c r="AL887" s="3"/>
      <c r="AM887" s="3"/>
      <c r="AN887" s="3"/>
      <c r="AO887" s="3"/>
      <c r="AP887" s="3"/>
      <c r="AQ887" s="3"/>
      <c r="AR887" s="3"/>
      <c r="AS887" s="3"/>
      <c r="AT887" s="3"/>
      <c r="AZ887" s="3"/>
      <c r="BA887" s="3"/>
      <c r="BB887" s="3"/>
      <c r="BC887" s="3"/>
    </row>
    <row r="888" spans="3:55" ht="13"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1583</v>
      </c>
      <c r="AC888" s="1299">
        <v>45782</v>
      </c>
      <c r="AD888" s="1299"/>
      <c r="AE888" s="1299"/>
      <c r="AF888" s="1299"/>
      <c r="AG888" s="1299"/>
      <c r="AH888" s="1300"/>
      <c r="AL888" s="3"/>
      <c r="AM888" s="3"/>
      <c r="AN888" s="3"/>
      <c r="AO888" s="3"/>
      <c r="AP888" s="3"/>
      <c r="AQ888" s="3"/>
      <c r="AR888" s="3"/>
      <c r="AS888" s="3"/>
      <c r="AT888" s="3"/>
      <c r="AZ888" s="3"/>
      <c r="BA888" s="3"/>
      <c r="BB888" s="3"/>
      <c r="BC888" s="3"/>
    </row>
    <row r="889" spans="3:55" ht="13"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1584</v>
      </c>
      <c r="AC889" s="1299">
        <v>39500</v>
      </c>
      <c r="AD889" s="1299"/>
      <c r="AE889" s="1299"/>
      <c r="AF889" s="1299"/>
      <c r="AG889" s="1299"/>
      <c r="AH889" s="1300"/>
      <c r="AZ889" s="3"/>
      <c r="BA889" s="3"/>
      <c r="BB889" s="3"/>
      <c r="BC889" s="3"/>
    </row>
    <row r="890" spans="3:55" ht="13"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1585</v>
      </c>
      <c r="AC890" s="1441"/>
      <c r="AD890" s="1442"/>
      <c r="AE890" s="1442"/>
      <c r="AF890" s="1442"/>
      <c r="AG890" s="1442"/>
      <c r="AH890" s="1443"/>
      <c r="AZ890" s="3"/>
      <c r="BA890" s="3"/>
      <c r="BB890" s="3"/>
      <c r="BC890" s="3"/>
    </row>
    <row r="891" spans="3:55" ht="13"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1586</v>
      </c>
      <c r="AC891" s="1299">
        <v>12864</v>
      </c>
      <c r="AD891" s="1299"/>
      <c r="AE891" s="1299"/>
      <c r="AF891" s="1299"/>
      <c r="AG891" s="1299"/>
      <c r="AH891" s="1300"/>
      <c r="AZ891" s="3"/>
      <c r="BA891" s="3"/>
      <c r="BB891" s="3"/>
      <c r="BC891" s="3"/>
    </row>
    <row r="892" spans="3:55" ht="13" hidden="1" customHeight="1">
      <c r="C892" s="1360" t="s">
        <v>1587</v>
      </c>
      <c r="D892" s="1361"/>
      <c r="E892" s="1361"/>
      <c r="F892" s="1361"/>
      <c r="G892" s="1361"/>
      <c r="H892" s="1361"/>
      <c r="I892" s="1361"/>
      <c r="J892" s="1361"/>
      <c r="K892" s="1361"/>
      <c r="L892" s="1361"/>
      <c r="M892" s="1361"/>
      <c r="N892" s="1361"/>
      <c r="O892" s="1361"/>
      <c r="P892" s="1361"/>
      <c r="Q892" s="1361"/>
      <c r="R892" s="1361"/>
      <c r="S892" s="1361"/>
      <c r="T892" s="1361"/>
      <c r="U892" s="1361"/>
      <c r="V892" s="1361"/>
      <c r="W892" s="1361"/>
      <c r="X892" s="1361"/>
      <c r="Y892" s="1361"/>
      <c r="Z892" s="1361"/>
      <c r="AA892" s="1361"/>
      <c r="AB892" s="1363"/>
      <c r="AC892" s="1299"/>
      <c r="AD892" s="1299"/>
      <c r="AE892" s="1299"/>
      <c r="AF892" s="1299"/>
      <c r="AG892" s="1299"/>
      <c r="AH892" s="1300"/>
      <c r="AZ892" s="3"/>
      <c r="BA892" s="3"/>
      <c r="BB892" s="3"/>
      <c r="BC892" s="3"/>
    </row>
    <row r="893" spans="3:55" ht="13"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1588</v>
      </c>
      <c r="AC893" s="1299"/>
      <c r="AD893" s="1299"/>
      <c r="AE893" s="1299"/>
      <c r="AF893" s="1299"/>
      <c r="AG893" s="1299"/>
      <c r="AH893" s="1300"/>
      <c r="AZ893" s="3"/>
      <c r="BA893" s="3"/>
      <c r="BB893" s="3"/>
      <c r="BC893" s="3"/>
    </row>
    <row r="894" spans="3:55" ht="13" customHeight="1">
      <c r="C894" s="1606" t="s">
        <v>2755</v>
      </c>
      <c r="D894" s="1607"/>
      <c r="E894" s="1607"/>
      <c r="F894" s="1607"/>
      <c r="G894" s="1607"/>
      <c r="H894" s="1607"/>
      <c r="I894" s="1607"/>
      <c r="J894" s="1607"/>
      <c r="K894" s="1607"/>
      <c r="L894" s="1607"/>
      <c r="M894" s="1607"/>
      <c r="N894" s="1607"/>
      <c r="O894" s="1607"/>
      <c r="P894" s="1607"/>
      <c r="Q894" s="1607"/>
      <c r="R894" s="1607"/>
      <c r="S894" s="1607"/>
      <c r="T894" s="1607"/>
      <c r="U894" s="1607"/>
      <c r="V894" s="1607"/>
      <c r="W894" s="1607"/>
      <c r="X894" s="1607"/>
      <c r="Y894" s="1607"/>
      <c r="Z894" s="1607"/>
      <c r="AA894" s="1607"/>
      <c r="AB894" s="1608"/>
      <c r="AC894" s="1579">
        <v>4332</v>
      </c>
      <c r="AD894" s="1579"/>
      <c r="AE894" s="1579"/>
      <c r="AF894" s="1579"/>
      <c r="AG894" s="1579"/>
      <c r="AH894" s="1579"/>
      <c r="AZ894" s="3"/>
      <c r="BA894" s="3"/>
      <c r="BB894" s="3"/>
      <c r="BC894" s="3"/>
    </row>
    <row r="895" spans="3:55" ht="13" customHeight="1">
      <c r="C895" s="1606" t="s">
        <v>1589</v>
      </c>
      <c r="D895" s="1607"/>
      <c r="E895" s="1607"/>
      <c r="F895" s="1607"/>
      <c r="G895" s="1607"/>
      <c r="H895" s="1607"/>
      <c r="I895" s="1607"/>
      <c r="J895" s="1607"/>
      <c r="K895" s="1607"/>
      <c r="L895" s="1607"/>
      <c r="M895" s="1607"/>
      <c r="N895" s="1607"/>
      <c r="O895" s="1607"/>
      <c r="P895" s="1607"/>
      <c r="Q895" s="1607"/>
      <c r="R895" s="1607"/>
      <c r="S895" s="1607"/>
      <c r="T895" s="1607"/>
      <c r="U895" s="1607"/>
      <c r="V895" s="1607"/>
      <c r="W895" s="1607"/>
      <c r="X895" s="1607"/>
      <c r="Y895" s="1607"/>
      <c r="Z895" s="1607"/>
      <c r="AA895" s="1607"/>
      <c r="AB895" s="1608"/>
      <c r="AC895" s="1579"/>
      <c r="AD895" s="1579"/>
      <c r="AE895" s="1579"/>
      <c r="AF895" s="1579"/>
      <c r="AG895" s="1579"/>
      <c r="AH895" s="1579"/>
      <c r="AU895" s="70"/>
      <c r="AZ895" s="3"/>
      <c r="BA895" s="3"/>
      <c r="BB895" s="3"/>
      <c r="BC895" s="3"/>
    </row>
    <row r="896" spans="3:55" ht="13" customHeight="1">
      <c r="E896" s="411"/>
      <c r="AB896" s="48"/>
      <c r="AC896" s="89"/>
      <c r="AD896" s="89"/>
      <c r="AE896" s="89"/>
      <c r="AF896" s="89"/>
      <c r="AG896" s="89"/>
      <c r="AH896" s="89"/>
      <c r="AU896" s="70"/>
      <c r="AZ896" s="3"/>
      <c r="BA896" s="3"/>
      <c r="BB896" s="3"/>
      <c r="BC896" s="3"/>
    </row>
    <row r="897" spans="1:58" ht="13" customHeight="1">
      <c r="A897" s="2" t="s">
        <v>1299</v>
      </c>
      <c r="C897" s="2" t="s">
        <v>1590</v>
      </c>
      <c r="X897" s="11"/>
      <c r="Y897" s="11"/>
      <c r="Z897" s="11"/>
      <c r="AA897" s="11"/>
      <c r="AB897" s="11"/>
      <c r="AC897" s="11"/>
      <c r="AD897" s="11"/>
      <c r="AU897" s="70"/>
      <c r="AZ897" s="3"/>
      <c r="BB897" s="25"/>
      <c r="BC897" s="25"/>
    </row>
    <row r="898" spans="1:58" ht="13" customHeight="1">
      <c r="X898" s="11"/>
      <c r="Y898" s="11"/>
      <c r="Z898" s="11"/>
      <c r="AA898" s="11"/>
      <c r="AB898" s="11"/>
      <c r="AC898" s="11"/>
      <c r="AD898" s="11"/>
      <c r="AF898" s="432"/>
      <c r="AG898" s="928"/>
      <c r="AH898" s="928"/>
      <c r="AI898" s="928"/>
      <c r="AU898" s="70"/>
      <c r="AZ898" s="3"/>
      <c r="BB898" s="25"/>
      <c r="BC898" s="25"/>
      <c r="BD898" s="13"/>
      <c r="BE898" s="13"/>
      <c r="BF898" s="13"/>
    </row>
    <row r="899" spans="1:58" ht="13" customHeight="1">
      <c r="B899" s="2"/>
      <c r="H899" s="87" t="s">
        <v>1591</v>
      </c>
      <c r="I899" s="5"/>
      <c r="J899" s="5"/>
      <c r="K899" s="5"/>
      <c r="L899" s="5"/>
      <c r="M899" s="5"/>
      <c r="N899" s="5"/>
      <c r="O899" s="5"/>
      <c r="P899" s="5"/>
      <c r="Q899" s="5"/>
      <c r="R899" s="5"/>
      <c r="S899" s="5"/>
      <c r="T899" s="5"/>
      <c r="U899" s="5"/>
      <c r="V899" s="5"/>
      <c r="W899" s="5"/>
      <c r="X899" s="5"/>
      <c r="Y899" s="38"/>
      <c r="Z899" s="1427"/>
      <c r="AA899" s="1299"/>
      <c r="AB899" s="1299"/>
      <c r="AC899" s="1299"/>
      <c r="AD899" s="1299"/>
      <c r="AE899" s="1300"/>
      <c r="AF899" s="432"/>
      <c r="AZ899" s="3"/>
      <c r="BB899" s="25"/>
      <c r="BC899" s="715"/>
      <c r="BD899" s="1576"/>
      <c r="BE899" s="1576"/>
      <c r="BF899" s="13"/>
    </row>
    <row r="900" spans="1:58" ht="13" customHeight="1">
      <c r="H900" s="87" t="s">
        <v>1592</v>
      </c>
      <c r="I900" s="5"/>
      <c r="J900" s="5"/>
      <c r="K900" s="5"/>
      <c r="L900" s="5"/>
      <c r="M900" s="5"/>
      <c r="N900" s="5"/>
      <c r="O900" s="5"/>
      <c r="P900" s="5"/>
      <c r="Q900" s="5"/>
      <c r="R900" s="5"/>
      <c r="S900" s="5"/>
      <c r="T900" s="5"/>
      <c r="U900" s="5"/>
      <c r="V900" s="5"/>
      <c r="W900" s="5"/>
      <c r="X900" s="5"/>
      <c r="Y900" s="5"/>
      <c r="Z900" s="1427"/>
      <c r="AA900" s="1299"/>
      <c r="AB900" s="1299"/>
      <c r="AC900" s="1299"/>
      <c r="AD900" s="1299"/>
      <c r="AE900" s="1300"/>
      <c r="AZ900" s="3"/>
      <c r="BB900" s="25"/>
      <c r="BC900" s="715"/>
      <c r="BD900" s="1576"/>
      <c r="BE900" s="1576"/>
      <c r="BF900" s="13"/>
    </row>
    <row r="901" spans="1:58" ht="13" customHeight="1">
      <c r="H901" s="87" t="s">
        <v>1593</v>
      </c>
      <c r="I901" s="5"/>
      <c r="J901" s="5"/>
      <c r="K901" s="5"/>
      <c r="L901" s="5"/>
      <c r="M901" s="5"/>
      <c r="N901" s="5"/>
      <c r="O901" s="5"/>
      <c r="P901" s="5"/>
      <c r="Q901" s="5"/>
      <c r="R901" s="5"/>
      <c r="S901" s="5"/>
      <c r="T901" s="5"/>
      <c r="U901" s="5"/>
      <c r="V901" s="5"/>
      <c r="W901" s="5"/>
      <c r="X901" s="5"/>
      <c r="Y901" s="5"/>
      <c r="Z901" s="1427"/>
      <c r="AA901" s="1299"/>
      <c r="AB901" s="1299"/>
      <c r="AC901" s="1299"/>
      <c r="AD901" s="1299"/>
      <c r="AE901" s="1300"/>
      <c r="AZ901" s="3"/>
      <c r="BB901" s="25"/>
      <c r="BC901" s="715"/>
      <c r="BD901" s="1575"/>
      <c r="BE901" s="1575"/>
      <c r="BF901" s="13"/>
    </row>
    <row r="902" spans="1:58" ht="13" customHeight="1">
      <c r="H902" s="37"/>
      <c r="I902" s="5"/>
      <c r="J902" s="5"/>
      <c r="K902" s="5"/>
      <c r="L902" s="5"/>
      <c r="M902" s="5"/>
      <c r="N902" s="5"/>
      <c r="O902" s="5"/>
      <c r="P902" s="5"/>
      <c r="Q902" s="5"/>
      <c r="R902" s="5"/>
      <c r="S902" s="5"/>
      <c r="T902" s="5"/>
      <c r="U902" s="5"/>
      <c r="V902" s="5"/>
      <c r="W902" s="5"/>
      <c r="X902" s="5"/>
      <c r="Y902" s="125" t="s">
        <v>1594</v>
      </c>
      <c r="Z902" s="1424">
        <f>Z899-(Z900+Z901)</f>
        <v>0</v>
      </c>
      <c r="AA902" s="1425"/>
      <c r="AB902" s="1425"/>
      <c r="AC902" s="1425"/>
      <c r="AD902" s="1425"/>
      <c r="AE902" s="1426"/>
      <c r="AZ902" s="3"/>
      <c r="BB902" s="25"/>
      <c r="BC902" s="715"/>
      <c r="BD902" s="1575"/>
      <c r="BE902" s="1575"/>
      <c r="BF902" s="13"/>
    </row>
    <row r="903" spans="1:58" ht="13" customHeight="1">
      <c r="C903" s="411"/>
      <c r="D903" s="256"/>
      <c r="E903" s="928"/>
      <c r="F903" s="928"/>
      <c r="G903" s="928"/>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8"/>
      <c r="AZ903" s="3"/>
      <c r="BB903" s="25"/>
      <c r="BC903" s="715"/>
      <c r="BD903" s="1575"/>
      <c r="BE903" s="1575"/>
      <c r="BF903" s="13"/>
    </row>
    <row r="904" spans="1:58" ht="13" customHeight="1">
      <c r="C904" t="s">
        <v>1595</v>
      </c>
      <c r="D904" s="14"/>
      <c r="E904" s="928"/>
      <c r="F904" s="928"/>
      <c r="G904" s="928"/>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8"/>
      <c r="AZ904" s="3"/>
      <c r="BB904" s="25"/>
      <c r="BC904" s="715"/>
      <c r="BD904" s="1576"/>
      <c r="BE904" s="1575"/>
      <c r="BF904" s="13"/>
    </row>
    <row r="905" spans="1:58" ht="13" customHeight="1">
      <c r="C905" s="126" t="s">
        <v>1596</v>
      </c>
      <c r="D905" s="14"/>
      <c r="E905" s="928"/>
      <c r="F905" s="928"/>
      <c r="G905" s="928"/>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8"/>
      <c r="AV905" s="70"/>
      <c r="AW905" s="70"/>
      <c r="AX905" s="70"/>
      <c r="AY905" s="70"/>
      <c r="AZ905" s="3"/>
      <c r="BB905" s="25"/>
      <c r="BC905" s="715"/>
      <c r="BD905" s="1604"/>
      <c r="BE905" s="1604"/>
      <c r="BF905" s="1604"/>
    </row>
    <row r="906" spans="1:58" ht="13" customHeight="1">
      <c r="C906" s="126" t="s">
        <v>1597</v>
      </c>
      <c r="D906" s="14"/>
      <c r="E906" s="928"/>
      <c r="F906" s="928"/>
      <c r="G906" s="928"/>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8"/>
      <c r="AV906" s="70"/>
      <c r="AW906" s="70"/>
      <c r="AX906" s="70"/>
      <c r="AY906" s="70"/>
      <c r="AZ906" s="3"/>
      <c r="BB906" s="25"/>
      <c r="BC906" s="715"/>
      <c r="BD906" s="1603"/>
      <c r="BE906" s="1603"/>
      <c r="BF906" s="1603"/>
    </row>
    <row r="907" spans="1:58" ht="13" customHeight="1">
      <c r="C907" s="242" t="s">
        <v>1598</v>
      </c>
      <c r="D907" s="14"/>
      <c r="E907" s="928"/>
      <c r="F907" s="928"/>
      <c r="G907" s="928"/>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8"/>
      <c r="AV907" s="70"/>
      <c r="AW907" s="70"/>
      <c r="AX907" s="70"/>
      <c r="AY907" s="70"/>
      <c r="AZ907" s="3"/>
      <c r="BB907" s="25"/>
      <c r="BC907" s="715"/>
      <c r="BD907" s="1575"/>
      <c r="BE907" s="1575"/>
      <c r="BF907" s="13"/>
    </row>
    <row r="908" spans="1:58" ht="13"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5"/>
      <c r="BD908" s="1576"/>
      <c r="BE908" s="1575"/>
      <c r="BF908" s="13"/>
    </row>
    <row r="909" spans="1:58" ht="13" customHeight="1">
      <c r="AZ909" s="3"/>
      <c r="BB909" s="25"/>
      <c r="BC909" s="715"/>
    </row>
    <row r="910" spans="1:58" ht="13" customHeight="1">
      <c r="A910" s="1482" t="s">
        <v>1599</v>
      </c>
      <c r="B910" s="1482"/>
      <c r="C910" s="1482"/>
      <c r="D910" s="1482"/>
      <c r="E910" s="1482"/>
      <c r="F910" s="1482"/>
      <c r="G910" s="1482"/>
      <c r="H910" s="1482"/>
      <c r="I910" s="1482"/>
      <c r="J910" s="1482"/>
      <c r="K910" s="1482"/>
      <c r="L910" s="1482"/>
      <c r="M910" s="1482"/>
      <c r="N910" s="1482"/>
      <c r="O910" s="1482"/>
      <c r="P910" s="1482"/>
      <c r="Q910" s="1482"/>
      <c r="R910" s="1482"/>
      <c r="S910" s="1482"/>
      <c r="T910" s="1482"/>
      <c r="U910" s="1482"/>
      <c r="V910" s="1482"/>
      <c r="W910" s="1482"/>
      <c r="X910" s="1482"/>
      <c r="Y910" s="1482"/>
      <c r="Z910" s="1482"/>
      <c r="AA910" s="1482"/>
      <c r="AB910" s="1482"/>
      <c r="AC910" s="1482"/>
      <c r="AD910" s="1482"/>
      <c r="AE910" s="1482"/>
      <c r="AF910" s="1482"/>
      <c r="AG910" s="1482"/>
      <c r="AH910" s="1482"/>
      <c r="AI910" s="1482"/>
      <c r="AJ910" s="1482"/>
      <c r="AK910" s="1482"/>
      <c r="AL910" s="1482"/>
      <c r="AM910" s="1482"/>
      <c r="AN910" s="1482"/>
      <c r="AO910" s="1482"/>
      <c r="AP910" s="1482"/>
      <c r="AQ910" s="1482"/>
      <c r="AR910" s="1482"/>
      <c r="AS910" s="1482"/>
      <c r="AT910" s="1482"/>
      <c r="AZ910" s="3"/>
      <c r="BA910" s="3"/>
      <c r="BB910" s="25"/>
      <c r="BC910" s="25"/>
      <c r="BD910" s="1576"/>
      <c r="BE910" s="1575"/>
      <c r="BF910" s="806"/>
    </row>
    <row r="911" spans="1:58" ht="13" customHeight="1">
      <c r="A911" s="1482"/>
      <c r="B911" s="1482"/>
      <c r="C911" s="1482"/>
      <c r="D911" s="1482"/>
      <c r="E911" s="1482"/>
      <c r="F911" s="1482"/>
      <c r="G911" s="1482"/>
      <c r="H911" s="1482"/>
      <c r="I911" s="1482"/>
      <c r="J911" s="1482"/>
      <c r="K911" s="1482"/>
      <c r="L911" s="1482"/>
      <c r="M911" s="1482"/>
      <c r="N911" s="1482"/>
      <c r="O911" s="1482"/>
      <c r="P911" s="1482"/>
      <c r="Q911" s="1482"/>
      <c r="R911" s="1482"/>
      <c r="S911" s="1482"/>
      <c r="T911" s="1482"/>
      <c r="U911" s="1482"/>
      <c r="V911" s="1482"/>
      <c r="W911" s="1482"/>
      <c r="X911" s="1482"/>
      <c r="Y911" s="1482"/>
      <c r="Z911" s="1482"/>
      <c r="AA911" s="1482"/>
      <c r="AB911" s="1482"/>
      <c r="AC911" s="1482"/>
      <c r="AD911" s="1482"/>
      <c r="AE911" s="1482"/>
      <c r="AF911" s="1482"/>
      <c r="AG911" s="1482"/>
      <c r="AH911" s="1482"/>
      <c r="AI911" s="1482"/>
      <c r="AJ911" s="1482"/>
      <c r="AK911" s="1482"/>
      <c r="AL911" s="1482"/>
      <c r="AM911" s="1482"/>
      <c r="AN911" s="1482"/>
      <c r="AO911" s="1482"/>
      <c r="AP911" s="1482"/>
      <c r="AQ911" s="1482"/>
      <c r="AR911" s="1482"/>
      <c r="AS911" s="1482"/>
      <c r="AT911" s="1482"/>
      <c r="AZ911" s="3"/>
      <c r="BA911" s="3"/>
      <c r="BB911" s="3"/>
      <c r="BC911" s="3"/>
      <c r="BD911" s="3"/>
      <c r="BE911" s="3"/>
      <c r="BF911" s="3"/>
    </row>
    <row r="912" spans="1:58" ht="13"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3" customHeight="1">
      <c r="A913" s="2" t="s">
        <v>867</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3" customHeight="1">
      <c r="AZ914" s="3"/>
      <c r="BA914" s="3"/>
      <c r="BB914" s="3"/>
      <c r="BC914" s="3"/>
    </row>
    <row r="915" spans="1:58" ht="13" customHeight="1">
      <c r="F915" s="1647" t="s">
        <v>1600</v>
      </c>
      <c r="G915" s="1648"/>
      <c r="H915" s="1648"/>
      <c r="I915" s="1648"/>
      <c r="J915" s="1648"/>
      <c r="K915" s="1648"/>
      <c r="L915" s="1648"/>
      <c r="M915" s="1648"/>
      <c r="N915" s="1648"/>
      <c r="O915" s="1648"/>
      <c r="P915" s="1648"/>
      <c r="Q915" s="1648"/>
      <c r="R915" s="1648"/>
      <c r="S915" s="1648"/>
      <c r="T915" s="1649"/>
      <c r="U915" s="1690" t="s">
        <v>1601</v>
      </c>
      <c r="V915" s="1626"/>
      <c r="W915" s="1626"/>
      <c r="X915" s="1626"/>
      <c r="Y915" s="1626"/>
      <c r="Z915" s="1626"/>
      <c r="AA915" s="35"/>
      <c r="AB915" s="215"/>
      <c r="AC915" s="215"/>
      <c r="AD915" s="215"/>
      <c r="AE915" s="215"/>
      <c r="AF915" s="1175"/>
      <c r="AZ915" s="3"/>
      <c r="BA915" s="3"/>
      <c r="BB915" s="3"/>
      <c r="BC915" s="3"/>
    </row>
    <row r="916" spans="1:58" ht="13" customHeight="1">
      <c r="B916" s="2"/>
      <c r="F916" s="1691" t="s">
        <v>1602</v>
      </c>
      <c r="G916" s="1692"/>
      <c r="H916" s="1692"/>
      <c r="I916" s="1692"/>
      <c r="J916" s="1692"/>
      <c r="K916" s="1692"/>
      <c r="L916" s="1692"/>
      <c r="M916" s="1692"/>
      <c r="N916" s="1692"/>
      <c r="O916" s="1692"/>
      <c r="P916" s="1692"/>
      <c r="Q916" s="1692"/>
      <c r="R916" s="1692"/>
      <c r="S916" s="1692"/>
      <c r="T916" s="1714"/>
      <c r="U916" s="1691"/>
      <c r="V916" s="1692"/>
      <c r="W916" s="1692"/>
      <c r="X916" s="1692"/>
      <c r="Y916" s="1692"/>
      <c r="Z916" s="1692"/>
      <c r="AA916" s="36"/>
      <c r="AB916" s="3"/>
      <c r="AC916" s="3"/>
      <c r="AD916" s="3"/>
      <c r="AE916" s="3"/>
      <c r="AF916" s="1176"/>
      <c r="AZ916" s="3"/>
      <c r="BA916" s="3"/>
      <c r="BB916" s="3"/>
      <c r="BC916" s="3"/>
    </row>
    <row r="917" spans="1:58" ht="13" customHeight="1">
      <c r="B917" s="2"/>
      <c r="F917" s="1693"/>
      <c r="G917" s="1628"/>
      <c r="H917" s="1628"/>
      <c r="I917" s="1628"/>
      <c r="J917" s="1628"/>
      <c r="K917" s="1628"/>
      <c r="L917" s="1628"/>
      <c r="M917" s="1628"/>
      <c r="N917" s="1628"/>
      <c r="O917" s="1628"/>
      <c r="P917" s="1628"/>
      <c r="Q917" s="1628"/>
      <c r="R917" s="1628"/>
      <c r="S917" s="1628"/>
      <c r="T917" s="1629"/>
      <c r="U917" s="1693"/>
      <c r="V917" s="1628"/>
      <c r="W917" s="1628"/>
      <c r="X917" s="1628"/>
      <c r="Y917" s="1628"/>
      <c r="Z917" s="1628"/>
      <c r="AA917" s="792"/>
      <c r="AB917" s="1383" t="s">
        <v>1603</v>
      </c>
      <c r="AC917" s="1383"/>
      <c r="AD917" s="1383"/>
      <c r="AE917" s="1383"/>
      <c r="AF917" s="1177"/>
      <c r="AZ917" s="3"/>
      <c r="BA917" s="3"/>
      <c r="BB917" s="3"/>
      <c r="BC917" s="3"/>
    </row>
    <row r="918" spans="1:58" ht="13" customHeight="1">
      <c r="B918" s="2"/>
      <c r="F918" s="37" t="s">
        <v>1604</v>
      </c>
      <c r="G918" s="40"/>
      <c r="H918" s="40"/>
      <c r="I918" s="40"/>
      <c r="J918" s="40"/>
      <c r="K918" s="40"/>
      <c r="L918" s="40"/>
      <c r="M918" s="40"/>
      <c r="N918" s="40"/>
      <c r="O918" s="40"/>
      <c r="P918" s="40"/>
      <c r="Q918" s="40"/>
      <c r="R918" s="40"/>
      <c r="S918" s="40"/>
      <c r="T918" s="41"/>
      <c r="U918" s="1569" t="s">
        <v>842</v>
      </c>
      <c r="V918" s="1379"/>
      <c r="W918" s="1379"/>
      <c r="X918" s="1379"/>
      <c r="Y918" s="1379"/>
      <c r="Z918" s="1380"/>
      <c r="AA918" s="1573">
        <f>+AM554+AM555</f>
        <v>16069735</v>
      </c>
      <c r="AB918" s="1474"/>
      <c r="AC918" s="1474"/>
      <c r="AD918" s="1474"/>
      <c r="AE918" s="1474"/>
      <c r="AF918" s="1574"/>
      <c r="AZ918" s="3"/>
      <c r="BA918" s="3"/>
      <c r="BB918" s="3"/>
      <c r="BC918" s="3"/>
    </row>
    <row r="919" spans="1:58" ht="13" customHeight="1">
      <c r="B919" s="2"/>
      <c r="F919" s="87" t="s">
        <v>1605</v>
      </c>
      <c r="G919" s="40"/>
      <c r="H919" s="40"/>
      <c r="I919" s="40"/>
      <c r="J919" s="40"/>
      <c r="K919" s="40"/>
      <c r="L919" s="40"/>
      <c r="M919" s="40"/>
      <c r="N919" s="40"/>
      <c r="O919" s="40"/>
      <c r="P919" s="40"/>
      <c r="Q919" s="40"/>
      <c r="R919" s="40"/>
      <c r="S919" s="40"/>
      <c r="T919" s="41"/>
      <c r="U919" s="1569" t="s">
        <v>842</v>
      </c>
      <c r="V919" s="1379"/>
      <c r="W919" s="1379"/>
      <c r="X919" s="1379"/>
      <c r="Y919" s="1379"/>
      <c r="Z919" s="1380"/>
      <c r="AA919" s="1573">
        <f>+AM556</f>
        <v>11184073</v>
      </c>
      <c r="AB919" s="1474"/>
      <c r="AC919" s="1474"/>
      <c r="AD919" s="1474"/>
      <c r="AE919" s="1474"/>
      <c r="AF919" s="1574"/>
      <c r="AZ919" s="3"/>
      <c r="BA919" s="3"/>
      <c r="BB919" s="3"/>
      <c r="BC919" s="3"/>
    </row>
    <row r="920" spans="1:58" ht="13" customHeight="1">
      <c r="F920" s="37" t="s">
        <v>1606</v>
      </c>
      <c r="G920" s="5"/>
      <c r="H920" s="5"/>
      <c r="I920" s="5"/>
      <c r="J920" s="5"/>
      <c r="K920" s="5"/>
      <c r="L920" s="5"/>
      <c r="M920" s="5"/>
      <c r="N920" s="5"/>
      <c r="O920" s="5"/>
      <c r="P920" s="5"/>
      <c r="Q920" s="5"/>
      <c r="R920" s="5"/>
      <c r="S920" s="5"/>
      <c r="T920" s="38"/>
      <c r="U920" s="1569" t="s">
        <v>842</v>
      </c>
      <c r="V920" s="1379"/>
      <c r="W920" s="1379"/>
      <c r="X920" s="1379"/>
      <c r="Y920" s="1379"/>
      <c r="Z920" s="1380"/>
      <c r="AA920" s="1573">
        <f>+AM559</f>
        <v>2365172</v>
      </c>
      <c r="AB920" s="1474"/>
      <c r="AC920" s="1474"/>
      <c r="AD920" s="1474"/>
      <c r="AE920" s="1474"/>
      <c r="AF920" s="1574"/>
      <c r="AZ920" s="3"/>
      <c r="BA920" s="3"/>
      <c r="BB920" s="3"/>
      <c r="BC920" s="3"/>
    </row>
    <row r="921" spans="1:58" ht="13" customHeight="1">
      <c r="F921" s="37" t="s">
        <v>1607</v>
      </c>
      <c r="G921" s="5"/>
      <c r="H921" s="5"/>
      <c r="I921" s="5"/>
      <c r="J921" s="5"/>
      <c r="K921" s="5"/>
      <c r="L921" s="5"/>
      <c r="M921" s="5"/>
      <c r="N921" s="5"/>
      <c r="O921" s="5"/>
      <c r="P921" s="5"/>
      <c r="Q921" s="5"/>
      <c r="R921" s="5"/>
      <c r="S921" s="5"/>
      <c r="T921" s="38"/>
      <c r="U921" s="1569" t="s">
        <v>807</v>
      </c>
      <c r="V921" s="1379"/>
      <c r="W921" s="1379"/>
      <c r="X921" s="1379"/>
      <c r="Y921" s="1379"/>
      <c r="Z921" s="1380"/>
      <c r="AA921" s="1573"/>
      <c r="AB921" s="1474"/>
      <c r="AC921" s="1474"/>
      <c r="AD921" s="1474"/>
      <c r="AE921" s="1474"/>
      <c r="AF921" s="1574"/>
      <c r="AZ921" s="3"/>
      <c r="BA921" s="3"/>
      <c r="BB921" s="3"/>
      <c r="BC921" s="3"/>
    </row>
    <row r="922" spans="1:58" ht="13" customHeight="1">
      <c r="F922" s="87" t="s">
        <v>1608</v>
      </c>
      <c r="G922" s="5"/>
      <c r="H922" s="5"/>
      <c r="I922" s="5"/>
      <c r="J922" s="5"/>
      <c r="K922" s="5"/>
      <c r="L922" s="5"/>
      <c r="M922" s="5"/>
      <c r="N922" s="5"/>
      <c r="O922" s="5"/>
      <c r="P922" s="5"/>
      <c r="Q922" s="5"/>
      <c r="R922" s="5"/>
      <c r="S922" s="5"/>
      <c r="T922" s="38"/>
      <c r="U922" s="1569" t="s">
        <v>807</v>
      </c>
      <c r="V922" s="1379"/>
      <c r="W922" s="1379"/>
      <c r="X922" s="1379"/>
      <c r="Y922" s="1379"/>
      <c r="Z922" s="1380"/>
      <c r="AA922" s="1573"/>
      <c r="AB922" s="1474"/>
      <c r="AC922" s="1474"/>
      <c r="AD922" s="1474"/>
      <c r="AE922" s="1474"/>
      <c r="AF922" s="1574"/>
      <c r="AZ922" s="3"/>
      <c r="BA922" s="3"/>
      <c r="BB922" s="3"/>
      <c r="BC922" s="3"/>
    </row>
    <row r="923" spans="1:58" ht="13" customHeight="1">
      <c r="F923" s="87" t="s">
        <v>1609</v>
      </c>
      <c r="G923" s="5"/>
      <c r="H923" s="5"/>
      <c r="I923" s="5"/>
      <c r="J923" s="5"/>
      <c r="K923" s="5"/>
      <c r="L923" s="5"/>
      <c r="M923" s="5"/>
      <c r="N923" s="5"/>
      <c r="O923" s="5"/>
      <c r="P923" s="5"/>
      <c r="Q923" s="5"/>
      <c r="R923" s="5"/>
      <c r="S923" s="5"/>
      <c r="T923" s="38"/>
      <c r="U923" s="1569" t="s">
        <v>807</v>
      </c>
      <c r="V923" s="1379"/>
      <c r="W923" s="1379"/>
      <c r="X923" s="1379"/>
      <c r="Y923" s="1379"/>
      <c r="Z923" s="1380"/>
      <c r="AA923" s="1573"/>
      <c r="AB923" s="1474"/>
      <c r="AC923" s="1474"/>
      <c r="AD923" s="1474"/>
      <c r="AE923" s="1474"/>
      <c r="AF923" s="1574"/>
      <c r="AZ923" s="3"/>
      <c r="BA923" s="3"/>
      <c r="BB923" s="3"/>
      <c r="BC923" s="3"/>
    </row>
    <row r="924" spans="1:58" ht="13" customHeight="1">
      <c r="F924" s="87" t="s">
        <v>1610</v>
      </c>
      <c r="G924" s="5"/>
      <c r="H924" s="5"/>
      <c r="I924" s="5"/>
      <c r="J924" s="5"/>
      <c r="K924" s="5"/>
      <c r="L924" s="5"/>
      <c r="M924" s="5"/>
      <c r="N924" s="5"/>
      <c r="O924" s="5"/>
      <c r="P924" s="5"/>
      <c r="Q924" s="5"/>
      <c r="R924" s="5"/>
      <c r="S924" s="5"/>
      <c r="T924" s="38"/>
      <c r="U924" s="1569" t="s">
        <v>807</v>
      </c>
      <c r="V924" s="1379"/>
      <c r="W924" s="1379"/>
      <c r="X924" s="1379"/>
      <c r="Y924" s="1379"/>
      <c r="Z924" s="1380"/>
      <c r="AA924" s="1573"/>
      <c r="AB924" s="1474"/>
      <c r="AC924" s="1474"/>
      <c r="AD924" s="1474"/>
      <c r="AE924" s="1474"/>
      <c r="AF924" s="1574"/>
      <c r="AZ924" s="3"/>
      <c r="BA924" s="3"/>
      <c r="BB924" s="3"/>
      <c r="BC924" s="3"/>
    </row>
    <row r="925" spans="1:58" ht="13" customHeight="1">
      <c r="F925" s="37" t="s">
        <v>1611</v>
      </c>
      <c r="G925" s="5"/>
      <c r="H925" s="5"/>
      <c r="I925" s="5"/>
      <c r="J925" s="5"/>
      <c r="K925" s="5"/>
      <c r="L925" s="5"/>
      <c r="M925" s="5"/>
      <c r="N925" s="5"/>
      <c r="O925" s="5"/>
      <c r="P925" s="5"/>
      <c r="Q925" s="5"/>
      <c r="R925" s="5"/>
      <c r="S925" s="5"/>
      <c r="T925" s="38"/>
      <c r="U925" s="1569" t="s">
        <v>807</v>
      </c>
      <c r="V925" s="1379"/>
      <c r="W925" s="1379"/>
      <c r="X925" s="1379"/>
      <c r="Y925" s="1379"/>
      <c r="Z925" s="1380"/>
      <c r="AA925" s="1573"/>
      <c r="AB925" s="1474"/>
      <c r="AC925" s="1474"/>
      <c r="AD925" s="1474"/>
      <c r="AE925" s="1474"/>
      <c r="AF925" s="1574"/>
      <c r="AZ925" s="3"/>
      <c r="BA925" s="3"/>
      <c r="BB925" s="3"/>
      <c r="BC925" s="3"/>
    </row>
    <row r="926" spans="1:58" ht="13" customHeight="1">
      <c r="F926" s="1566" t="s">
        <v>1612</v>
      </c>
      <c r="G926" s="1567"/>
      <c r="H926" s="1567"/>
      <c r="I926" s="1567"/>
      <c r="J926" s="1567"/>
      <c r="K926" s="1567"/>
      <c r="L926" s="1567"/>
      <c r="M926" s="1567"/>
      <c r="N926" s="1567"/>
      <c r="O926" s="1567"/>
      <c r="P926" s="1567"/>
      <c r="Q926" s="1567"/>
      <c r="R926" s="1567"/>
      <c r="S926" s="1567"/>
      <c r="T926" s="1568"/>
      <c r="U926" s="1569" t="s">
        <v>807</v>
      </c>
      <c r="V926" s="1379"/>
      <c r="W926" s="1379"/>
      <c r="X926" s="1379"/>
      <c r="Y926" s="1379"/>
      <c r="Z926" s="1380"/>
      <c r="AA926" s="1573"/>
      <c r="AB926" s="1474"/>
      <c r="AC926" s="1474"/>
      <c r="AD926" s="1474"/>
      <c r="AE926" s="1474"/>
      <c r="AF926" s="1574"/>
      <c r="AZ926" s="3"/>
      <c r="BA926" s="3"/>
      <c r="BB926" s="3"/>
      <c r="BC926" s="3"/>
    </row>
    <row r="927" spans="1:58" ht="13" customHeight="1">
      <c r="F927" s="1566" t="s">
        <v>1613</v>
      </c>
      <c r="G927" s="1567"/>
      <c r="H927" s="1567"/>
      <c r="I927" s="1567"/>
      <c r="J927" s="1567"/>
      <c r="K927" s="1567"/>
      <c r="L927" s="1567"/>
      <c r="M927" s="1567"/>
      <c r="N927" s="1567"/>
      <c r="O927" s="1567"/>
      <c r="P927" s="1567"/>
      <c r="Q927" s="1567"/>
      <c r="R927" s="1567"/>
      <c r="S927" s="1567"/>
      <c r="T927" s="1568"/>
      <c r="U927" s="1569" t="s">
        <v>807</v>
      </c>
      <c r="V927" s="1379"/>
      <c r="W927" s="1379"/>
      <c r="X927" s="1379"/>
      <c r="Y927" s="1379"/>
      <c r="Z927" s="1380"/>
      <c r="AA927" s="1573"/>
      <c r="AB927" s="1474"/>
      <c r="AC927" s="1474"/>
      <c r="AD927" s="1474"/>
      <c r="AE927" s="1474"/>
      <c r="AF927" s="1574"/>
      <c r="AU927" s="2"/>
      <c r="AZ927" s="3"/>
      <c r="BA927" s="3"/>
      <c r="BB927" s="3"/>
      <c r="BC927" s="3"/>
    </row>
    <row r="928" spans="1:58" ht="13" customHeight="1">
      <c r="F928" s="1566" t="s">
        <v>1614</v>
      </c>
      <c r="G928" s="1567"/>
      <c r="H928" s="1567"/>
      <c r="I928" s="1567"/>
      <c r="J928" s="1567"/>
      <c r="K928" s="1567"/>
      <c r="L928" s="1567"/>
      <c r="M928" s="1567"/>
      <c r="N928" s="1567"/>
      <c r="O928" s="1567"/>
      <c r="P928" s="1567"/>
      <c r="Q928" s="1567"/>
      <c r="R928" s="1567"/>
      <c r="S928" s="1567"/>
      <c r="T928" s="1568"/>
      <c r="U928" s="1569" t="s">
        <v>807</v>
      </c>
      <c r="V928" s="1379"/>
      <c r="W928" s="1379"/>
      <c r="X928" s="1379"/>
      <c r="Y928" s="1379"/>
      <c r="Z928" s="1380"/>
      <c r="AA928" s="1573"/>
      <c r="AB928" s="1474"/>
      <c r="AC928" s="1474"/>
      <c r="AD928" s="1474"/>
      <c r="AE928" s="1474"/>
      <c r="AF928" s="1574"/>
      <c r="AU928" s="2"/>
      <c r="AZ928" s="3"/>
      <c r="BA928" s="3"/>
      <c r="BB928" s="3"/>
      <c r="BC928" s="3"/>
    </row>
    <row r="929" spans="6:55" ht="13" customHeight="1">
      <c r="F929" s="1566" t="s">
        <v>1615</v>
      </c>
      <c r="G929" s="1567"/>
      <c r="H929" s="1567"/>
      <c r="I929" s="1567"/>
      <c r="J929" s="1567"/>
      <c r="K929" s="1567"/>
      <c r="L929" s="1567"/>
      <c r="M929" s="1567"/>
      <c r="N929" s="1567"/>
      <c r="O929" s="1567"/>
      <c r="P929" s="1567"/>
      <c r="Q929" s="1567"/>
      <c r="R929" s="1567"/>
      <c r="S929" s="1567"/>
      <c r="T929" s="1568"/>
      <c r="U929" s="1569" t="s">
        <v>807</v>
      </c>
      <c r="V929" s="1379"/>
      <c r="W929" s="1379"/>
      <c r="X929" s="1379"/>
      <c r="Y929" s="1379"/>
      <c r="Z929" s="1380"/>
      <c r="AA929" s="1573"/>
      <c r="AB929" s="1474"/>
      <c r="AC929" s="1474"/>
      <c r="AD929" s="1474"/>
      <c r="AE929" s="1474"/>
      <c r="AF929" s="1574"/>
      <c r="AU929" s="2"/>
      <c r="AZ929" s="3"/>
      <c r="BA929" s="3"/>
      <c r="BB929" s="3"/>
      <c r="BC929" s="3"/>
    </row>
    <row r="930" spans="6:55" ht="13" customHeight="1">
      <c r="F930" s="1566" t="s">
        <v>1616</v>
      </c>
      <c r="G930" s="1567"/>
      <c r="H930" s="1567"/>
      <c r="I930" s="1567"/>
      <c r="J930" s="1567"/>
      <c r="K930" s="1567"/>
      <c r="L930" s="1567"/>
      <c r="M930" s="1567"/>
      <c r="N930" s="1567"/>
      <c r="O930" s="1567"/>
      <c r="P930" s="1567"/>
      <c r="Q930" s="1567"/>
      <c r="R930" s="1567"/>
      <c r="S930" s="1567"/>
      <c r="T930" s="1568"/>
      <c r="U930" s="1569" t="s">
        <v>807</v>
      </c>
      <c r="V930" s="1379"/>
      <c r="W930" s="1379"/>
      <c r="X930" s="1379"/>
      <c r="Y930" s="1379"/>
      <c r="Z930" s="1380"/>
      <c r="AA930" s="1573"/>
      <c r="AB930" s="1474"/>
      <c r="AC930" s="1474"/>
      <c r="AD930" s="1474"/>
      <c r="AE930" s="1474"/>
      <c r="AF930" s="1574"/>
      <c r="AU930" s="2"/>
      <c r="AZ930" s="3"/>
      <c r="BA930" s="3"/>
      <c r="BB930" s="3"/>
      <c r="BC930" s="3"/>
    </row>
    <row r="931" spans="6:55" ht="13" customHeight="1">
      <c r="F931" s="1566" t="s">
        <v>1617</v>
      </c>
      <c r="G931" s="1567"/>
      <c r="H931" s="1567"/>
      <c r="I931" s="1567"/>
      <c r="J931" s="1567"/>
      <c r="K931" s="1567"/>
      <c r="L931" s="1567"/>
      <c r="M931" s="1567"/>
      <c r="N931" s="1567"/>
      <c r="O931" s="1567"/>
      <c r="P931" s="1567"/>
      <c r="Q931" s="1567"/>
      <c r="R931" s="1567"/>
      <c r="S931" s="1567"/>
      <c r="T931" s="1568"/>
      <c r="U931" s="1569" t="s">
        <v>807</v>
      </c>
      <c r="V931" s="1379"/>
      <c r="W931" s="1379"/>
      <c r="X931" s="1379"/>
      <c r="Y931" s="1379"/>
      <c r="Z931" s="1380"/>
      <c r="AA931" s="1573"/>
      <c r="AB931" s="1474"/>
      <c r="AC931" s="1474"/>
      <c r="AD931" s="1474"/>
      <c r="AE931" s="1474"/>
      <c r="AF931" s="1574"/>
      <c r="AU931" s="2"/>
      <c r="AZ931" s="3"/>
      <c r="BA931" s="3"/>
      <c r="BB931" s="3"/>
      <c r="BC931" s="3"/>
    </row>
    <row r="932" spans="6:55" ht="13" customHeight="1">
      <c r="F932" s="1566" t="s">
        <v>1618</v>
      </c>
      <c r="G932" s="1567"/>
      <c r="H932" s="1567"/>
      <c r="I932" s="1567"/>
      <c r="J932" s="1567"/>
      <c r="K932" s="1567"/>
      <c r="L932" s="1567"/>
      <c r="M932" s="1567"/>
      <c r="N932" s="1567"/>
      <c r="O932" s="1567"/>
      <c r="P932" s="1567"/>
      <c r="Q932" s="1567"/>
      <c r="R932" s="1567"/>
      <c r="S932" s="1567"/>
      <c r="T932" s="1568"/>
      <c r="U932" s="1569" t="s">
        <v>807</v>
      </c>
      <c r="V932" s="1379"/>
      <c r="W932" s="1379"/>
      <c r="X932" s="1379"/>
      <c r="Y932" s="1379"/>
      <c r="Z932" s="1380"/>
      <c r="AA932" s="1573"/>
      <c r="AB932" s="1474"/>
      <c r="AC932" s="1474"/>
      <c r="AD932" s="1474"/>
      <c r="AE932" s="1474"/>
      <c r="AF932" s="1574"/>
      <c r="AZ932" s="25"/>
      <c r="BA932" s="25"/>
    </row>
    <row r="933" spans="6:55" ht="13" customHeight="1">
      <c r="F933" s="123" t="s">
        <v>1619</v>
      </c>
      <c r="G933" s="5"/>
      <c r="H933" s="5"/>
      <c r="I933" s="5"/>
      <c r="J933" s="5"/>
      <c r="K933" s="5"/>
      <c r="L933" s="5"/>
      <c r="M933" s="5"/>
      <c r="N933" s="5"/>
      <c r="O933" s="5"/>
      <c r="P933" s="5"/>
      <c r="Q933" s="5"/>
      <c r="R933" s="5"/>
      <c r="S933" s="5"/>
      <c r="T933" s="38"/>
      <c r="U933" s="1569" t="s">
        <v>807</v>
      </c>
      <c r="V933" s="1379"/>
      <c r="W933" s="1379"/>
      <c r="X933" s="1379"/>
      <c r="Y933" s="1379"/>
      <c r="Z933" s="1380"/>
      <c r="AA933" s="1573"/>
      <c r="AB933" s="1474"/>
      <c r="AC933" s="1474"/>
      <c r="AD933" s="1474"/>
      <c r="AE933" s="1474"/>
      <c r="AF933" s="1574"/>
    </row>
    <row r="934" spans="6:55" ht="13" customHeight="1">
      <c r="F934" s="87" t="s">
        <v>1620</v>
      </c>
      <c r="G934" s="5"/>
      <c r="H934" s="5"/>
      <c r="I934" s="5"/>
      <c r="J934" s="5"/>
      <c r="K934" s="5"/>
      <c r="L934" s="5"/>
      <c r="M934" s="5"/>
      <c r="N934" s="5"/>
      <c r="O934" s="5"/>
      <c r="P934" s="5"/>
      <c r="Q934" s="5"/>
      <c r="R934" s="5"/>
      <c r="S934" s="5"/>
      <c r="T934" s="38"/>
      <c r="U934" s="1569" t="s">
        <v>807</v>
      </c>
      <c r="V934" s="1379"/>
      <c r="W934" s="1379"/>
      <c r="X934" s="1379"/>
      <c r="Y934" s="1379"/>
      <c r="Z934" s="1380"/>
      <c r="AA934" s="1573"/>
      <c r="AB934" s="1474"/>
      <c r="AC934" s="1474"/>
      <c r="AD934" s="1474"/>
      <c r="AE934" s="1474"/>
      <c r="AF934" s="1574"/>
      <c r="AZ934" s="25"/>
      <c r="BA934" s="13"/>
    </row>
    <row r="935" spans="6:55" ht="13" customHeight="1">
      <c r="F935" s="87" t="s">
        <v>1621</v>
      </c>
      <c r="G935" s="5"/>
      <c r="H935" s="5"/>
      <c r="I935" s="5"/>
      <c r="J935" s="5"/>
      <c r="K935" s="5"/>
      <c r="L935" s="5"/>
      <c r="M935" s="5"/>
      <c r="N935" s="5"/>
      <c r="O935" s="5"/>
      <c r="P935" s="5"/>
      <c r="Q935" s="5"/>
      <c r="R935" s="5"/>
      <c r="S935" s="5"/>
      <c r="T935" s="38"/>
      <c r="U935" s="1569" t="s">
        <v>807</v>
      </c>
      <c r="V935" s="1379"/>
      <c r="W935" s="1379"/>
      <c r="X935" s="1379"/>
      <c r="Y935" s="1379"/>
      <c r="Z935" s="1380"/>
      <c r="AA935" s="1573"/>
      <c r="AB935" s="1474"/>
      <c r="AC935" s="1474"/>
      <c r="AD935" s="1474"/>
      <c r="AE935" s="1474"/>
      <c r="AF935" s="1574"/>
      <c r="AZ935" s="25"/>
      <c r="BA935" s="13"/>
    </row>
    <row r="936" spans="6:55" ht="13" customHeight="1">
      <c r="F936" s="1570" t="s">
        <v>1622</v>
      </c>
      <c r="G936" s="1571"/>
      <c r="H936" s="1571"/>
      <c r="I936" s="1571"/>
      <c r="J936" s="1571"/>
      <c r="K936" s="1571"/>
      <c r="L936" s="1571"/>
      <c r="M936" s="1571"/>
      <c r="N936" s="1571"/>
      <c r="O936" s="1571"/>
      <c r="P936" s="1571"/>
      <c r="Q936" s="1571"/>
      <c r="R936" s="1571"/>
      <c r="S936" s="1571"/>
      <c r="T936" s="1572"/>
      <c r="U936" s="1569" t="s">
        <v>807</v>
      </c>
      <c r="V936" s="1379"/>
      <c r="W936" s="1379"/>
      <c r="X936" s="1379"/>
      <c r="Y936" s="1379"/>
      <c r="Z936" s="1380"/>
      <c r="AA936" s="1573"/>
      <c r="AB936" s="1474"/>
      <c r="AC936" s="1474"/>
      <c r="AD936" s="1474"/>
      <c r="AE936" s="1474"/>
      <c r="AF936" s="1574"/>
      <c r="AZ936" s="25"/>
      <c r="BA936" s="13"/>
    </row>
    <row r="937" spans="6:55" ht="13" customHeight="1">
      <c r="F937" s="1570" t="s">
        <v>1623</v>
      </c>
      <c r="G937" s="1571"/>
      <c r="H937" s="1571"/>
      <c r="I937" s="1571"/>
      <c r="J937" s="1571"/>
      <c r="K937" s="1571"/>
      <c r="L937" s="1571"/>
      <c r="M937" s="1571"/>
      <c r="N937" s="1571"/>
      <c r="O937" s="1571"/>
      <c r="P937" s="1571"/>
      <c r="Q937" s="1571"/>
      <c r="R937" s="1571"/>
      <c r="S937" s="1571"/>
      <c r="T937" s="1572"/>
      <c r="U937" s="1569" t="s">
        <v>807</v>
      </c>
      <c r="V937" s="1379"/>
      <c r="W937" s="1379"/>
      <c r="X937" s="1379"/>
      <c r="Y937" s="1379"/>
      <c r="Z937" s="1380"/>
      <c r="AA937" s="1573"/>
      <c r="AB937" s="1474"/>
      <c r="AC937" s="1474"/>
      <c r="AD937" s="1474"/>
      <c r="AE937" s="1474"/>
      <c r="AF937" s="1574"/>
      <c r="AZ937" s="25"/>
      <c r="BA937" s="25"/>
    </row>
    <row r="938" spans="6:55" ht="13" customHeight="1">
      <c r="F938" s="1566" t="s">
        <v>1624</v>
      </c>
      <c r="G938" s="1567"/>
      <c r="H938" s="1567"/>
      <c r="I938" s="1567"/>
      <c r="J938" s="1567"/>
      <c r="K938" s="1567"/>
      <c r="L938" s="1567"/>
      <c r="M938" s="1567"/>
      <c r="N938" s="1567"/>
      <c r="O938" s="1567"/>
      <c r="P938" s="1567"/>
      <c r="Q938" s="1567"/>
      <c r="R938" s="1567"/>
      <c r="S938" s="1567"/>
      <c r="T938" s="1568"/>
      <c r="U938" s="1569" t="s">
        <v>842</v>
      </c>
      <c r="V938" s="1379"/>
      <c r="W938" s="1379"/>
      <c r="X938" s="1379"/>
      <c r="Y938" s="1379"/>
      <c r="Z938" s="1380"/>
      <c r="AA938" s="1573">
        <f>+AM558</f>
        <v>9993700</v>
      </c>
      <c r="AB938" s="1474"/>
      <c r="AC938" s="1474"/>
      <c r="AD938" s="1474"/>
      <c r="AE938" s="1474"/>
      <c r="AF938" s="1574"/>
      <c r="AZ938" s="25"/>
      <c r="BA938" s="25"/>
    </row>
    <row r="939" spans="6:55" ht="13" customHeight="1">
      <c r="F939" s="1566" t="s">
        <v>1625</v>
      </c>
      <c r="G939" s="1567"/>
      <c r="H939" s="1567"/>
      <c r="I939" s="1567"/>
      <c r="J939" s="1567"/>
      <c r="K939" s="1567"/>
      <c r="L939" s="1567"/>
      <c r="M939" s="1567"/>
      <c r="N939" s="1567"/>
      <c r="O939" s="1567"/>
      <c r="P939" s="1567"/>
      <c r="Q939" s="1567"/>
      <c r="R939" s="1567"/>
      <c r="S939" s="1567"/>
      <c r="T939" s="1568"/>
      <c r="U939" s="1569" t="s">
        <v>807</v>
      </c>
      <c r="V939" s="1379"/>
      <c r="W939" s="1379"/>
      <c r="X939" s="1379"/>
      <c r="Y939" s="1379"/>
      <c r="Z939" s="1380"/>
      <c r="AA939" s="1573"/>
      <c r="AB939" s="1474"/>
      <c r="AC939" s="1474"/>
      <c r="AD939" s="1474"/>
      <c r="AE939" s="1474"/>
      <c r="AF939" s="1574"/>
      <c r="AZ939" s="25"/>
      <c r="BA939" s="25"/>
    </row>
    <row r="940" spans="6:55" ht="13" customHeight="1">
      <c r="F940" s="1566" t="s">
        <v>1626</v>
      </c>
      <c r="G940" s="1567"/>
      <c r="H940" s="1567"/>
      <c r="I940" s="1567"/>
      <c r="J940" s="1567"/>
      <c r="K940" s="1567"/>
      <c r="L940" s="1567"/>
      <c r="M940" s="1567"/>
      <c r="N940" s="1567"/>
      <c r="O940" s="1567"/>
      <c r="P940" s="1567"/>
      <c r="Q940" s="1567"/>
      <c r="R940" s="1567"/>
      <c r="S940" s="1567"/>
      <c r="T940" s="1568"/>
      <c r="U940" s="1569" t="s">
        <v>807</v>
      </c>
      <c r="V940" s="1379"/>
      <c r="W940" s="1379"/>
      <c r="X940" s="1379"/>
      <c r="Y940" s="1379"/>
      <c r="Z940" s="1380"/>
      <c r="AA940" s="1573"/>
      <c r="AB940" s="1474"/>
      <c r="AC940" s="1474"/>
      <c r="AD940" s="1474"/>
      <c r="AE940" s="1474"/>
      <c r="AF940" s="1574"/>
      <c r="AZ940" s="3"/>
      <c r="BA940" s="3"/>
      <c r="BB940" s="13"/>
      <c r="BC940" s="13"/>
    </row>
    <row r="941" spans="6:55" ht="13" customHeight="1">
      <c r="F941" s="87" t="s">
        <v>1627</v>
      </c>
      <c r="G941" s="5"/>
      <c r="H941" s="5"/>
      <c r="I941" s="5"/>
      <c r="J941" s="5"/>
      <c r="K941" s="5"/>
      <c r="L941" s="5"/>
      <c r="M941" s="5"/>
      <c r="N941" s="5"/>
      <c r="O941" s="5"/>
      <c r="P941" s="5"/>
      <c r="Q941" s="5"/>
      <c r="R941" s="5"/>
      <c r="S941" s="5"/>
      <c r="T941" s="38"/>
      <c r="U941" s="1569" t="s">
        <v>807</v>
      </c>
      <c r="V941" s="1379"/>
      <c r="W941" s="1379"/>
      <c r="X941" s="1379"/>
      <c r="Y941" s="1379"/>
      <c r="Z941" s="1380"/>
      <c r="AA941" s="1573"/>
      <c r="AB941" s="1474"/>
      <c r="AC941" s="1474"/>
      <c r="AD941" s="1474"/>
      <c r="AE941" s="1474"/>
      <c r="AF941" s="1574"/>
      <c r="AZ941" s="3"/>
      <c r="BA941" s="3"/>
      <c r="BB941" s="13"/>
      <c r="BC941" s="13"/>
    </row>
    <row r="942" spans="6:55" ht="13" customHeight="1">
      <c r="F942" s="1570" t="s">
        <v>1628</v>
      </c>
      <c r="G942" s="1571"/>
      <c r="H942" s="1571"/>
      <c r="I942" s="1571"/>
      <c r="J942" s="1571"/>
      <c r="K942" s="1571"/>
      <c r="L942" s="1571"/>
      <c r="M942" s="1571"/>
      <c r="N942" s="1571"/>
      <c r="O942" s="1571"/>
      <c r="P942" s="1571"/>
      <c r="Q942" s="1571"/>
      <c r="R942" s="1571"/>
      <c r="S942" s="1571"/>
      <c r="T942" s="1572"/>
      <c r="U942" s="1569" t="s">
        <v>807</v>
      </c>
      <c r="V942" s="1379"/>
      <c r="W942" s="1379"/>
      <c r="X942" s="1379"/>
      <c r="Y942" s="1379"/>
      <c r="Z942" s="1380"/>
      <c r="AA942" s="1573"/>
      <c r="AB942" s="1474"/>
      <c r="AC942" s="1474"/>
      <c r="AD942" s="1474"/>
      <c r="AE942" s="1474"/>
      <c r="AF942" s="1574"/>
      <c r="AZ942" s="3"/>
      <c r="BA942" s="3"/>
      <c r="BB942" s="3"/>
      <c r="BC942" s="3"/>
    </row>
    <row r="943" spans="6:55" ht="13" customHeight="1">
      <c r="F943" s="87" t="s">
        <v>1629</v>
      </c>
      <c r="G943" s="5"/>
      <c r="H943" s="5"/>
      <c r="I943" s="5"/>
      <c r="J943" s="5"/>
      <c r="K943" s="5"/>
      <c r="L943" s="5"/>
      <c r="M943" s="5"/>
      <c r="N943" s="5"/>
      <c r="O943" s="5"/>
      <c r="P943" s="5"/>
      <c r="Q943" s="5"/>
      <c r="R943" s="5"/>
      <c r="S943" s="5"/>
      <c r="T943" s="38"/>
      <c r="U943" s="1569" t="s">
        <v>807</v>
      </c>
      <c r="V943" s="1379"/>
      <c r="W943" s="1379"/>
      <c r="X943" s="1379"/>
      <c r="Y943" s="1379"/>
      <c r="Z943" s="1380"/>
      <c r="AA943" s="1573"/>
      <c r="AB943" s="1474"/>
      <c r="AC943" s="1474"/>
      <c r="AD943" s="1474"/>
      <c r="AE943" s="1474"/>
      <c r="AF943" s="1574"/>
      <c r="AZ943" s="3"/>
      <c r="BA943" s="3"/>
      <c r="BB943" s="3"/>
      <c r="BC943" s="3"/>
    </row>
    <row r="944" spans="6:55" ht="13" customHeight="1">
      <c r="F944" s="1570" t="s">
        <v>1630</v>
      </c>
      <c r="G944" s="1571"/>
      <c r="H944" s="1571"/>
      <c r="I944" s="1571"/>
      <c r="J944" s="1571"/>
      <c r="K944" s="1571"/>
      <c r="L944" s="1571"/>
      <c r="M944" s="1571"/>
      <c r="N944" s="1571"/>
      <c r="O944" s="1571"/>
      <c r="P944" s="1571"/>
      <c r="Q944" s="1571"/>
      <c r="R944" s="1571"/>
      <c r="S944" s="1571"/>
      <c r="T944" s="1572"/>
      <c r="U944" s="1569" t="s">
        <v>807</v>
      </c>
      <c r="V944" s="1379"/>
      <c r="W944" s="1379"/>
      <c r="X944" s="1379"/>
      <c r="Y944" s="1379"/>
      <c r="Z944" s="1380"/>
      <c r="AA944" s="1573"/>
      <c r="AB944" s="1474"/>
      <c r="AC944" s="1474"/>
      <c r="AD944" s="1474"/>
      <c r="AE944" s="1474"/>
      <c r="AF944" s="1574"/>
      <c r="AZ944" s="3"/>
      <c r="BA944" s="3"/>
      <c r="BB944" s="3"/>
      <c r="BC944" s="3"/>
    </row>
    <row r="945" spans="1:55" ht="13" customHeight="1">
      <c r="F945" s="37" t="s">
        <v>1631</v>
      </c>
      <c r="G945" s="5"/>
      <c r="H945" s="5"/>
      <c r="I945" s="5"/>
      <c r="J945" s="5"/>
      <c r="K945" s="5"/>
      <c r="L945" s="5"/>
      <c r="M945" s="5"/>
      <c r="N945" s="5"/>
      <c r="O945" s="5"/>
      <c r="P945" s="1569" t="s">
        <v>692</v>
      </c>
      <c r="Q945" s="1379"/>
      <c r="R945" s="1379"/>
      <c r="S945" s="1379"/>
      <c r="T945" s="1380"/>
      <c r="U945" s="1569" t="s">
        <v>807</v>
      </c>
      <c r="V945" s="1379"/>
      <c r="W945" s="1379"/>
      <c r="X945" s="1379"/>
      <c r="Y945" s="1379"/>
      <c r="Z945" s="1380"/>
      <c r="AA945" s="1573"/>
      <c r="AB945" s="1474"/>
      <c r="AC945" s="1474"/>
      <c r="AD945" s="1474"/>
      <c r="AE945" s="1474"/>
      <c r="AF945" s="1574"/>
      <c r="AZ945" s="3"/>
      <c r="BA945" s="3"/>
      <c r="BB945" s="3"/>
      <c r="BC945" s="3"/>
    </row>
    <row r="946" spans="1:55" ht="13" customHeight="1">
      <c r="F946" s="1566" t="s">
        <v>1632</v>
      </c>
      <c r="G946" s="1567"/>
      <c r="H946" s="1568"/>
      <c r="I946" s="1583" t="s">
        <v>1261</v>
      </c>
      <c r="J946" s="1584"/>
      <c r="K946" s="1584"/>
      <c r="L946" s="1584"/>
      <c r="M946" s="1584"/>
      <c r="N946" s="1584"/>
      <c r="O946" s="1584"/>
      <c r="P946" s="1584"/>
      <c r="Q946" s="1584"/>
      <c r="R946" s="1584"/>
      <c r="S946" s="1584"/>
      <c r="T946" s="1585"/>
      <c r="U946" s="1569" t="s">
        <v>807</v>
      </c>
      <c r="V946" s="1379"/>
      <c r="W946" s="1379"/>
      <c r="X946" s="1379"/>
      <c r="Y946" s="1379"/>
      <c r="Z946" s="1380"/>
      <c r="AA946" s="1573"/>
      <c r="AB946" s="1474"/>
      <c r="AC946" s="1474"/>
      <c r="AD946" s="1474"/>
      <c r="AE946" s="1474"/>
      <c r="AF946" s="1574"/>
      <c r="AZ946" s="3"/>
      <c r="BA946" s="3"/>
      <c r="BB946" s="3"/>
      <c r="BC946" s="3"/>
    </row>
    <row r="947" spans="1:55" ht="13" customHeight="1">
      <c r="F947" s="37" t="s">
        <v>1063</v>
      </c>
      <c r="G947" s="40"/>
      <c r="H947" s="40"/>
      <c r="I947" s="1583" t="s">
        <v>1261</v>
      </c>
      <c r="J947" s="1584"/>
      <c r="K947" s="1584"/>
      <c r="L947" s="1584"/>
      <c r="M947" s="1584"/>
      <c r="N947" s="1584"/>
      <c r="O947" s="1584"/>
      <c r="P947" s="1584"/>
      <c r="Q947" s="1584"/>
      <c r="R947" s="1584"/>
      <c r="S947" s="1584"/>
      <c r="T947" s="1585"/>
      <c r="U947" s="1569" t="s">
        <v>807</v>
      </c>
      <c r="V947" s="1379"/>
      <c r="W947" s="1379"/>
      <c r="X947" s="1379"/>
      <c r="Y947" s="1379"/>
      <c r="Z947" s="1380"/>
      <c r="AA947" s="1573"/>
      <c r="AB947" s="1474"/>
      <c r="AC947" s="1474"/>
      <c r="AD947" s="1474"/>
      <c r="AE947" s="1474"/>
      <c r="AF947" s="1574"/>
      <c r="AZ947" s="3"/>
      <c r="BA947" s="3"/>
      <c r="BB947" s="3"/>
      <c r="BC947" s="3"/>
    </row>
    <row r="948" spans="1:55" ht="13" customHeight="1">
      <c r="F948" s="37" t="s">
        <v>1633</v>
      </c>
      <c r="G948" s="40"/>
      <c r="H948" s="40"/>
      <c r="I948" s="1583" t="s">
        <v>1261</v>
      </c>
      <c r="J948" s="1584"/>
      <c r="K948" s="1584"/>
      <c r="L948" s="1584"/>
      <c r="M948" s="1584"/>
      <c r="N948" s="1584"/>
      <c r="O948" s="1584"/>
      <c r="P948" s="1584"/>
      <c r="Q948" s="1584"/>
      <c r="R948" s="1584"/>
      <c r="S948" s="1584"/>
      <c r="T948" s="1585"/>
      <c r="U948" s="1569" t="s">
        <v>807</v>
      </c>
      <c r="V948" s="1379"/>
      <c r="W948" s="1379"/>
      <c r="X948" s="1379"/>
      <c r="Y948" s="1379"/>
      <c r="Z948" s="1380"/>
      <c r="AA948" s="1573"/>
      <c r="AB948" s="1474"/>
      <c r="AC948" s="1474"/>
      <c r="AD948" s="1474"/>
      <c r="AE948" s="1474"/>
      <c r="AF948" s="1574"/>
      <c r="AV948" s="2"/>
      <c r="AW948" s="2"/>
      <c r="AX948" s="2"/>
      <c r="AY948" s="2"/>
      <c r="AZ948" s="3"/>
      <c r="BA948" s="3"/>
      <c r="BB948" s="3"/>
      <c r="BC948" s="3"/>
    </row>
    <row r="949" spans="1:55" ht="13" customHeight="1">
      <c r="F949" s="39" t="s">
        <v>233</v>
      </c>
      <c r="G949" s="40"/>
      <c r="H949" s="40"/>
      <c r="I949" s="1583" t="s">
        <v>1261</v>
      </c>
      <c r="J949" s="1584"/>
      <c r="K949" s="1584"/>
      <c r="L949" s="1584"/>
      <c r="M949" s="1584"/>
      <c r="N949" s="1584"/>
      <c r="O949" s="1584"/>
      <c r="P949" s="1584"/>
      <c r="Q949" s="1584"/>
      <c r="R949" s="1584"/>
      <c r="S949" s="1584"/>
      <c r="T949" s="1585"/>
      <c r="U949" s="1569" t="s">
        <v>807</v>
      </c>
      <c r="V949" s="1379"/>
      <c r="W949" s="1379"/>
      <c r="X949" s="1379"/>
      <c r="Y949" s="1379"/>
      <c r="Z949" s="1380"/>
      <c r="AA949" s="1573"/>
      <c r="AB949" s="1474"/>
      <c r="AC949" s="1474"/>
      <c r="AD949" s="1474"/>
      <c r="AE949" s="1474"/>
      <c r="AF949" s="1574"/>
      <c r="AU949" s="2"/>
      <c r="AZ949" s="3"/>
      <c r="BA949" s="3"/>
      <c r="BB949" s="3"/>
      <c r="BC949" s="3"/>
    </row>
    <row r="950" spans="1:55" ht="13" customHeight="1">
      <c r="F950" s="39" t="s">
        <v>233</v>
      </c>
      <c r="G950" s="40"/>
      <c r="H950" s="40"/>
      <c r="I950" s="1583" t="s">
        <v>2756</v>
      </c>
      <c r="J950" s="1584"/>
      <c r="K950" s="1584"/>
      <c r="L950" s="1584"/>
      <c r="M950" s="1584"/>
      <c r="N950" s="1584"/>
      <c r="O950" s="1584"/>
      <c r="P950" s="1584"/>
      <c r="Q950" s="1584"/>
      <c r="R950" s="1584"/>
      <c r="S950" s="1584"/>
      <c r="T950" s="1585"/>
      <c r="U950" s="1569" t="s">
        <v>842</v>
      </c>
      <c r="V950" s="1379"/>
      <c r="W950" s="1379"/>
      <c r="X950" s="1379"/>
      <c r="Y950" s="1379"/>
      <c r="Z950" s="1380"/>
      <c r="AA950" s="1573">
        <f>+AM557</f>
        <v>10246570</v>
      </c>
      <c r="AB950" s="1474"/>
      <c r="AC950" s="1474"/>
      <c r="AD950" s="1474"/>
      <c r="AE950" s="1474"/>
      <c r="AF950" s="1574"/>
      <c r="AU950" s="2"/>
      <c r="AZ950" s="3"/>
      <c r="BA950" s="3"/>
      <c r="BB950" s="3"/>
      <c r="BC950" s="3"/>
    </row>
    <row r="951" spans="1:55" ht="13" customHeight="1">
      <c r="AU951" s="2"/>
      <c r="AZ951" s="3"/>
      <c r="BA951" s="3"/>
      <c r="BB951" s="3"/>
      <c r="BC951" s="3"/>
    </row>
    <row r="952" spans="1:55" ht="13" customHeight="1">
      <c r="A952" s="2" t="s">
        <v>908</v>
      </c>
      <c r="C952" s="2" t="s">
        <v>247</v>
      </c>
      <c r="AZ952" s="3"/>
      <c r="BA952" s="3"/>
      <c r="BB952" s="3"/>
      <c r="BC952" s="3"/>
    </row>
    <row r="953" spans="1:55" ht="13" customHeight="1">
      <c r="B953" s="2"/>
      <c r="C953" s="19" t="s">
        <v>1634</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3" customHeight="1">
      <c r="AZ954" s="3"/>
      <c r="BA954" s="3"/>
      <c r="BB954" s="3"/>
      <c r="BC954" s="3"/>
    </row>
    <row r="955" spans="1:55" ht="13" customHeight="1">
      <c r="C955" s="87" t="s">
        <v>1635</v>
      </c>
      <c r="D955" s="5"/>
      <c r="E955" s="5"/>
      <c r="F955" s="5"/>
      <c r="G955" s="5"/>
      <c r="H955" s="5"/>
      <c r="I955" s="5"/>
      <c r="J955" s="5"/>
      <c r="K955" s="5"/>
      <c r="L955" s="38"/>
      <c r="M955" s="1638"/>
      <c r="N955" s="1470"/>
      <c r="O955" s="1470"/>
      <c r="P955" s="1470"/>
      <c r="Q955" s="1470"/>
      <c r="R955" s="1470"/>
      <c r="S955" s="1565"/>
      <c r="U955" s="87" t="s">
        <v>1635</v>
      </c>
      <c r="V955" s="5"/>
      <c r="W955" s="5"/>
      <c r="X955" s="5"/>
      <c r="Y955" s="5"/>
      <c r="Z955" s="5"/>
      <c r="AA955" s="5"/>
      <c r="AB955" s="5"/>
      <c r="AC955" s="5"/>
      <c r="AD955" s="38"/>
      <c r="AE955" s="1638"/>
      <c r="AF955" s="1470"/>
      <c r="AG955" s="1470"/>
      <c r="AH955" s="1470"/>
      <c r="AI955" s="1470"/>
      <c r="AJ955" s="1470"/>
      <c r="AK955" s="1565"/>
      <c r="AZ955" s="3"/>
      <c r="BA955" s="3"/>
      <c r="BB955" s="3"/>
      <c r="BC955" s="3"/>
    </row>
    <row r="956" spans="1:55" ht="13" customHeight="1">
      <c r="C956" s="87" t="s">
        <v>1636</v>
      </c>
      <c r="D956" s="5"/>
      <c r="E956" s="5"/>
      <c r="F956" s="5"/>
      <c r="G956" s="5"/>
      <c r="H956" s="5"/>
      <c r="I956" s="5"/>
      <c r="J956" s="5"/>
      <c r="K956" s="5"/>
      <c r="L956" s="38"/>
      <c r="M956" s="1601"/>
      <c r="N956" s="1423"/>
      <c r="O956" s="1423"/>
      <c r="P956" s="1423"/>
      <c r="Q956" s="1423"/>
      <c r="R956" s="1423"/>
      <c r="S956" s="1602"/>
      <c r="U956" s="87" t="s">
        <v>1636</v>
      </c>
      <c r="V956" s="5"/>
      <c r="W956" s="5"/>
      <c r="X956" s="5"/>
      <c r="Y956" s="5"/>
      <c r="Z956" s="5"/>
      <c r="AA956" s="5"/>
      <c r="AB956" s="5"/>
      <c r="AC956" s="5"/>
      <c r="AD956" s="38"/>
      <c r="AE956" s="1601"/>
      <c r="AF956" s="1423"/>
      <c r="AG956" s="1423"/>
      <c r="AH956" s="1423"/>
      <c r="AI956" s="1423"/>
      <c r="AJ956" s="1423"/>
      <c r="AK956" s="1602"/>
      <c r="AZ956" s="3"/>
      <c r="BA956" s="3"/>
      <c r="BB956" s="3"/>
      <c r="BC956" s="3"/>
    </row>
    <row r="957" spans="1:55" ht="13" customHeight="1">
      <c r="C957" s="87" t="s">
        <v>1637</v>
      </c>
      <c r="D957" s="5"/>
      <c r="E957" s="5"/>
      <c r="J957" s="1739" t="s">
        <v>309</v>
      </c>
      <c r="K957" s="1740"/>
      <c r="L957" s="1740"/>
      <c r="M957" s="1740"/>
      <c r="N957" s="1740"/>
      <c r="O957" s="1740"/>
      <c r="P957" s="1740"/>
      <c r="Q957" s="1740"/>
      <c r="R957" s="1740"/>
      <c r="S957" s="1741"/>
      <c r="U957" s="87" t="s">
        <v>1637</v>
      </c>
      <c r="V957" s="5"/>
      <c r="W957" s="5"/>
      <c r="AB957" s="1739" t="s">
        <v>309</v>
      </c>
      <c r="AC957" s="1740"/>
      <c r="AD957" s="1740"/>
      <c r="AE957" s="1740"/>
      <c r="AF957" s="1740"/>
      <c r="AG957" s="1740"/>
      <c r="AH957" s="1740"/>
      <c r="AI957" s="1740"/>
      <c r="AJ957" s="1740"/>
      <c r="AK957" s="1741"/>
      <c r="AZ957" s="3"/>
      <c r="BA957" s="3"/>
      <c r="BB957" s="3"/>
      <c r="BC957" s="3"/>
    </row>
    <row r="958" spans="1:55" ht="13" customHeight="1">
      <c r="C958" s="87" t="s">
        <v>1638</v>
      </c>
      <c r="D958" s="5"/>
      <c r="E958" s="5"/>
      <c r="F958" s="5"/>
      <c r="G958" s="5"/>
      <c r="H958" s="5"/>
      <c r="I958" s="5"/>
      <c r="J958" s="5"/>
      <c r="K958" s="5"/>
      <c r="L958" s="38"/>
      <c r="M958" s="1639"/>
      <c r="N958" s="1640"/>
      <c r="O958" s="1640"/>
      <c r="P958" s="1640"/>
      <c r="Q958" s="1640"/>
      <c r="R958" s="1640"/>
      <c r="S958" s="1641"/>
      <c r="U958" s="87" t="s">
        <v>1638</v>
      </c>
      <c r="V958" s="5"/>
      <c r="W958" s="5"/>
      <c r="X958" s="5"/>
      <c r="Y958" s="5"/>
      <c r="Z958" s="5"/>
      <c r="AA958" s="5"/>
      <c r="AB958" s="5"/>
      <c r="AC958" s="5"/>
      <c r="AD958" s="38"/>
      <c r="AE958" s="1713"/>
      <c r="AF958" s="1640"/>
      <c r="AG958" s="1640"/>
      <c r="AH958" s="1640"/>
      <c r="AI958" s="1640"/>
      <c r="AJ958" s="1640"/>
      <c r="AK958" s="1641"/>
      <c r="AZ958" s="3"/>
      <c r="BA958" s="3"/>
      <c r="BB958" s="3"/>
      <c r="BC958" s="3"/>
    </row>
    <row r="959" spans="1:55" ht="13" customHeight="1">
      <c r="C959" s="87" t="s">
        <v>1639</v>
      </c>
      <c r="D959" s="5"/>
      <c r="E959" s="5"/>
      <c r="F959" s="5"/>
      <c r="G959" s="5"/>
      <c r="H959" s="5"/>
      <c r="I959" s="5"/>
      <c r="J959" s="5"/>
      <c r="K959" s="5"/>
      <c r="L959" s="38"/>
      <c r="M959" s="1659"/>
      <c r="N959" s="1550"/>
      <c r="O959" s="1550"/>
      <c r="P959" s="1550"/>
      <c r="Q959" s="1550"/>
      <c r="R959" s="1550"/>
      <c r="S959" s="1551"/>
      <c r="U959" s="87" t="s">
        <v>1639</v>
      </c>
      <c r="V959" s="5"/>
      <c r="W959" s="5"/>
      <c r="X959" s="5"/>
      <c r="Y959" s="5"/>
      <c r="Z959" s="5"/>
      <c r="AA959" s="5"/>
      <c r="AB959" s="5"/>
      <c r="AC959" s="5"/>
      <c r="AD959" s="38"/>
      <c r="AE959" s="1659"/>
      <c r="AF959" s="1550"/>
      <c r="AG959" s="1550"/>
      <c r="AH959" s="1550"/>
      <c r="AI959" s="1550"/>
      <c r="AJ959" s="1550"/>
      <c r="AK959" s="1551"/>
      <c r="AV959" s="2"/>
      <c r="AW959" s="2"/>
      <c r="AX959" s="2"/>
      <c r="AY959" s="2"/>
      <c r="AZ959" s="3"/>
      <c r="BA959" s="3"/>
      <c r="BB959" s="3"/>
      <c r="BC959" s="3"/>
    </row>
    <row r="960" spans="1:55" ht="13" customHeight="1">
      <c r="C960" s="87" t="s">
        <v>1640</v>
      </c>
      <c r="D960" s="5"/>
      <c r="E960" s="5"/>
      <c r="F960" s="5"/>
      <c r="G960" s="5"/>
      <c r="H960" s="5"/>
      <c r="I960" s="5"/>
      <c r="J960" s="5"/>
      <c r="K960" s="5"/>
      <c r="L960" s="38"/>
      <c r="M960" s="1573"/>
      <c r="N960" s="1474"/>
      <c r="O960" s="1474"/>
      <c r="P960" s="1474"/>
      <c r="Q960" s="1474"/>
      <c r="R960" s="1474"/>
      <c r="S960" s="1574"/>
      <c r="U960" s="87" t="s">
        <v>1640</v>
      </c>
      <c r="V960" s="5"/>
      <c r="W960" s="5"/>
      <c r="X960" s="5"/>
      <c r="Y960" s="5"/>
      <c r="Z960" s="5"/>
      <c r="AA960" s="5"/>
      <c r="AB960" s="5"/>
      <c r="AC960" s="5"/>
      <c r="AD960" s="38"/>
      <c r="AE960" s="1573"/>
      <c r="AF960" s="1474"/>
      <c r="AG960" s="1474"/>
      <c r="AH960" s="1474"/>
      <c r="AI960" s="1474"/>
      <c r="AJ960" s="1474"/>
      <c r="AK960" s="1574"/>
      <c r="AV960" s="2"/>
      <c r="AW960" s="2"/>
      <c r="AX960" s="2"/>
      <c r="AY960" s="2"/>
      <c r="AZ960" s="3"/>
      <c r="BA960" s="3"/>
      <c r="BB960" s="3"/>
      <c r="BC960" s="3"/>
    </row>
    <row r="961" spans="1:64" ht="13" customHeight="1">
      <c r="C961" s="87" t="s">
        <v>1641</v>
      </c>
      <c r="D961" s="5"/>
      <c r="E961" s="5"/>
      <c r="F961" s="5"/>
      <c r="G961" s="5"/>
      <c r="H961" s="5"/>
      <c r="I961" s="5"/>
      <c r="J961" s="5"/>
      <c r="K961" s="5"/>
      <c r="L961" s="38"/>
      <c r="M961" s="1573"/>
      <c r="N961" s="1474"/>
      <c r="O961" s="1474"/>
      <c r="P961" s="1474"/>
      <c r="Q961" s="1474"/>
      <c r="R961" s="1474"/>
      <c r="S961" s="1574"/>
      <c r="U961" s="87" t="s">
        <v>1641</v>
      </c>
      <c r="V961" s="5"/>
      <c r="W961" s="5"/>
      <c r="X961" s="5"/>
      <c r="Y961" s="5"/>
      <c r="Z961" s="5"/>
      <c r="AA961" s="5"/>
      <c r="AB961" s="5"/>
      <c r="AC961" s="5"/>
      <c r="AD961" s="38"/>
      <c r="AE961" s="1573"/>
      <c r="AF961" s="1474"/>
      <c r="AG961" s="1474"/>
      <c r="AH961" s="1474"/>
      <c r="AI961" s="1474"/>
      <c r="AJ961" s="1474"/>
      <c r="AK961" s="1574"/>
      <c r="AV961" s="2"/>
      <c r="AW961" s="2"/>
      <c r="AX961" s="2"/>
      <c r="AY961" s="2"/>
      <c r="AZ961" s="3"/>
      <c r="BB961" s="3"/>
      <c r="BC961" s="3"/>
    </row>
    <row r="962" spans="1:64" ht="13" customHeight="1">
      <c r="C962" s="87" t="s">
        <v>1246</v>
      </c>
      <c r="D962" s="5"/>
      <c r="E962" s="5"/>
      <c r="F962" s="5"/>
      <c r="G962" s="5"/>
      <c r="H962" s="5"/>
      <c r="I962" s="5"/>
      <c r="J962" s="5"/>
      <c r="K962" s="5"/>
      <c r="L962" s="38"/>
      <c r="M962" s="1710"/>
      <c r="N962" s="1711"/>
      <c r="O962" s="1711"/>
      <c r="P962" s="1711"/>
      <c r="Q962" s="1711"/>
      <c r="R962" s="1711"/>
      <c r="S962" s="1712"/>
      <c r="U962" s="87" t="s">
        <v>1246</v>
      </c>
      <c r="V962" s="5"/>
      <c r="W962" s="5"/>
      <c r="X962" s="5"/>
      <c r="Y962" s="5"/>
      <c r="Z962" s="5"/>
      <c r="AA962" s="5"/>
      <c r="AB962" s="5"/>
      <c r="AC962" s="5"/>
      <c r="AD962" s="38"/>
      <c r="AE962" s="1710"/>
      <c r="AF962" s="1711"/>
      <c r="AG962" s="1711"/>
      <c r="AH962" s="1711"/>
      <c r="AI962" s="1711"/>
      <c r="AJ962" s="1711"/>
      <c r="AK962" s="1712"/>
      <c r="AZ962" s="3"/>
      <c r="BB962" s="3"/>
      <c r="BC962" s="3"/>
      <c r="BD962" s="3"/>
      <c r="BE962" s="3"/>
      <c r="BF962" s="3"/>
      <c r="BG962" s="3"/>
      <c r="BH962" s="3"/>
      <c r="BI962" s="3"/>
      <c r="BJ962" s="3"/>
      <c r="BK962" s="3"/>
      <c r="BL962" s="3"/>
    </row>
    <row r="963" spans="1:64" ht="13" customHeight="1">
      <c r="AZ963" s="3"/>
      <c r="BB963" s="3"/>
      <c r="BC963" s="3"/>
      <c r="BD963" s="3"/>
      <c r="BE963" s="3"/>
      <c r="BF963" s="3"/>
      <c r="BG963" s="3"/>
      <c r="BH963" s="3"/>
      <c r="BI963" s="3"/>
      <c r="BJ963" s="3"/>
      <c r="BK963" s="3"/>
      <c r="BL963" s="3"/>
    </row>
    <row r="964" spans="1:64" ht="13" customHeight="1">
      <c r="A964" s="2" t="s">
        <v>987</v>
      </c>
      <c r="C964" s="2" t="s">
        <v>1642</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3" customHeight="1">
      <c r="A965"/>
      <c r="B965" s="2"/>
      <c r="C965" s="19" t="s">
        <v>1643</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3"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8"/>
      <c r="AV966"/>
      <c r="AW966"/>
      <c r="AX966"/>
      <c r="AY966"/>
      <c r="AZ966" s="3"/>
      <c r="BA966"/>
      <c r="BB966" s="3"/>
      <c r="BC966" s="3"/>
      <c r="BD966" s="3"/>
      <c r="BE966" s="3"/>
      <c r="BF966" s="3"/>
      <c r="BG966" s="3"/>
      <c r="BH966" s="3"/>
      <c r="BI966" s="3"/>
      <c r="BJ966" s="3"/>
      <c r="BK966" s="3"/>
      <c r="BL966" s="3"/>
    </row>
    <row r="967" spans="1:64" s="13" customFormat="1" ht="13" customHeight="1">
      <c r="A967"/>
      <c r="B967"/>
      <c r="C967"/>
      <c r="D967"/>
      <c r="E967"/>
      <c r="F967" s="37" t="s">
        <v>1644</v>
      </c>
      <c r="G967" s="5"/>
      <c r="H967" s="5"/>
      <c r="I967" s="5"/>
      <c r="J967" s="5"/>
      <c r="K967" s="5"/>
      <c r="L967" s="38"/>
      <c r="M967" s="1599"/>
      <c r="N967" s="1401"/>
      <c r="O967" s="1401"/>
      <c r="P967" s="1401"/>
      <c r="Q967" s="1401"/>
      <c r="R967" s="1401"/>
      <c r="S967" s="1600"/>
      <c r="T967" s="87" t="s">
        <v>1645</v>
      </c>
      <c r="U967" s="5"/>
      <c r="V967" s="5"/>
      <c r="W967" s="5"/>
      <c r="X967" s="5"/>
      <c r="Y967" s="5"/>
      <c r="Z967" s="38"/>
      <c r="AA967" s="1599"/>
      <c r="AB967" s="1401"/>
      <c r="AC967" s="1401"/>
      <c r="AD967" s="1401"/>
      <c r="AE967" s="1401"/>
      <c r="AF967" s="1401"/>
      <c r="AG967" s="1600"/>
      <c r="AH967"/>
      <c r="AI967"/>
      <c r="AJ967"/>
      <c r="AK967"/>
      <c r="AL967"/>
      <c r="AM967"/>
      <c r="AN967"/>
      <c r="AO967"/>
      <c r="AP967"/>
      <c r="AQ967"/>
      <c r="AR967"/>
      <c r="AS967"/>
      <c r="AT967"/>
      <c r="AU967" s="1178"/>
      <c r="AV967"/>
      <c r="AW967"/>
      <c r="AX967"/>
      <c r="AY967"/>
      <c r="AZ967" s="3"/>
      <c r="BA967"/>
      <c r="BB967" s="3"/>
      <c r="BC967" s="3"/>
      <c r="BD967" s="3"/>
      <c r="BE967" s="3"/>
      <c r="BF967" s="3"/>
      <c r="BG967" s="3"/>
      <c r="BH967" s="3"/>
      <c r="BI967" s="3"/>
      <c r="BJ967" s="3"/>
      <c r="BK967" s="3"/>
      <c r="BL967" s="3"/>
    </row>
    <row r="968" spans="1:64" s="13" customFormat="1" ht="13" customHeight="1">
      <c r="A968"/>
      <c r="B968"/>
      <c r="C968"/>
      <c r="D968"/>
      <c r="E968"/>
      <c r="F968" s="37" t="s">
        <v>1646</v>
      </c>
      <c r="G968" s="5"/>
      <c r="H968" s="5"/>
      <c r="I968" s="5"/>
      <c r="J968" s="5"/>
      <c r="K968" s="5"/>
      <c r="L968" s="38"/>
      <c r="M968" s="1599"/>
      <c r="N968" s="1401"/>
      <c r="O968" s="1401"/>
      <c r="P968" s="1401"/>
      <c r="Q968" s="1401"/>
      <c r="R968" s="1401"/>
      <c r="S968" s="1600"/>
      <c r="T968" s="87" t="s">
        <v>1647</v>
      </c>
      <c r="U968" s="5"/>
      <c r="V968" s="5"/>
      <c r="W968" s="5"/>
      <c r="X968" s="5"/>
      <c r="Y968" s="5"/>
      <c r="Z968" s="38"/>
      <c r="AA968" s="1599"/>
      <c r="AB968" s="1401"/>
      <c r="AC968" s="1401"/>
      <c r="AD968" s="1401"/>
      <c r="AE968" s="1401"/>
      <c r="AF968" s="1401"/>
      <c r="AG968" s="1600"/>
      <c r="AH968"/>
      <c r="AI968"/>
      <c r="AJ968"/>
      <c r="AK968"/>
      <c r="AL968"/>
      <c r="AM968"/>
      <c r="AN968"/>
      <c r="AO968"/>
      <c r="AP968"/>
      <c r="AQ968"/>
      <c r="AR968"/>
      <c r="AS968"/>
      <c r="AT968"/>
      <c r="AU968" s="1178"/>
      <c r="AV968"/>
      <c r="AW968"/>
      <c r="AX968"/>
      <c r="AY968"/>
      <c r="AZ968" s="3"/>
      <c r="BA968"/>
      <c r="BB968" s="3"/>
      <c r="BC968" s="3"/>
      <c r="BD968" s="3"/>
      <c r="BE968" s="3"/>
      <c r="BF968"/>
      <c r="BG968"/>
      <c r="BH968"/>
      <c r="BI968"/>
      <c r="BJ968" s="3"/>
      <c r="BK968" s="3"/>
      <c r="BL968" s="3"/>
    </row>
    <row r="969" spans="1:64" s="13" customFormat="1" ht="13" customHeight="1">
      <c r="A969"/>
      <c r="B969"/>
      <c r="C969"/>
      <c r="D969"/>
      <c r="E969"/>
      <c r="F969" s="37" t="s">
        <v>1648</v>
      </c>
      <c r="G969" s="5"/>
      <c r="H969" s="5"/>
      <c r="I969" s="5"/>
      <c r="J969" s="5"/>
      <c r="K969" s="5"/>
      <c r="L969" s="38"/>
      <c r="M969" s="1642" t="s">
        <v>807</v>
      </c>
      <c r="N969" s="1643"/>
      <c r="O969" s="1643"/>
      <c r="P969" s="1643"/>
      <c r="Q969" s="1643"/>
      <c r="R969" s="1643"/>
      <c r="S969" s="1644"/>
      <c r="T969" s="37" t="s">
        <v>1649</v>
      </c>
      <c r="U969" s="5"/>
      <c r="V969" s="5"/>
      <c r="W969" s="5"/>
      <c r="X969" s="5"/>
      <c r="Y969" s="5"/>
      <c r="Z969" s="38"/>
      <c r="AA969" s="1599"/>
      <c r="AB969" s="1401"/>
      <c r="AC969" s="1401"/>
      <c r="AD969" s="1401"/>
      <c r="AE969" s="1401"/>
      <c r="AF969" s="1401"/>
      <c r="AG969" s="1600"/>
      <c r="AH969"/>
      <c r="AI969"/>
      <c r="AJ969"/>
      <c r="AK969"/>
      <c r="AL969"/>
      <c r="AM969"/>
      <c r="AN969"/>
      <c r="AO969"/>
      <c r="AP969"/>
      <c r="AQ969"/>
      <c r="AR969"/>
      <c r="AS969"/>
      <c r="AT969"/>
      <c r="AU969" s="1178"/>
      <c r="AV969"/>
      <c r="AW969"/>
      <c r="AX969"/>
      <c r="AY969"/>
      <c r="AZ969" s="3"/>
      <c r="BA969"/>
      <c r="BB969" s="3"/>
      <c r="BC969" s="3"/>
      <c r="BD969" s="3"/>
      <c r="BE969" s="3"/>
      <c r="BF969"/>
      <c r="BG969"/>
      <c r="BH969"/>
      <c r="BI969"/>
      <c r="BJ969" s="3"/>
      <c r="BK969" s="3"/>
      <c r="BL969" s="3"/>
    </row>
    <row r="970" spans="1:64" s="13" customFormat="1" ht="13" customHeight="1">
      <c r="A970"/>
      <c r="B970"/>
      <c r="C970"/>
      <c r="D970"/>
      <c r="E970"/>
      <c r="F970" s="37" t="s">
        <v>1650</v>
      </c>
      <c r="G970" s="5"/>
      <c r="H970" s="5"/>
      <c r="I970" s="5"/>
      <c r="J970" s="5"/>
      <c r="K970" s="5"/>
      <c r="L970" s="38"/>
      <c r="M970" s="1599"/>
      <c r="N970" s="1401"/>
      <c r="O970" s="1401"/>
      <c r="P970" s="1401"/>
      <c r="Q970" s="1401"/>
      <c r="R970" s="1401"/>
      <c r="S970" s="1600"/>
      <c r="T970" s="37" t="s">
        <v>1651</v>
      </c>
      <c r="U970" s="5"/>
      <c r="V970" s="5"/>
      <c r="W970" s="5"/>
      <c r="X970" s="5"/>
      <c r="Y970" s="5"/>
      <c r="Z970" s="38"/>
      <c r="AA970" s="1599"/>
      <c r="AB970" s="1401"/>
      <c r="AC970" s="1401"/>
      <c r="AD970" s="1401"/>
      <c r="AE970" s="1401"/>
      <c r="AF970" s="1401"/>
      <c r="AG970" s="1600"/>
      <c r="AH970"/>
      <c r="AI970"/>
      <c r="AJ970"/>
      <c r="AK970"/>
      <c r="AL970"/>
      <c r="AM970"/>
      <c r="AN970"/>
      <c r="AO970"/>
      <c r="AP970"/>
      <c r="AQ970"/>
      <c r="AR970"/>
      <c r="AS970"/>
      <c r="AT970"/>
      <c r="AU970" s="1178"/>
      <c r="AV970"/>
      <c r="AW970"/>
      <c r="AX970"/>
      <c r="AY970"/>
      <c r="AZ970" s="3"/>
      <c r="BA970"/>
      <c r="BB970" s="3"/>
      <c r="BC970" s="3"/>
      <c r="BD970" s="3"/>
      <c r="BE970" s="3"/>
      <c r="BF970"/>
      <c r="BG970"/>
      <c r="BH970"/>
      <c r="BI970"/>
      <c r="BJ970" s="3"/>
      <c r="BK970" s="3"/>
      <c r="BL970" s="3"/>
    </row>
    <row r="971" spans="1:64" s="13" customFormat="1" ht="13" customHeight="1">
      <c r="A971"/>
      <c r="B971"/>
      <c r="C971"/>
      <c r="D971"/>
      <c r="E971"/>
      <c r="F971" s="37" t="s">
        <v>1652</v>
      </c>
      <c r="G971" s="5"/>
      <c r="H971" s="5"/>
      <c r="I971" s="5"/>
      <c r="J971" s="5"/>
      <c r="K971" s="5"/>
      <c r="L971" s="38"/>
      <c r="M971" s="1599">
        <f>+Z809</f>
        <v>541284</v>
      </c>
      <c r="N971" s="1401"/>
      <c r="O971" s="1401"/>
      <c r="P971" s="1401"/>
      <c r="Q971" s="1401"/>
      <c r="R971" s="1401"/>
      <c r="S971" s="1600"/>
      <c r="T971" s="37" t="s">
        <v>1653</v>
      </c>
      <c r="U971" s="5"/>
      <c r="V971" s="5"/>
      <c r="W971" s="5"/>
      <c r="X971" s="5"/>
      <c r="Y971" s="5"/>
      <c r="Z971" s="38"/>
      <c r="AA971" s="1599"/>
      <c r="AB971" s="1401"/>
      <c r="AC971" s="1401"/>
      <c r="AD971" s="1401"/>
      <c r="AE971" s="1401"/>
      <c r="AF971" s="1401"/>
      <c r="AG971" s="1600"/>
      <c r="AH971"/>
      <c r="AI971"/>
      <c r="AJ971"/>
      <c r="AK971"/>
      <c r="AL971"/>
      <c r="AM971"/>
      <c r="AN971"/>
      <c r="AO971"/>
      <c r="AP971"/>
      <c r="AQ971"/>
      <c r="AR971"/>
      <c r="AS971"/>
      <c r="AT971"/>
      <c r="AU971" s="1178"/>
      <c r="AV971"/>
      <c r="AW971"/>
      <c r="AX971"/>
      <c r="AY971"/>
      <c r="AZ971" s="3"/>
      <c r="BA971"/>
      <c r="BB971" s="3"/>
      <c r="BC971" s="3"/>
      <c r="BD971" s="3"/>
      <c r="BE971" s="3"/>
      <c r="BF971"/>
      <c r="BG971"/>
      <c r="BH971"/>
      <c r="BI971"/>
      <c r="BJ971" s="3"/>
      <c r="BK971" s="3"/>
      <c r="BL971" s="3"/>
    </row>
    <row r="972" spans="1:64" s="13" customFormat="1" ht="13" customHeight="1">
      <c r="A972"/>
      <c r="B972"/>
      <c r="C972"/>
      <c r="D972"/>
      <c r="E972"/>
      <c r="F972" s="1179" t="s">
        <v>1637</v>
      </c>
      <c r="G972" s="34"/>
      <c r="H972" s="34"/>
      <c r="I972" s="34"/>
      <c r="J972" s="34"/>
      <c r="K972" s="34"/>
      <c r="L972" s="50"/>
      <c r="M972" s="1739" t="s">
        <v>2751</v>
      </c>
      <c r="N972" s="1740"/>
      <c r="O972" s="1740"/>
      <c r="P972" s="1740"/>
      <c r="Q972" s="1740"/>
      <c r="R972" s="1740"/>
      <c r="S972" s="1741"/>
      <c r="T972" s="1697"/>
      <c r="U972" s="1698"/>
      <c r="V972" s="1698"/>
      <c r="W972" s="1698"/>
      <c r="X972" s="1698"/>
      <c r="Y972" s="1698"/>
      <c r="Z972" s="1699"/>
      <c r="AA972" s="1599"/>
      <c r="AB972" s="1401"/>
      <c r="AC972" s="1401"/>
      <c r="AD972" s="1401"/>
      <c r="AE972" s="1401"/>
      <c r="AF972" s="1401"/>
      <c r="AG972" s="1600"/>
      <c r="AH972"/>
      <c r="AI972"/>
      <c r="AJ972"/>
      <c r="AK972"/>
      <c r="AL972"/>
      <c r="AM972"/>
      <c r="AN972"/>
      <c r="AO972"/>
      <c r="AP972"/>
      <c r="AQ972"/>
      <c r="AR972"/>
      <c r="AS972"/>
      <c r="AT972"/>
      <c r="AU972" s="1178"/>
      <c r="AV972"/>
      <c r="AW972"/>
      <c r="AX972"/>
      <c r="AY972"/>
      <c r="AZ972" s="3"/>
      <c r="BA972" s="3"/>
      <c r="BB972" s="3"/>
      <c r="BC972" s="3"/>
      <c r="BD972" s="3"/>
      <c r="BE972" s="3"/>
      <c r="BF972" s="3"/>
      <c r="BG972" s="3"/>
      <c r="BH972" s="3"/>
      <c r="BI972" s="3"/>
      <c r="BJ972" s="3"/>
      <c r="BK972" s="3"/>
      <c r="BL972" s="3"/>
    </row>
    <row r="973" spans="1:64" s="13" customFormat="1" ht="13" customHeight="1">
      <c r="A973"/>
      <c r="B973"/>
      <c r="C973"/>
      <c r="D973"/>
      <c r="E973"/>
      <c r="F973" s="33" t="s">
        <v>1654</v>
      </c>
      <c r="G973" s="34"/>
      <c r="H973" s="34"/>
      <c r="I973" s="34"/>
      <c r="J973" s="34"/>
      <c r="K973" s="34"/>
      <c r="L973" s="50"/>
      <c r="M973" s="1599"/>
      <c r="N973" s="1401"/>
      <c r="O973" s="1401"/>
      <c r="P973" s="1401"/>
      <c r="Q973" s="1401"/>
      <c r="R973" s="1401"/>
      <c r="S973" s="1600"/>
      <c r="T973" s="1697"/>
      <c r="U973" s="1698"/>
      <c r="V973" s="1698"/>
      <c r="W973" s="1698"/>
      <c r="X973" s="1698"/>
      <c r="Y973" s="1698"/>
      <c r="Z973" s="1699"/>
      <c r="AA973" s="1599"/>
      <c r="AB973" s="1401"/>
      <c r="AC973" s="1401"/>
      <c r="AD973" s="1401"/>
      <c r="AE973" s="1401"/>
      <c r="AF973" s="1401"/>
      <c r="AG973" s="1600"/>
      <c r="AH973"/>
      <c r="AI973"/>
      <c r="AJ973"/>
      <c r="AK973"/>
      <c r="AL973"/>
      <c r="AM973"/>
      <c r="AN973"/>
      <c r="AO973"/>
      <c r="AP973"/>
      <c r="AQ973"/>
      <c r="AR973"/>
      <c r="AS973"/>
      <c r="AT973"/>
      <c r="AU973" s="1178"/>
      <c r="AV973"/>
      <c r="AW973"/>
      <c r="AX973"/>
      <c r="AY973"/>
      <c r="AZ973" s="3"/>
      <c r="BA973" s="3"/>
      <c r="BB973" s="3"/>
      <c r="BC973" s="3"/>
      <c r="BD973" s="3"/>
      <c r="BE973" s="3"/>
      <c r="BF973" s="3"/>
      <c r="BG973" s="3"/>
      <c r="BH973" s="3"/>
      <c r="BI973" s="3"/>
      <c r="BJ973" s="3"/>
      <c r="BK973" s="3"/>
      <c r="BL973" s="3"/>
    </row>
    <row r="974" spans="1:64" ht="13" customHeight="1">
      <c r="F974" s="33" t="s">
        <v>1655</v>
      </c>
      <c r="G974" s="34"/>
      <c r="H974" s="34"/>
      <c r="I974" s="34"/>
      <c r="J974" s="34"/>
      <c r="K974" s="34"/>
      <c r="L974" s="34"/>
      <c r="M974" s="34"/>
      <c r="N974" s="34"/>
      <c r="O974" s="1325" t="s">
        <v>842</v>
      </c>
      <c r="P974" s="1327"/>
      <c r="Q974" s="67"/>
      <c r="R974" s="67"/>
      <c r="S974" s="68"/>
      <c r="T974" s="33" t="s">
        <v>233</v>
      </c>
      <c r="U974" s="34"/>
      <c r="V974" s="34"/>
      <c r="W974" s="1742" t="s">
        <v>1261</v>
      </c>
      <c r="X974" s="1743"/>
      <c r="Y974" s="1743"/>
      <c r="Z974" s="1743"/>
      <c r="AA974" s="1743"/>
      <c r="AB974" s="1743"/>
      <c r="AC974" s="1743"/>
      <c r="AD974" s="1743"/>
      <c r="AE974" s="1743"/>
      <c r="AF974" s="1743"/>
      <c r="AG974" s="1744"/>
      <c r="AU974" s="1178"/>
      <c r="AV974" s="70"/>
      <c r="AW974" s="70"/>
      <c r="AX974" s="70"/>
      <c r="AY974" s="70"/>
      <c r="AZ974" s="3"/>
      <c r="BB974" s="3"/>
      <c r="BC974" s="3"/>
      <c r="BD974" s="3"/>
      <c r="BE974" s="3"/>
      <c r="BF974" s="3"/>
      <c r="BG974" s="3"/>
      <c r="BH974" s="3"/>
      <c r="BI974" s="3"/>
      <c r="BJ974" s="3"/>
      <c r="BK974" s="3"/>
      <c r="BL974" s="3"/>
    </row>
    <row r="975" spans="1:64" ht="13" customHeight="1">
      <c r="F975" s="1545" t="s">
        <v>1656</v>
      </c>
      <c r="G975" s="1435"/>
      <c r="H975" s="1435"/>
      <c r="I975" s="1435"/>
      <c r="J975" s="1435"/>
      <c r="K975" s="1435"/>
      <c r="L975" s="1435"/>
      <c r="M975" s="1599">
        <f>+M971</f>
        <v>541284</v>
      </c>
      <c r="N975" s="1401"/>
      <c r="O975" s="1401"/>
      <c r="P975" s="1401"/>
      <c r="Q975" s="1401"/>
      <c r="R975" s="1401"/>
      <c r="S975" s="1600"/>
      <c r="T975" s="39"/>
      <c r="U975" s="40"/>
      <c r="V975" s="40"/>
      <c r="W975" s="40"/>
      <c r="X975" s="40"/>
      <c r="Y975" s="40"/>
      <c r="Z975" s="90" t="s">
        <v>1657</v>
      </c>
      <c r="AA975" s="1694"/>
      <c r="AB975" s="1695"/>
      <c r="AC975" s="1695"/>
      <c r="AD975" s="1695"/>
      <c r="AE975" s="1695"/>
      <c r="AF975" s="1695"/>
      <c r="AG975" s="1696"/>
      <c r="AU975" s="1178"/>
      <c r="AV975" s="70"/>
      <c r="AW975" s="70"/>
      <c r="AX975" s="70"/>
      <c r="AY975" s="70"/>
      <c r="AZ975" s="13"/>
      <c r="BA975" s="13"/>
      <c r="BB975" s="3"/>
      <c r="BC975" s="3"/>
      <c r="BD975" s="3"/>
      <c r="BE975" s="3"/>
      <c r="BF975" s="3"/>
      <c r="BG975" s="13"/>
      <c r="BH975" s="13"/>
      <c r="BI975" s="13"/>
      <c r="BJ975" s="13"/>
      <c r="BK975" s="13"/>
      <c r="BL975" s="13"/>
    </row>
    <row r="976" spans="1:64" ht="13" customHeight="1">
      <c r="AU976" s="1178"/>
      <c r="AV976" s="1178"/>
      <c r="AW976" s="1178"/>
      <c r="AX976" s="1178"/>
      <c r="AY976" s="1178"/>
      <c r="AZ976" s="13"/>
      <c r="BA976" s="13"/>
      <c r="BB976" s="13"/>
      <c r="BC976" s="13"/>
      <c r="BD976" s="13"/>
      <c r="BE976" s="13"/>
      <c r="BF976" s="13"/>
      <c r="BG976" s="1575"/>
      <c r="BH976" s="1575"/>
      <c r="BI976" s="1575"/>
      <c r="BJ976" s="1575"/>
      <c r="BK976" s="1575"/>
      <c r="BL976" s="1575"/>
    </row>
    <row r="977" spans="1:64" ht="13" customHeight="1">
      <c r="AU977" s="1178"/>
      <c r="AV977" s="1178"/>
      <c r="AW977" s="1178"/>
      <c r="AX977" s="1178"/>
      <c r="AY977" s="1178"/>
      <c r="AZ977" s="13"/>
      <c r="BA977" s="13"/>
      <c r="BB977" s="807"/>
      <c r="BC977" s="807"/>
      <c r="BD977" s="13"/>
      <c r="BE977" s="13"/>
      <c r="BF977" s="13"/>
      <c r="BG977" s="13"/>
      <c r="BH977" s="13"/>
      <c r="BI977" s="13"/>
      <c r="BJ977" s="13"/>
      <c r="BK977" s="13"/>
      <c r="BL977" s="13"/>
    </row>
    <row r="978" spans="1:64" ht="13" customHeight="1">
      <c r="AU978" s="1178"/>
      <c r="AV978" s="1178"/>
      <c r="AW978" s="1178"/>
      <c r="AX978" s="1178"/>
      <c r="AY978" s="1178"/>
      <c r="AZ978" s="13"/>
      <c r="BA978" s="13"/>
      <c r="BB978" s="807"/>
      <c r="BC978" s="807"/>
    </row>
    <row r="979" spans="1:64" ht="13" customHeight="1">
      <c r="A979" s="1482" t="s">
        <v>1658</v>
      </c>
      <c r="B979" s="1482"/>
      <c r="C979" s="1482"/>
      <c r="D979" s="1482"/>
      <c r="E979" s="1482"/>
      <c r="F979" s="1482"/>
      <c r="G979" s="1482"/>
      <c r="H979" s="1482"/>
      <c r="I979" s="1482"/>
      <c r="J979" s="1482"/>
      <c r="K979" s="1482"/>
      <c r="L979" s="1482"/>
      <c r="M979" s="1482"/>
      <c r="N979" s="1482"/>
      <c r="O979" s="1482"/>
      <c r="P979" s="1482"/>
      <c r="Q979" s="1482"/>
      <c r="R979" s="1482"/>
      <c r="S979" s="1482"/>
      <c r="T979" s="1482"/>
      <c r="U979" s="1482"/>
      <c r="V979" s="1482"/>
      <c r="W979" s="1482"/>
      <c r="X979" s="1482"/>
      <c r="Y979" s="1482"/>
      <c r="Z979" s="1482"/>
      <c r="AA979" s="1482"/>
      <c r="AB979" s="1482"/>
      <c r="AC979" s="1482"/>
      <c r="AD979" s="1482"/>
      <c r="AE979" s="1482"/>
      <c r="AF979" s="1482"/>
      <c r="AG979" s="1482"/>
      <c r="AH979" s="1482"/>
      <c r="AI979" s="1482"/>
      <c r="AJ979" s="1482"/>
      <c r="AK979" s="1482"/>
      <c r="AL979" s="1482"/>
      <c r="AM979" s="1482"/>
      <c r="AN979" s="1482"/>
      <c r="AO979" s="1482"/>
      <c r="AP979" s="1482"/>
      <c r="AQ979" s="1482"/>
      <c r="AR979" s="1482"/>
      <c r="AS979" s="1482"/>
      <c r="AT979" s="1482"/>
      <c r="AU979" s="1178"/>
      <c r="AV979" s="1178"/>
      <c r="AW979" s="1178"/>
      <c r="AX979" s="1178"/>
      <c r="AY979" s="1178"/>
      <c r="AZ979" s="13"/>
      <c r="BA979" s="13"/>
      <c r="BB979" s="807"/>
      <c r="BC979" s="807"/>
    </row>
    <row r="980" spans="1:64" ht="13" customHeight="1">
      <c r="A980" s="1482"/>
      <c r="B980" s="1482"/>
      <c r="C980" s="1482"/>
      <c r="D980" s="1482"/>
      <c r="E980" s="1482"/>
      <c r="F980" s="1482"/>
      <c r="G980" s="1482"/>
      <c r="H980" s="1482"/>
      <c r="I980" s="1482"/>
      <c r="J980" s="1482"/>
      <c r="K980" s="1482"/>
      <c r="L980" s="1482"/>
      <c r="M980" s="1482"/>
      <c r="N980" s="1482"/>
      <c r="O980" s="1482"/>
      <c r="P980" s="1482"/>
      <c r="Q980" s="1482"/>
      <c r="R980" s="1482"/>
      <c r="S980" s="1482"/>
      <c r="T980" s="1482"/>
      <c r="U980" s="1482"/>
      <c r="V980" s="1482"/>
      <c r="W980" s="1482"/>
      <c r="X980" s="1482"/>
      <c r="Y980" s="1482"/>
      <c r="Z980" s="1482"/>
      <c r="AA980" s="1482"/>
      <c r="AB980" s="1482"/>
      <c r="AC980" s="1482"/>
      <c r="AD980" s="1482"/>
      <c r="AE980" s="1482"/>
      <c r="AF980" s="1482"/>
      <c r="AG980" s="1482"/>
      <c r="AH980" s="1482"/>
      <c r="AI980" s="1482"/>
      <c r="AJ980" s="1482"/>
      <c r="AK980" s="1482"/>
      <c r="AL980" s="1482"/>
      <c r="AM980" s="1482"/>
      <c r="AN980" s="1482"/>
      <c r="AO980" s="1482"/>
      <c r="AP980" s="1482"/>
      <c r="AQ980" s="1482"/>
      <c r="AR980" s="1482"/>
      <c r="AS980" s="1482"/>
      <c r="AT980" s="1482"/>
      <c r="AU980" s="1178"/>
      <c r="AV980" s="1178"/>
      <c r="AW980" s="1178"/>
      <c r="AX980" s="1178"/>
      <c r="AY980" s="1178"/>
      <c r="AZ980" s="25"/>
      <c r="BA980" s="13"/>
      <c r="BB980" s="13"/>
      <c r="BC980" s="13"/>
    </row>
    <row r="981" spans="1:64" ht="13" customHeight="1">
      <c r="A981" s="1482"/>
      <c r="B981" s="1482"/>
      <c r="C981" s="1482"/>
      <c r="D981" s="1482"/>
      <c r="E981" s="1482"/>
      <c r="F981" s="1482"/>
      <c r="G981" s="1482"/>
      <c r="H981" s="1482"/>
      <c r="I981" s="1482"/>
      <c r="J981" s="1482"/>
      <c r="K981" s="1482"/>
      <c r="L981" s="1482"/>
      <c r="M981" s="1482"/>
      <c r="N981" s="1482"/>
      <c r="O981" s="1482"/>
      <c r="P981" s="1482"/>
      <c r="Q981" s="1482"/>
      <c r="R981" s="1482"/>
      <c r="S981" s="1482"/>
      <c r="T981" s="1482"/>
      <c r="U981" s="1482"/>
      <c r="V981" s="1482"/>
      <c r="W981" s="1482"/>
      <c r="X981" s="1482"/>
      <c r="Y981" s="1482"/>
      <c r="Z981" s="1482"/>
      <c r="AA981" s="1482"/>
      <c r="AB981" s="1482"/>
      <c r="AC981" s="1482"/>
      <c r="AD981" s="1482"/>
      <c r="AE981" s="1482"/>
      <c r="AF981" s="1482"/>
      <c r="AG981" s="1482"/>
      <c r="AH981" s="1482"/>
      <c r="AI981" s="1482"/>
      <c r="AJ981" s="1482"/>
      <c r="AK981" s="1482"/>
      <c r="AL981" s="1482"/>
      <c r="AM981" s="1482"/>
      <c r="AN981" s="1482"/>
      <c r="AO981" s="1482"/>
      <c r="AP981" s="1482"/>
      <c r="AQ981" s="1482"/>
      <c r="AR981" s="1482"/>
      <c r="AS981" s="1482"/>
      <c r="AT981" s="1482"/>
      <c r="AU981" s="1178"/>
      <c r="AV981" s="1178"/>
      <c r="AW981" s="1178"/>
      <c r="AX981" s="1178"/>
      <c r="AY981" s="1178"/>
      <c r="AZ981" s="25"/>
      <c r="BA981" s="13"/>
      <c r="BB981" s="13"/>
      <c r="BC981" s="13"/>
    </row>
    <row r="982" spans="1:64" ht="13"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8"/>
      <c r="AM982" s="1178"/>
      <c r="AN982" s="1178"/>
      <c r="AO982" s="1178"/>
      <c r="AP982" s="1178"/>
      <c r="AQ982" s="1178"/>
      <c r="AR982" s="1178"/>
      <c r="AS982" s="1178"/>
      <c r="AT982" s="1178"/>
      <c r="AU982" s="1178"/>
      <c r="AV982" s="1178"/>
      <c r="AW982" s="1178"/>
      <c r="AX982" s="1178"/>
      <c r="AY982" s="1178"/>
      <c r="AZ982" s="13"/>
      <c r="BA982" s="13"/>
      <c r="BB982" s="13"/>
      <c r="BC982" s="13"/>
    </row>
    <row r="983" spans="1:64" ht="13" customHeight="1">
      <c r="A983" s="2" t="s">
        <v>867</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8"/>
      <c r="AM983" s="1178"/>
      <c r="AN983" s="1178"/>
      <c r="AO983" s="1178"/>
      <c r="AP983" s="1178"/>
      <c r="AQ983" s="1178"/>
      <c r="AR983" s="1178"/>
      <c r="AS983" s="1178"/>
      <c r="AT983" s="1178"/>
      <c r="AU983" s="1178"/>
      <c r="AV983" s="1178"/>
      <c r="AW983" s="1178"/>
      <c r="AX983" s="1178"/>
      <c r="AY983" s="1178"/>
      <c r="AZ983" s="13"/>
      <c r="BA983" s="13"/>
      <c r="BB983" s="13"/>
      <c r="BC983" s="13"/>
    </row>
    <row r="984" spans="1:64" ht="13"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8"/>
      <c r="AM984" s="1178"/>
      <c r="AN984" s="1178"/>
      <c r="AO984" s="1178"/>
      <c r="AP984" s="1178"/>
      <c r="AQ984" s="1178"/>
      <c r="AR984" s="1178"/>
      <c r="AS984" s="1178"/>
      <c r="AT984" s="1178"/>
      <c r="AU984" s="1178"/>
      <c r="AV984" s="1178"/>
      <c r="AW984" s="1178"/>
      <c r="AX984" s="1178"/>
      <c r="AY984" s="1178"/>
      <c r="AZ984" s="13"/>
      <c r="BA984" s="13"/>
      <c r="BB984" s="13"/>
      <c r="BC984" s="13"/>
    </row>
    <row r="985" spans="1:64" ht="13" customHeight="1">
      <c r="A985" s="13"/>
      <c r="B985" s="61"/>
      <c r="C985" s="1180"/>
      <c r="D985" s="1723" t="s">
        <v>1659</v>
      </c>
      <c r="E985" s="1724"/>
      <c r="F985" s="1724"/>
      <c r="G985" s="1724"/>
      <c r="H985" s="1724"/>
      <c r="I985" s="1724"/>
      <c r="J985" s="1724"/>
      <c r="K985" s="1724"/>
      <c r="L985" s="1724"/>
      <c r="M985" s="1724"/>
      <c r="N985" s="1724"/>
      <c r="O985" s="1724"/>
      <c r="P985" s="1724"/>
      <c r="Q985" s="1725"/>
      <c r="R985" s="1723" t="s">
        <v>1660</v>
      </c>
      <c r="S985" s="1724"/>
      <c r="T985" s="1724"/>
      <c r="U985" s="1724"/>
      <c r="V985" s="1724"/>
      <c r="W985" s="1724"/>
      <c r="X985" s="1724"/>
      <c r="Y985" s="1724"/>
      <c r="Z985" s="1724"/>
      <c r="AA985" s="1725"/>
      <c r="AB985" s="1723" t="s">
        <v>1661</v>
      </c>
      <c r="AC985" s="1724"/>
      <c r="AD985" s="1724"/>
      <c r="AE985" s="1724"/>
      <c r="AF985" s="1724"/>
      <c r="AG985" s="1724"/>
      <c r="AH985" s="1724"/>
      <c r="AI985" s="1725"/>
      <c r="AJ985" s="1723" t="s">
        <v>1662</v>
      </c>
      <c r="AK985" s="1724"/>
      <c r="AL985" s="1724"/>
      <c r="AM985" s="1724"/>
      <c r="AN985" s="1724"/>
      <c r="AO985" s="1724"/>
      <c r="AP985" s="1724"/>
      <c r="AQ985" s="1725"/>
      <c r="AR985" s="1178"/>
      <c r="AS985" s="1178"/>
      <c r="AT985" s="1178"/>
      <c r="AU985" s="1178"/>
      <c r="AV985" s="1178"/>
      <c r="AW985" s="1178"/>
      <c r="AX985" s="1178"/>
      <c r="AY985" s="1178"/>
      <c r="AZ985" s="25"/>
      <c r="BB985" s="13"/>
      <c r="BC985" s="13"/>
    </row>
    <row r="986" spans="1:64" ht="13" customHeight="1">
      <c r="A986" s="13"/>
      <c r="B986" s="58"/>
      <c r="C986" s="822"/>
      <c r="D986" s="1729" t="s">
        <v>833</v>
      </c>
      <c r="E986" s="1730"/>
      <c r="F986" s="1730"/>
      <c r="G986" s="1730"/>
      <c r="H986" s="1730"/>
      <c r="I986" s="1730"/>
      <c r="J986" s="1730"/>
      <c r="K986" s="1730"/>
      <c r="L986" s="1730"/>
      <c r="M986" s="1730"/>
      <c r="N986" s="1730"/>
      <c r="O986" s="1730"/>
      <c r="P986" s="1730"/>
      <c r="Q986" s="1731"/>
      <c r="R986" s="1718">
        <f>IF(ISNA(IF($CU$122="4%",(INDEX($CS$160:$CW$217,MATCH($DG$122,$CR$160:$CR$217,0),MATCH(D986,$CS$159:$CW$159,0))),(INDEX($CZ$160:$DD$217,MATCH($DG$122,$CY$160:$CY$217,0),MATCH(D986,$CZ$159:$DD$159,0))))),0,IF($CU$122="4%",(INDEX($CS$160:$CW$217,MATCH($DG$122,$CR$160:$CR$217,0),MATCH(D986,$CS$159:$CW$159,0))),(INDEX($CZ$160:$DD$217,MATCH($DG$122,$CY$160:$CY$217,0),MATCH(D986,$CZ$159:$DD$159,0)))))</f>
        <v>384234</v>
      </c>
      <c r="S986" s="1718"/>
      <c r="T986" s="1718"/>
      <c r="U986" s="1718"/>
      <c r="V986" s="1718"/>
      <c r="W986" s="1718"/>
      <c r="X986" s="1718"/>
      <c r="Y986" s="1718"/>
      <c r="Z986" s="1718"/>
      <c r="AA986" s="1718"/>
      <c r="AB986" s="1715">
        <f>CP802</f>
        <v>0</v>
      </c>
      <c r="AC986" s="1716"/>
      <c r="AD986" s="1716"/>
      <c r="AE986" s="1716"/>
      <c r="AF986" s="1716"/>
      <c r="AG986" s="1716"/>
      <c r="AH986" s="1716"/>
      <c r="AI986" s="1717"/>
      <c r="AJ986" s="1651">
        <f>IF(ISERROR((R986*AB986)),0,(R986*AB986))</f>
        <v>0</v>
      </c>
      <c r="AK986" s="1652"/>
      <c r="AL986" s="1652"/>
      <c r="AM986" s="1652"/>
      <c r="AN986" s="1652"/>
      <c r="AO986" s="1652"/>
      <c r="AP986" s="1652"/>
      <c r="AQ986" s="1653"/>
      <c r="AR986" s="1178"/>
      <c r="AS986" s="1178"/>
      <c r="AT986" s="1178"/>
      <c r="AU986" s="1178"/>
      <c r="AV986" s="1178"/>
      <c r="AW986" s="1178"/>
      <c r="AX986" s="1178"/>
      <c r="AY986" s="1178"/>
      <c r="AZ986" s="25"/>
      <c r="BB986" s="13"/>
      <c r="BC986" s="13"/>
    </row>
    <row r="987" spans="1:64" ht="13" customHeight="1">
      <c r="A987" s="13"/>
      <c r="B987" s="58"/>
      <c r="C987" s="62"/>
      <c r="D987" s="1729" t="s">
        <v>828</v>
      </c>
      <c r="E987" s="1730"/>
      <c r="F987" s="1730"/>
      <c r="G987" s="1730"/>
      <c r="H987" s="1730"/>
      <c r="I987" s="1730"/>
      <c r="J987" s="1730"/>
      <c r="K987" s="1730"/>
      <c r="L987" s="1730"/>
      <c r="M987" s="1730"/>
      <c r="N987" s="1730"/>
      <c r="O987" s="1730"/>
      <c r="P987" s="1730"/>
      <c r="Q987" s="1731"/>
      <c r="R987" s="1718">
        <f>IF(ISNA(IF($CU$122="4%",(INDEX($CS$160:$CW$217,MATCH($DG$122,$CR$160:$CR$217,0),MATCH(D987,$CS$159:$CW$159,0))),(INDEX($CZ$160:$DD$217,MATCH($DG$122,$CY$160:$CY$217,0),MATCH(D987,$CZ$159:$DD$159,0))))),0,IF($CU$122="4%",(INDEX($CS$160:$CW$217,MATCH($DG$122,$CR$160:$CR$217,0),MATCH(D987,$CS$159:$CW$159,0))),(INDEX($CZ$160:$DD$217,MATCH($DG$122,$CY$160:$CY$217,0),MATCH(D987,$CZ$159:$DD$159,0)))))</f>
        <v>443018</v>
      </c>
      <c r="S987" s="1718"/>
      <c r="T987" s="1718"/>
      <c r="U987" s="1718"/>
      <c r="V987" s="1718"/>
      <c r="W987" s="1718"/>
      <c r="X987" s="1718"/>
      <c r="Y987" s="1718"/>
      <c r="Z987" s="1718"/>
      <c r="AA987" s="1718"/>
      <c r="AB987" s="1715">
        <f>CU802</f>
        <v>21</v>
      </c>
      <c r="AC987" s="1716"/>
      <c r="AD987" s="1716"/>
      <c r="AE987" s="1716"/>
      <c r="AF987" s="1716"/>
      <c r="AG987" s="1716"/>
      <c r="AH987" s="1716"/>
      <c r="AI987" s="1717"/>
      <c r="AJ987" s="1651">
        <f>IF(ISERROR((R987*AB987)),0,(R987*AB987))</f>
        <v>9303378</v>
      </c>
      <c r="AK987" s="1652"/>
      <c r="AL987" s="1652"/>
      <c r="AM987" s="1652"/>
      <c r="AN987" s="1652"/>
      <c r="AO987" s="1652"/>
      <c r="AP987" s="1652"/>
      <c r="AQ987" s="1653"/>
      <c r="AR987" s="1178"/>
      <c r="AS987" s="1178"/>
      <c r="AT987" s="1178"/>
      <c r="AU987" s="1178"/>
      <c r="AV987" s="1178"/>
      <c r="AW987" s="1178"/>
      <c r="AX987" s="1178"/>
      <c r="AY987" s="1178"/>
      <c r="AZ987" s="25"/>
      <c r="BB987" s="13"/>
      <c r="BC987" s="13"/>
    </row>
    <row r="988" spans="1:64" ht="13" customHeight="1">
      <c r="A988" s="13"/>
      <c r="B988" s="58"/>
      <c r="C988" s="62"/>
      <c r="D988" s="1729" t="s">
        <v>829</v>
      </c>
      <c r="E988" s="1730"/>
      <c r="F988" s="1730"/>
      <c r="G988" s="1730"/>
      <c r="H988" s="1730"/>
      <c r="I988" s="1730"/>
      <c r="J988" s="1730"/>
      <c r="K988" s="1730"/>
      <c r="L988" s="1730"/>
      <c r="M988" s="1730"/>
      <c r="N988" s="1730"/>
      <c r="O988" s="1730"/>
      <c r="P988" s="1730"/>
      <c r="Q988" s="1731"/>
      <c r="R988" s="1718">
        <f>IF(ISNA(IF($CU$122="4%",(INDEX($CS$160:$CW$217,MATCH($DG$122,$CR$160:$CR$217,0),MATCH(D988,$CS$159:$CW$159,0))),(INDEX($CZ$160:$DD$217,MATCH($DG$122,$CY$160:$CY$217,0),MATCH(D988,$CZ$159:$DD$159,0))))),0,IF($CU$122="4%",(INDEX($CS$160:$CW$217,MATCH($DG$122,$CR$160:$CR$217,0),MATCH(D988,$CS$159:$CW$159,0))),(INDEX($CZ$160:$DD$217,MATCH($DG$122,$CY$160:$CY$217,0),MATCH(D988,$CZ$159:$DD$159,0)))))</f>
        <v>534400</v>
      </c>
      <c r="S988" s="1718"/>
      <c r="T988" s="1718"/>
      <c r="U988" s="1718"/>
      <c r="V988" s="1718"/>
      <c r="W988" s="1718"/>
      <c r="X988" s="1718"/>
      <c r="Y988" s="1718"/>
      <c r="Z988" s="1718"/>
      <c r="AA988" s="1718"/>
      <c r="AB988" s="1715">
        <f>CZ802</f>
        <v>33</v>
      </c>
      <c r="AC988" s="1716"/>
      <c r="AD988" s="1716"/>
      <c r="AE988" s="1716"/>
      <c r="AF988" s="1716"/>
      <c r="AG988" s="1716"/>
      <c r="AH988" s="1716"/>
      <c r="AI988" s="1717"/>
      <c r="AJ988" s="1651">
        <f>IF(ISERROR((R988*AB988)),0,(R988*AB988))</f>
        <v>17635200</v>
      </c>
      <c r="AK988" s="1652"/>
      <c r="AL988" s="1652"/>
      <c r="AM988" s="1652"/>
      <c r="AN988" s="1652"/>
      <c r="AO988" s="1652"/>
      <c r="AP988" s="1652"/>
      <c r="AQ988" s="1653"/>
      <c r="AR988" s="1178"/>
      <c r="AS988" s="1178"/>
      <c r="AT988" s="1178"/>
      <c r="AU988" s="1178"/>
      <c r="AV988" s="1178"/>
      <c r="AW988" s="1178"/>
      <c r="AX988" s="1178"/>
      <c r="AY988" s="1178"/>
      <c r="AZ988" s="25"/>
      <c r="BB988" s="13"/>
      <c r="BC988" s="13"/>
    </row>
    <row r="989" spans="1:64" ht="13" customHeight="1">
      <c r="A989" s="13"/>
      <c r="B989" s="58"/>
      <c r="C989" s="62"/>
      <c r="D989" s="1729" t="s">
        <v>830</v>
      </c>
      <c r="E989" s="1730"/>
      <c r="F989" s="1730"/>
      <c r="G989" s="1730"/>
      <c r="H989" s="1730"/>
      <c r="I989" s="1730"/>
      <c r="J989" s="1730"/>
      <c r="K989" s="1730"/>
      <c r="L989" s="1730"/>
      <c r="M989" s="1730"/>
      <c r="N989" s="1730"/>
      <c r="O989" s="1730"/>
      <c r="P989" s="1730"/>
      <c r="Q989" s="1731"/>
      <c r="R989" s="1718">
        <f>IF(ISNA(IF($CU$122="4%",(INDEX($CS$160:$CW$217,MATCH($DG$122,$CR$160:$CR$217,0),MATCH(D989,$CS$159:$CW$159,0))),(INDEX($CZ$160:$DD$217,MATCH($DG$122,$CY$160:$CY$217,0),MATCH(D989,$CZ$159:$DD$159,0))))),0,IF($CU$122="4%",(INDEX($CS$160:$CW$217,MATCH($DG$122,$CR$160:$CR$217,0),MATCH(D989,$CS$159:$CW$159,0))),(INDEX($CZ$160:$DD$217,MATCH($DG$122,$CY$160:$CY$217,0),MATCH(D989,$CZ$159:$DD$159,0)))))</f>
        <v>684032</v>
      </c>
      <c r="S989" s="1718"/>
      <c r="T989" s="1718"/>
      <c r="U989" s="1718"/>
      <c r="V989" s="1718"/>
      <c r="W989" s="1718"/>
      <c r="X989" s="1718"/>
      <c r="Y989" s="1718"/>
      <c r="Z989" s="1718"/>
      <c r="AA989" s="1718"/>
      <c r="AB989" s="1715">
        <f>DE802</f>
        <v>25</v>
      </c>
      <c r="AC989" s="1716"/>
      <c r="AD989" s="1716"/>
      <c r="AE989" s="1716"/>
      <c r="AF989" s="1716"/>
      <c r="AG989" s="1716"/>
      <c r="AH989" s="1716"/>
      <c r="AI989" s="1717"/>
      <c r="AJ989" s="1651">
        <f>IF(ISERROR((R989*AB989)),0,(R989*AB989))</f>
        <v>17100800</v>
      </c>
      <c r="AK989" s="1652"/>
      <c r="AL989" s="1652"/>
      <c r="AM989" s="1652"/>
      <c r="AN989" s="1652"/>
      <c r="AO989" s="1652"/>
      <c r="AP989" s="1652"/>
      <c r="AQ989" s="1653"/>
      <c r="AR989" s="1178"/>
      <c r="AS989" s="1178"/>
      <c r="AT989" s="1178"/>
      <c r="AU989" s="1178"/>
      <c r="AV989" s="1178"/>
      <c r="AW989" s="1178"/>
      <c r="AX989" s="1178"/>
      <c r="AY989" s="1178"/>
      <c r="AZ989" s="25"/>
      <c r="BA989" s="3"/>
      <c r="BB989" s="13"/>
      <c r="BC989" s="13"/>
    </row>
    <row r="990" spans="1:64" ht="13" customHeight="1">
      <c r="A990" s="13"/>
      <c r="B990" s="39"/>
      <c r="C990" s="60"/>
      <c r="D990" s="1729" t="s">
        <v>834</v>
      </c>
      <c r="E990" s="1730"/>
      <c r="F990" s="1730"/>
      <c r="G990" s="1730"/>
      <c r="H990" s="1730"/>
      <c r="I990" s="1730"/>
      <c r="J990" s="1730"/>
      <c r="K990" s="1730"/>
      <c r="L990" s="1730"/>
      <c r="M990" s="1730"/>
      <c r="N990" s="1730"/>
      <c r="O990" s="1730"/>
      <c r="P990" s="1730"/>
      <c r="Q990" s="1731"/>
      <c r="R990" s="1718">
        <f>IF(ISNA(IF($CU$122="4%",(INDEX($CS$160:$CW$217,MATCH($DG$122,$CR$160:$CR$217,0),MATCH(D990,$CS$159:$CW$159,0))),(INDEX($CZ$160:$DD$217,MATCH($DG$122,$CY$160:$CY$217,0),MATCH(D990,$CZ$159:$DD$159,0))))),0,IF($CU$122="4%",(INDEX($CS$160:$CW$217,MATCH($DG$122,$CR$160:$CR$217,0),MATCH(D990,$CS$159:$CW$159,0))),(INDEX($CZ$160:$DD$217,MATCH($DG$122,$CY$160:$CY$217,0),MATCH(D990,$CZ$159:$DD$159,0)))))</f>
        <v>762054</v>
      </c>
      <c r="S990" s="1718"/>
      <c r="T990" s="1718"/>
      <c r="U990" s="1718"/>
      <c r="V990" s="1718"/>
      <c r="W990" s="1718"/>
      <c r="X990" s="1718"/>
      <c r="Y990" s="1718"/>
      <c r="Z990" s="1718"/>
      <c r="AA990" s="1718"/>
      <c r="AB990" s="1715">
        <f>DO802+DJ802</f>
        <v>0</v>
      </c>
      <c r="AC990" s="1716"/>
      <c r="AD990" s="1716"/>
      <c r="AE990" s="1716"/>
      <c r="AF990" s="1716"/>
      <c r="AG990" s="1716"/>
      <c r="AH990" s="1716"/>
      <c r="AI990" s="1717"/>
      <c r="AJ990" s="1651">
        <f>IF(ISERROR((R990*AB990)),0,(R990*AB990))</f>
        <v>0</v>
      </c>
      <c r="AK990" s="1652"/>
      <c r="AL990" s="1652"/>
      <c r="AM990" s="1652"/>
      <c r="AN990" s="1652"/>
      <c r="AO990" s="1652"/>
      <c r="AP990" s="1652"/>
      <c r="AQ990" s="1653"/>
      <c r="AR990" s="1178"/>
      <c r="AS990" s="1178"/>
      <c r="AT990" s="1178"/>
      <c r="AU990" s="1178"/>
      <c r="AV990" s="1178"/>
      <c r="AW990" s="1178"/>
      <c r="AX990" s="1178"/>
      <c r="AY990" s="1178"/>
      <c r="AZ990" s="25"/>
      <c r="BB990" s="13"/>
      <c r="BC990" s="13"/>
    </row>
    <row r="991" spans="1:64" ht="13" customHeight="1">
      <c r="A991" s="13"/>
      <c r="B991" s="1672" t="s">
        <v>1663</v>
      </c>
      <c r="C991" s="1673"/>
      <c r="D991" s="1673"/>
      <c r="E991" s="1673"/>
      <c r="F991" s="1673"/>
      <c r="G991" s="1673"/>
      <c r="H991" s="1673"/>
      <c r="I991" s="1673"/>
      <c r="J991" s="1673"/>
      <c r="K991" s="1673"/>
      <c r="L991" s="1673"/>
      <c r="M991" s="1673"/>
      <c r="N991" s="1673"/>
      <c r="O991" s="1673"/>
      <c r="P991" s="1673"/>
      <c r="Q991" s="1673"/>
      <c r="R991" s="1673"/>
      <c r="S991" s="1673"/>
      <c r="T991" s="1673"/>
      <c r="U991" s="1673"/>
      <c r="V991" s="1673"/>
      <c r="W991" s="1673"/>
      <c r="X991" s="1673"/>
      <c r="Y991" s="1673"/>
      <c r="Z991" s="1673"/>
      <c r="AA991" s="1674"/>
      <c r="AB991" s="1715">
        <f>SUM(AB986:AI990)</f>
        <v>79</v>
      </c>
      <c r="AC991" s="1716"/>
      <c r="AD991" s="1716"/>
      <c r="AE991" s="1716"/>
      <c r="AF991" s="1716"/>
      <c r="AG991" s="1716"/>
      <c r="AH991" s="1716"/>
      <c r="AI991" s="1717"/>
      <c r="AJ991" s="1651"/>
      <c r="AK991" s="1652"/>
      <c r="AL991" s="1652"/>
      <c r="AM991" s="1652"/>
      <c r="AN991" s="1652"/>
      <c r="AO991" s="1652"/>
      <c r="AP991" s="1652"/>
      <c r="AQ991" s="1653"/>
      <c r="AR991" s="1178"/>
      <c r="AS991" s="1178"/>
      <c r="AT991" s="1178"/>
      <c r="AU991" s="1178"/>
      <c r="AV991" s="1178"/>
      <c r="AW991" s="1178"/>
      <c r="AX991" s="1178"/>
      <c r="AY991" s="1178"/>
      <c r="AZ991" s="3"/>
      <c r="BA991" s="3"/>
      <c r="BB991" s="13"/>
      <c r="BC991" s="13"/>
    </row>
    <row r="992" spans="1:64" ht="13" customHeight="1">
      <c r="A992" s="13"/>
      <c r="B992" s="1726" t="s">
        <v>1664</v>
      </c>
      <c r="C992" s="1727"/>
      <c r="D992" s="1727"/>
      <c r="E992" s="1727"/>
      <c r="F992" s="1727"/>
      <c r="G992" s="1727"/>
      <c r="H992" s="1727"/>
      <c r="I992" s="1727"/>
      <c r="J992" s="1727"/>
      <c r="K992" s="1727"/>
      <c r="L992" s="1727"/>
      <c r="M992" s="1727"/>
      <c r="N992" s="1727"/>
      <c r="O992" s="1727"/>
      <c r="P992" s="1727"/>
      <c r="Q992" s="1727"/>
      <c r="R992" s="1727"/>
      <c r="S992" s="1727"/>
      <c r="T992" s="1727"/>
      <c r="U992" s="1727"/>
      <c r="V992" s="1727"/>
      <c r="W992" s="1727"/>
      <c r="X992" s="1727"/>
      <c r="Y992" s="1727"/>
      <c r="Z992" s="1727"/>
      <c r="AA992" s="1727"/>
      <c r="AB992" s="1727"/>
      <c r="AC992" s="1727"/>
      <c r="AD992" s="1727"/>
      <c r="AE992" s="1727"/>
      <c r="AF992" s="1727"/>
      <c r="AG992" s="1727"/>
      <c r="AH992" s="1727"/>
      <c r="AI992" s="1728"/>
      <c r="AJ992" s="1651">
        <f>SUM(AJ986:AQ990)</f>
        <v>44039378</v>
      </c>
      <c r="AK992" s="1652"/>
      <c r="AL992" s="1652"/>
      <c r="AM992" s="1652"/>
      <c r="AN992" s="1652"/>
      <c r="AO992" s="1652"/>
      <c r="AP992" s="1652"/>
      <c r="AQ992" s="1653"/>
      <c r="AR992" s="1178"/>
      <c r="AS992" s="1178"/>
      <c r="AT992" s="1178"/>
      <c r="AU992" s="1178"/>
      <c r="AV992" s="1178"/>
      <c r="AW992" s="1178"/>
      <c r="AX992" s="1178"/>
      <c r="AY992" s="1178"/>
      <c r="AZ992" s="3"/>
      <c r="BB992" s="3"/>
      <c r="BC992" s="3"/>
    </row>
    <row r="993" spans="1:55" ht="13" customHeight="1">
      <c r="A993" s="13"/>
      <c r="B993" s="1681"/>
      <c r="C993" s="1682"/>
      <c r="D993" s="1682"/>
      <c r="E993" s="1682"/>
      <c r="F993" s="1682"/>
      <c r="G993" s="1682"/>
      <c r="H993" s="1682"/>
      <c r="I993" s="1682"/>
      <c r="J993" s="1682"/>
      <c r="K993" s="1682"/>
      <c r="L993" s="1682"/>
      <c r="M993" s="1682"/>
      <c r="N993" s="1682"/>
      <c r="O993" s="1682"/>
      <c r="P993" s="1682"/>
      <c r="Q993" s="1682"/>
      <c r="R993" s="1682"/>
      <c r="S993" s="1682"/>
      <c r="T993" s="1682"/>
      <c r="U993" s="1682"/>
      <c r="V993" s="1682"/>
      <c r="W993" s="1682"/>
      <c r="X993" s="1682"/>
      <c r="Y993" s="1682"/>
      <c r="Z993" s="1682"/>
      <c r="AA993" s="1682"/>
      <c r="AB993" s="1682"/>
      <c r="AC993" s="1682"/>
      <c r="AD993" s="1682"/>
      <c r="AE993" s="1683"/>
      <c r="AF993" s="1757" t="s">
        <v>1665</v>
      </c>
      <c r="AG993" s="1758"/>
      <c r="AH993" s="1758"/>
      <c r="AI993" s="1759"/>
      <c r="AJ993" s="1681"/>
      <c r="AK993" s="1682"/>
      <c r="AL993" s="1682"/>
      <c r="AM993" s="1682"/>
      <c r="AN993" s="1682"/>
      <c r="AO993" s="1682"/>
      <c r="AP993" s="1682"/>
      <c r="AQ993" s="1683"/>
      <c r="AR993" s="1178"/>
      <c r="AS993" s="1178"/>
      <c r="AT993" s="1178"/>
      <c r="AU993" s="1178"/>
      <c r="AV993" s="1178"/>
      <c r="AW993" s="1178"/>
      <c r="AX993" s="1178"/>
      <c r="AY993" s="1178"/>
      <c r="AZ993" s="3"/>
      <c r="BA993" s="3"/>
      <c r="BB993" s="3"/>
      <c r="BC993" s="3"/>
    </row>
    <row r="994" spans="1:55" ht="13" customHeight="1">
      <c r="A994" s="13"/>
      <c r="B994" s="58"/>
      <c r="C994" s="1181" t="s">
        <v>1666</v>
      </c>
      <c r="D994" s="1669" t="s">
        <v>1667</v>
      </c>
      <c r="E994" s="1670"/>
      <c r="F994" s="1670"/>
      <c r="G994" s="1670"/>
      <c r="H994" s="1670"/>
      <c r="I994" s="1670"/>
      <c r="J994" s="1670"/>
      <c r="K994" s="1670"/>
      <c r="L994" s="1670"/>
      <c r="M994" s="1670"/>
      <c r="N994" s="1670"/>
      <c r="O994" s="1670"/>
      <c r="P994" s="1670"/>
      <c r="Q994" s="1670"/>
      <c r="R994" s="1670"/>
      <c r="S994" s="1670"/>
      <c r="T994" s="1670"/>
      <c r="U994" s="1670"/>
      <c r="V994" s="1670"/>
      <c r="W994" s="1670"/>
      <c r="X994" s="1670"/>
      <c r="Y994" s="1670"/>
      <c r="Z994" s="1670"/>
      <c r="AA994" s="1670"/>
      <c r="AB994" s="1670"/>
      <c r="AC994" s="1670"/>
      <c r="AD994" s="1670"/>
      <c r="AE994" s="1671"/>
      <c r="AF994" s="61"/>
      <c r="AG994" s="1760" t="s">
        <v>692</v>
      </c>
      <c r="AH994" s="1761"/>
      <c r="AI994" s="64"/>
      <c r="AJ994" s="1660">
        <f>ROUND(IF(AND(AG994="yes",D1000&gt;0),AJ992*0.2,0),0)</f>
        <v>0</v>
      </c>
      <c r="AK994" s="1661"/>
      <c r="AL994" s="1661"/>
      <c r="AM994" s="1661"/>
      <c r="AN994" s="1661"/>
      <c r="AO994" s="1661"/>
      <c r="AP994" s="1661"/>
      <c r="AQ994" s="1662"/>
      <c r="AR994" s="1178"/>
      <c r="AS994" s="1178"/>
      <c r="AT994" s="1178"/>
      <c r="AU994" s="1178"/>
      <c r="AV994" s="1178"/>
      <c r="AW994" s="1178"/>
      <c r="AX994" s="1178"/>
      <c r="AY994" s="1178"/>
      <c r="AZ994" s="3"/>
      <c r="BA994" s="3"/>
      <c r="BB994" s="3"/>
      <c r="BC994" s="3"/>
    </row>
    <row r="995" spans="1:55" ht="13" customHeight="1">
      <c r="A995" s="13"/>
      <c r="B995" s="1182"/>
      <c r="C995" s="1183"/>
      <c r="D995" s="1703" t="s">
        <v>1668</v>
      </c>
      <c r="E995" s="1704"/>
      <c r="F995" s="1704"/>
      <c r="G995" s="1704"/>
      <c r="H995" s="1704"/>
      <c r="I995" s="1704"/>
      <c r="J995" s="1704"/>
      <c r="K995" s="1704"/>
      <c r="L995" s="1704"/>
      <c r="M995" s="1704"/>
      <c r="N995" s="1704"/>
      <c r="O995" s="1704"/>
      <c r="P995" s="1704"/>
      <c r="Q995" s="1704"/>
      <c r="R995" s="1704"/>
      <c r="S995" s="1704"/>
      <c r="T995" s="1704"/>
      <c r="U995" s="1704"/>
      <c r="V995" s="1704"/>
      <c r="W995" s="1704"/>
      <c r="X995" s="1704"/>
      <c r="Y995" s="1704"/>
      <c r="Z995" s="1704"/>
      <c r="AA995" s="1704"/>
      <c r="AB995" s="1704"/>
      <c r="AC995" s="1704"/>
      <c r="AD995" s="1704"/>
      <c r="AE995" s="1705"/>
      <c r="AF995" s="58"/>
      <c r="AG995" s="13"/>
      <c r="AH995" s="13"/>
      <c r="AI995" s="62"/>
      <c r="AJ995" s="1663"/>
      <c r="AK995" s="1664"/>
      <c r="AL995" s="1664"/>
      <c r="AM995" s="1664"/>
      <c r="AN995" s="1664"/>
      <c r="AO995" s="1664"/>
      <c r="AP995" s="1664"/>
      <c r="AQ995" s="1665"/>
      <c r="AR995" s="1178"/>
      <c r="AS995" s="1178"/>
      <c r="AT995" s="1178"/>
      <c r="AU995" s="1178"/>
      <c r="AV995" s="1178"/>
      <c r="AW995" s="1178"/>
      <c r="AX995" s="1178"/>
      <c r="AY995" s="1178"/>
      <c r="AZ995" s="3"/>
      <c r="BA995" s="3"/>
      <c r="BB995" s="3"/>
      <c r="BC995" s="3"/>
    </row>
    <row r="996" spans="1:55" ht="13" customHeight="1">
      <c r="A996" s="13"/>
      <c r="B996" s="1182"/>
      <c r="C996" s="1183"/>
      <c r="D996" s="1703"/>
      <c r="E996" s="1704"/>
      <c r="F996" s="1704"/>
      <c r="G996" s="1704"/>
      <c r="H996" s="1704"/>
      <c r="I996" s="1704"/>
      <c r="J996" s="1704"/>
      <c r="K996" s="1704"/>
      <c r="L996" s="1704"/>
      <c r="M996" s="1704"/>
      <c r="N996" s="1704"/>
      <c r="O996" s="1704"/>
      <c r="P996" s="1704"/>
      <c r="Q996" s="1704"/>
      <c r="R996" s="1704"/>
      <c r="S996" s="1704"/>
      <c r="T996" s="1704"/>
      <c r="U996" s="1704"/>
      <c r="V996" s="1704"/>
      <c r="W996" s="1704"/>
      <c r="X996" s="1704"/>
      <c r="Y996" s="1704"/>
      <c r="Z996" s="1704"/>
      <c r="AA996" s="1704"/>
      <c r="AB996" s="1704"/>
      <c r="AC996" s="1704"/>
      <c r="AD996" s="1704"/>
      <c r="AE996" s="1705"/>
      <c r="AF996" s="58"/>
      <c r="AG996" s="13"/>
      <c r="AH996" s="13"/>
      <c r="AI996" s="62"/>
      <c r="AJ996" s="1663"/>
      <c r="AK996" s="1664"/>
      <c r="AL996" s="1664"/>
      <c r="AM996" s="1664"/>
      <c r="AN996" s="1664"/>
      <c r="AO996" s="1664"/>
      <c r="AP996" s="1664"/>
      <c r="AQ996" s="1665"/>
      <c r="AR996" s="1178"/>
      <c r="AS996" s="1178"/>
      <c r="AT996" s="1178"/>
      <c r="AU996" s="1178"/>
      <c r="AV996" s="1178"/>
      <c r="AW996" s="1178"/>
      <c r="AX996" s="1178"/>
      <c r="AY996" s="1178"/>
      <c r="AZ996" s="3"/>
      <c r="BA996" s="3"/>
      <c r="BB996" s="3"/>
      <c r="BC996" s="3"/>
    </row>
    <row r="997" spans="1:55" ht="13" customHeight="1">
      <c r="A997" s="13"/>
      <c r="B997" s="1182"/>
      <c r="C997" s="1183"/>
      <c r="D997" s="1703"/>
      <c r="E997" s="1704"/>
      <c r="F997" s="1704"/>
      <c r="G997" s="1704"/>
      <c r="H997" s="1704"/>
      <c r="I997" s="1704"/>
      <c r="J997" s="1704"/>
      <c r="K997" s="1704"/>
      <c r="L997" s="1704"/>
      <c r="M997" s="1704"/>
      <c r="N997" s="1704"/>
      <c r="O997" s="1704"/>
      <c r="P997" s="1704"/>
      <c r="Q997" s="1704"/>
      <c r="R997" s="1704"/>
      <c r="S997" s="1704"/>
      <c r="T997" s="1704"/>
      <c r="U997" s="1704"/>
      <c r="V997" s="1704"/>
      <c r="W997" s="1704"/>
      <c r="X997" s="1704"/>
      <c r="Y997" s="1704"/>
      <c r="Z997" s="1704"/>
      <c r="AA997" s="1704"/>
      <c r="AB997" s="1704"/>
      <c r="AC997" s="1704"/>
      <c r="AD997" s="1704"/>
      <c r="AE997" s="1705"/>
      <c r="AF997" s="58"/>
      <c r="AG997" s="13"/>
      <c r="AH997" s="13"/>
      <c r="AI997" s="62"/>
      <c r="AJ997" s="1663"/>
      <c r="AK997" s="1664"/>
      <c r="AL997" s="1664"/>
      <c r="AM997" s="1664"/>
      <c r="AN997" s="1664"/>
      <c r="AO997" s="1664"/>
      <c r="AP997" s="1664"/>
      <c r="AQ997" s="1665"/>
      <c r="AR997" s="1178"/>
      <c r="AS997" s="1178"/>
      <c r="AT997" s="1178"/>
      <c r="AU997" s="1178"/>
      <c r="AV997" s="1178"/>
      <c r="AW997" s="1178"/>
      <c r="AX997" s="1178"/>
      <c r="AY997" s="1178"/>
      <c r="AZ997" s="3"/>
      <c r="BA997" s="3"/>
      <c r="BB997" s="3"/>
      <c r="BC997" s="3"/>
    </row>
    <row r="998" spans="1:55" ht="13" customHeight="1">
      <c r="A998" s="13"/>
      <c r="B998" s="1182"/>
      <c r="C998" s="1183"/>
      <c r="D998" s="1703"/>
      <c r="E998" s="1704"/>
      <c r="F998" s="1704"/>
      <c r="G998" s="1704"/>
      <c r="H998" s="1704"/>
      <c r="I998" s="1704"/>
      <c r="J998" s="1704"/>
      <c r="K998" s="1704"/>
      <c r="L998" s="1704"/>
      <c r="M998" s="1704"/>
      <c r="N998" s="1704"/>
      <c r="O998" s="1704"/>
      <c r="P998" s="1704"/>
      <c r="Q998" s="1704"/>
      <c r="R998" s="1704"/>
      <c r="S998" s="1704"/>
      <c r="T998" s="1704"/>
      <c r="U998" s="1704"/>
      <c r="V998" s="1704"/>
      <c r="W998" s="1704"/>
      <c r="X998" s="1704"/>
      <c r="Y998" s="1704"/>
      <c r="Z998" s="1704"/>
      <c r="AA998" s="1704"/>
      <c r="AB998" s="1704"/>
      <c r="AC998" s="1704"/>
      <c r="AD998" s="1704"/>
      <c r="AE998" s="1705"/>
      <c r="AF998" s="58"/>
      <c r="AG998" s="13"/>
      <c r="AH998" s="13"/>
      <c r="AI998" s="62"/>
      <c r="AJ998" s="1663"/>
      <c r="AK998" s="1664"/>
      <c r="AL998" s="1664"/>
      <c r="AM998" s="1664"/>
      <c r="AN998" s="1664"/>
      <c r="AO998" s="1664"/>
      <c r="AP998" s="1664"/>
      <c r="AQ998" s="1665"/>
      <c r="AR998" s="1178"/>
      <c r="AS998" s="1178"/>
      <c r="AT998" s="1178"/>
      <c r="AU998" s="1178"/>
      <c r="AV998" s="1178"/>
      <c r="AW998" s="1178"/>
      <c r="AX998" s="1178"/>
      <c r="AY998" s="1178"/>
      <c r="AZ998" s="3"/>
      <c r="BA998" s="3"/>
      <c r="BB998" s="3"/>
      <c r="BC998" s="3"/>
    </row>
    <row r="999" spans="1:55" ht="13" customHeight="1">
      <c r="A999" s="13"/>
      <c r="B999" s="1182"/>
      <c r="C999" s="1183"/>
      <c r="D999" s="1706" t="s">
        <v>1669</v>
      </c>
      <c r="E999" s="1707"/>
      <c r="F999" s="1707"/>
      <c r="G999" s="1707"/>
      <c r="H999" s="1707"/>
      <c r="I999" s="1707"/>
      <c r="J999" s="1707"/>
      <c r="K999" s="1707"/>
      <c r="L999" s="1707"/>
      <c r="M999" s="1707"/>
      <c r="N999" s="1707"/>
      <c r="O999" s="1707"/>
      <c r="P999" s="1707"/>
      <c r="Q999" s="1707"/>
      <c r="R999" s="1707"/>
      <c r="S999" s="1707"/>
      <c r="T999" s="1707"/>
      <c r="U999" s="1707"/>
      <c r="V999" s="1707"/>
      <c r="W999" s="1707"/>
      <c r="X999" s="1707"/>
      <c r="Y999" s="1707"/>
      <c r="Z999" s="1707"/>
      <c r="AA999" s="1707"/>
      <c r="AB999" s="1707"/>
      <c r="AC999" s="1707"/>
      <c r="AD999" s="1707"/>
      <c r="AE999" s="1708"/>
      <c r="AF999" s="58"/>
      <c r="AG999" s="13"/>
      <c r="AH999" s="13"/>
      <c r="AI999" s="62"/>
      <c r="AJ999" s="1663"/>
      <c r="AK999" s="1664"/>
      <c r="AL999" s="1664"/>
      <c r="AM999" s="1664"/>
      <c r="AN999" s="1664"/>
      <c r="AO999" s="1664"/>
      <c r="AP999" s="1664"/>
      <c r="AQ999" s="1665"/>
      <c r="AR999" s="1178"/>
      <c r="AS999" s="1178"/>
      <c r="AT999" s="1178"/>
      <c r="AU999" s="1178"/>
      <c r="AV999" s="1178"/>
      <c r="AW999" s="1178"/>
      <c r="AX999" s="1178"/>
      <c r="AY999" s="1178"/>
      <c r="AZ999" s="3"/>
      <c r="BA999" s="3"/>
      <c r="BB999" s="3"/>
      <c r="BC999" s="3"/>
    </row>
    <row r="1000" spans="1:55" ht="13" customHeight="1">
      <c r="A1000" s="13"/>
      <c r="B1000" s="1182"/>
      <c r="C1000" s="1183"/>
      <c r="D1000" s="1675"/>
      <c r="E1000" s="1676"/>
      <c r="F1000" s="1676"/>
      <c r="G1000" s="1676"/>
      <c r="H1000" s="1676"/>
      <c r="I1000" s="1676"/>
      <c r="J1000" s="1676"/>
      <c r="K1000" s="1676"/>
      <c r="L1000" s="1676"/>
      <c r="M1000" s="1676"/>
      <c r="N1000" s="1676"/>
      <c r="O1000" s="1676"/>
      <c r="P1000" s="1676"/>
      <c r="Q1000" s="1676"/>
      <c r="R1000" s="1676"/>
      <c r="S1000" s="1676"/>
      <c r="T1000" s="1676"/>
      <c r="U1000" s="1676"/>
      <c r="V1000" s="1676"/>
      <c r="W1000" s="1676"/>
      <c r="X1000" s="1676"/>
      <c r="Y1000" s="1676"/>
      <c r="Z1000" s="1676"/>
      <c r="AA1000" s="1676"/>
      <c r="AB1000" s="1676"/>
      <c r="AC1000" s="1676"/>
      <c r="AD1000" s="1676"/>
      <c r="AE1000" s="1677"/>
      <c r="AF1000" s="59"/>
      <c r="AG1000" s="6"/>
      <c r="AH1000" s="6"/>
      <c r="AI1000" s="60"/>
      <c r="AJ1000" s="1666"/>
      <c r="AK1000" s="1667"/>
      <c r="AL1000" s="1667"/>
      <c r="AM1000" s="1667"/>
      <c r="AN1000" s="1667"/>
      <c r="AO1000" s="1667"/>
      <c r="AP1000" s="1667"/>
      <c r="AQ1000" s="1668"/>
      <c r="AR1000" s="1178"/>
      <c r="AS1000" s="1178"/>
      <c r="AT1000" s="1178"/>
      <c r="AU1000" s="1178"/>
      <c r="AV1000" s="1178"/>
      <c r="AW1000" s="1178"/>
      <c r="AX1000" s="1178"/>
      <c r="AY1000" s="1178"/>
      <c r="AZ1000" s="3"/>
      <c r="BA1000" s="3"/>
      <c r="BB1000" s="3"/>
      <c r="BC1000" s="3"/>
    </row>
    <row r="1001" spans="1:55" ht="13" customHeight="1">
      <c r="A1001" s="13"/>
      <c r="B1001" s="1184"/>
      <c r="C1001" s="1185"/>
      <c r="D1001" s="1700" t="s">
        <v>1670</v>
      </c>
      <c r="E1001" s="1701"/>
      <c r="F1001" s="1701"/>
      <c r="G1001" s="1701"/>
      <c r="H1001" s="1701"/>
      <c r="I1001" s="1701"/>
      <c r="J1001" s="1701"/>
      <c r="K1001" s="1701"/>
      <c r="L1001" s="1701"/>
      <c r="M1001" s="1701"/>
      <c r="N1001" s="1701"/>
      <c r="O1001" s="1701"/>
      <c r="P1001" s="1701"/>
      <c r="Q1001" s="1701"/>
      <c r="R1001" s="1701"/>
      <c r="S1001" s="1701"/>
      <c r="T1001" s="1701"/>
      <c r="U1001" s="1701"/>
      <c r="V1001" s="1701"/>
      <c r="W1001" s="1701"/>
      <c r="X1001" s="1701"/>
      <c r="Y1001" s="1701"/>
      <c r="Z1001" s="1701"/>
      <c r="AA1001" s="1701"/>
      <c r="AB1001" s="1701"/>
      <c r="AC1001" s="1701"/>
      <c r="AD1001" s="1701"/>
      <c r="AE1001" s="1702"/>
      <c r="AF1001" s="61"/>
      <c r="AG1001" s="1686" t="s">
        <v>692</v>
      </c>
      <c r="AH1001" s="1687"/>
      <c r="AI1001" s="64"/>
      <c r="AJ1001" s="1660">
        <f>ROUND(IF(AG1001="yes",AJ992*0.05,0),0)</f>
        <v>0</v>
      </c>
      <c r="AK1001" s="1661"/>
      <c r="AL1001" s="1661"/>
      <c r="AM1001" s="1661"/>
      <c r="AN1001" s="1661"/>
      <c r="AO1001" s="1661"/>
      <c r="AP1001" s="1661"/>
      <c r="AQ1001" s="1662"/>
      <c r="AR1001" s="1178"/>
      <c r="AS1001" s="1178"/>
      <c r="AT1001" s="1178"/>
      <c r="AU1001" s="1178"/>
      <c r="AV1001" s="1178"/>
      <c r="AW1001" s="1178"/>
      <c r="AX1001" s="1178"/>
      <c r="AY1001" s="1178"/>
      <c r="AZ1001" s="3"/>
      <c r="BA1001" s="3"/>
      <c r="BB1001" s="3"/>
      <c r="BC1001" s="3"/>
    </row>
    <row r="1002" spans="1:55" ht="13" customHeight="1">
      <c r="A1002" s="13"/>
      <c r="B1002" s="1182"/>
      <c r="C1002" s="1186"/>
      <c r="D1002" s="1703" t="s">
        <v>1671</v>
      </c>
      <c r="E1002" s="1704"/>
      <c r="F1002" s="1704"/>
      <c r="G1002" s="1704"/>
      <c r="H1002" s="1704"/>
      <c r="I1002" s="1704"/>
      <c r="J1002" s="1704"/>
      <c r="K1002" s="1704"/>
      <c r="L1002" s="1704"/>
      <c r="M1002" s="1704"/>
      <c r="N1002" s="1704"/>
      <c r="O1002" s="1704"/>
      <c r="P1002" s="1704"/>
      <c r="Q1002" s="1704"/>
      <c r="R1002" s="1704"/>
      <c r="S1002" s="1704"/>
      <c r="T1002" s="1704"/>
      <c r="U1002" s="1704"/>
      <c r="V1002" s="1704"/>
      <c r="W1002" s="1704"/>
      <c r="X1002" s="1704"/>
      <c r="Y1002" s="1704"/>
      <c r="Z1002" s="1704"/>
      <c r="AA1002" s="1704"/>
      <c r="AB1002" s="1704"/>
      <c r="AC1002" s="1704"/>
      <c r="AD1002" s="1704"/>
      <c r="AE1002" s="1705"/>
      <c r="AF1002" s="58"/>
      <c r="AG1002" s="13"/>
      <c r="AH1002" s="13"/>
      <c r="AI1002" s="62"/>
      <c r="AJ1002" s="1663"/>
      <c r="AK1002" s="1664"/>
      <c r="AL1002" s="1664"/>
      <c r="AM1002" s="1664"/>
      <c r="AN1002" s="1664"/>
      <c r="AO1002" s="1664"/>
      <c r="AP1002" s="1664"/>
      <c r="AQ1002" s="1665"/>
      <c r="AR1002" s="1178"/>
      <c r="AS1002" s="1178"/>
      <c r="AT1002" s="1178"/>
      <c r="AU1002" s="1178"/>
      <c r="AV1002" s="1178"/>
      <c r="AW1002" s="1178"/>
      <c r="AX1002" s="1178"/>
      <c r="AY1002" s="3"/>
      <c r="AZ1002" s="3"/>
      <c r="BB1002" s="3"/>
    </row>
    <row r="1003" spans="1:55" ht="13" customHeight="1">
      <c r="A1003" s="13"/>
      <c r="B1003" s="1182"/>
      <c r="C1003" s="1186"/>
      <c r="D1003" s="1703"/>
      <c r="E1003" s="1704"/>
      <c r="F1003" s="1704"/>
      <c r="G1003" s="1704"/>
      <c r="H1003" s="1704"/>
      <c r="I1003" s="1704"/>
      <c r="J1003" s="1704"/>
      <c r="K1003" s="1704"/>
      <c r="L1003" s="1704"/>
      <c r="M1003" s="1704"/>
      <c r="N1003" s="1704"/>
      <c r="O1003" s="1704"/>
      <c r="P1003" s="1704"/>
      <c r="Q1003" s="1704"/>
      <c r="R1003" s="1704"/>
      <c r="S1003" s="1704"/>
      <c r="T1003" s="1704"/>
      <c r="U1003" s="1704"/>
      <c r="V1003" s="1704"/>
      <c r="W1003" s="1704"/>
      <c r="X1003" s="1704"/>
      <c r="Y1003" s="1704"/>
      <c r="Z1003" s="1704"/>
      <c r="AA1003" s="1704"/>
      <c r="AB1003" s="1704"/>
      <c r="AC1003" s="1704"/>
      <c r="AD1003" s="1704"/>
      <c r="AE1003" s="1705"/>
      <c r="AF1003" s="58"/>
      <c r="AG1003" s="13"/>
      <c r="AH1003" s="13"/>
      <c r="AI1003" s="62"/>
      <c r="AJ1003" s="1663"/>
      <c r="AK1003" s="1664"/>
      <c r="AL1003" s="1664"/>
      <c r="AM1003" s="1664"/>
      <c r="AN1003" s="1664"/>
      <c r="AO1003" s="1664"/>
      <c r="AP1003" s="1664"/>
      <c r="AQ1003" s="1665"/>
      <c r="AR1003" s="1178"/>
      <c r="AS1003" s="1178"/>
      <c r="AT1003" s="1178"/>
      <c r="AU1003" s="1178"/>
      <c r="AV1003" s="1178"/>
      <c r="AW1003" s="1178"/>
      <c r="AX1003" s="1178"/>
      <c r="AY1003" s="809">
        <f>G753+O797</f>
        <v>78</v>
      </c>
      <c r="AZ1003" s="3"/>
      <c r="BB1003" s="3"/>
    </row>
    <row r="1004" spans="1:55" ht="13" customHeight="1">
      <c r="A1004" s="13"/>
      <c r="B1004" s="1182"/>
      <c r="C1004" s="1186"/>
      <c r="D1004" s="1703"/>
      <c r="E1004" s="1704"/>
      <c r="F1004" s="1704"/>
      <c r="G1004" s="1704"/>
      <c r="H1004" s="1704"/>
      <c r="I1004" s="1704"/>
      <c r="J1004" s="1704"/>
      <c r="K1004" s="1704"/>
      <c r="L1004" s="1704"/>
      <c r="M1004" s="1704"/>
      <c r="N1004" s="1704"/>
      <c r="O1004" s="1704"/>
      <c r="P1004" s="1704"/>
      <c r="Q1004" s="1704"/>
      <c r="R1004" s="1704"/>
      <c r="S1004" s="1704"/>
      <c r="T1004" s="1704"/>
      <c r="U1004" s="1704"/>
      <c r="V1004" s="1704"/>
      <c r="W1004" s="1704"/>
      <c r="X1004" s="1704"/>
      <c r="Y1004" s="1704"/>
      <c r="Z1004" s="1704"/>
      <c r="AA1004" s="1704"/>
      <c r="AB1004" s="1704"/>
      <c r="AC1004" s="1704"/>
      <c r="AD1004" s="1704"/>
      <c r="AE1004" s="1705"/>
      <c r="AF1004" s="58"/>
      <c r="AG1004" s="13"/>
      <c r="AH1004" s="13"/>
      <c r="AI1004" s="62"/>
      <c r="AJ1004" s="1663"/>
      <c r="AK1004" s="1664"/>
      <c r="AL1004" s="1664"/>
      <c r="AM1004" s="1664"/>
      <c r="AN1004" s="1664"/>
      <c r="AO1004" s="1664"/>
      <c r="AP1004" s="1664"/>
      <c r="AQ1004" s="1665"/>
      <c r="AR1004" s="1178"/>
      <c r="AS1004" s="1178"/>
      <c r="AT1004" s="1178"/>
      <c r="AU1004" s="1178"/>
      <c r="AV1004" s="1178"/>
      <c r="AW1004" s="1178"/>
      <c r="AX1004" s="1178"/>
      <c r="AY1004" s="13"/>
      <c r="AZ1004" s="3"/>
      <c r="BB1004" s="3"/>
    </row>
    <row r="1005" spans="1:55" ht="13" customHeight="1">
      <c r="A1005" s="13"/>
      <c r="B1005" s="1182"/>
      <c r="C1005" s="1186"/>
      <c r="D1005" s="1703"/>
      <c r="E1005" s="1704"/>
      <c r="F1005" s="1704"/>
      <c r="G1005" s="1704"/>
      <c r="H1005" s="1704"/>
      <c r="I1005" s="1704"/>
      <c r="J1005" s="1704"/>
      <c r="K1005" s="1704"/>
      <c r="L1005" s="1704"/>
      <c r="M1005" s="1704"/>
      <c r="N1005" s="1704"/>
      <c r="O1005" s="1704"/>
      <c r="P1005" s="1704"/>
      <c r="Q1005" s="1704"/>
      <c r="R1005" s="1704"/>
      <c r="S1005" s="1704"/>
      <c r="T1005" s="1704"/>
      <c r="U1005" s="1704"/>
      <c r="V1005" s="1704"/>
      <c r="W1005" s="1704"/>
      <c r="X1005" s="1704"/>
      <c r="Y1005" s="1704"/>
      <c r="Z1005" s="1704"/>
      <c r="AA1005" s="1704"/>
      <c r="AB1005" s="1704"/>
      <c r="AC1005" s="1704"/>
      <c r="AD1005" s="1704"/>
      <c r="AE1005" s="1705"/>
      <c r="AF1005" s="58"/>
      <c r="AG1005" s="13"/>
      <c r="AH1005" s="13"/>
      <c r="AI1005" s="62"/>
      <c r="AJ1005" s="1663"/>
      <c r="AK1005" s="1664"/>
      <c r="AL1005" s="1664"/>
      <c r="AM1005" s="1664"/>
      <c r="AN1005" s="1664"/>
      <c r="AO1005" s="1664"/>
      <c r="AP1005" s="1664"/>
      <c r="AQ1005" s="1665"/>
      <c r="AR1005" s="1178"/>
      <c r="AS1005" s="1178"/>
      <c r="AT1005" s="1178"/>
      <c r="AU1005" s="1178"/>
      <c r="AV1005" s="1178"/>
      <c r="AW1005" s="1178"/>
      <c r="AX1005" s="1178"/>
      <c r="AY1005" s="808">
        <f>ROUNDDOWN(X1048/I1048,2)</f>
        <v>0.35</v>
      </c>
      <c r="AZ1005" s="3"/>
      <c r="BB1005" s="3"/>
    </row>
    <row r="1006" spans="1:55" ht="13" customHeight="1">
      <c r="A1006" s="13"/>
      <c r="B1006" s="1187"/>
      <c r="C1006" s="1188"/>
      <c r="D1006" s="1706"/>
      <c r="E1006" s="1707"/>
      <c r="F1006" s="1707"/>
      <c r="G1006" s="1707"/>
      <c r="H1006" s="1707"/>
      <c r="I1006" s="1707"/>
      <c r="J1006" s="1707"/>
      <c r="K1006" s="1707"/>
      <c r="L1006" s="1707"/>
      <c r="M1006" s="1707"/>
      <c r="N1006" s="1707"/>
      <c r="O1006" s="1707"/>
      <c r="P1006" s="1707"/>
      <c r="Q1006" s="1707"/>
      <c r="R1006" s="1707"/>
      <c r="S1006" s="1707"/>
      <c r="T1006" s="1707"/>
      <c r="U1006" s="1707"/>
      <c r="V1006" s="1707"/>
      <c r="W1006" s="1707"/>
      <c r="X1006" s="1707"/>
      <c r="Y1006" s="1707"/>
      <c r="Z1006" s="1707"/>
      <c r="AA1006" s="1707"/>
      <c r="AB1006" s="1707"/>
      <c r="AC1006" s="1707"/>
      <c r="AD1006" s="1707"/>
      <c r="AE1006" s="1708"/>
      <c r="AF1006" s="59"/>
      <c r="AG1006" s="6"/>
      <c r="AH1006" s="6"/>
      <c r="AI1006" s="60"/>
      <c r="AJ1006" s="1666"/>
      <c r="AK1006" s="1667"/>
      <c r="AL1006" s="1667"/>
      <c r="AM1006" s="1667"/>
      <c r="AN1006" s="1667"/>
      <c r="AO1006" s="1667"/>
      <c r="AP1006" s="1667"/>
      <c r="AQ1006" s="1668"/>
      <c r="AR1006" s="1178"/>
      <c r="AS1006" s="1178"/>
      <c r="AT1006" s="1178"/>
      <c r="AU1006" s="1178"/>
      <c r="AV1006" s="1178"/>
      <c r="AW1006" s="1178"/>
      <c r="AX1006" s="1178"/>
      <c r="AY1006" s="808">
        <f>ROUNDDOWN(X1052/I1052,2)</f>
        <v>0.41</v>
      </c>
      <c r="AZ1006" s="3"/>
      <c r="BB1006" s="3"/>
    </row>
    <row r="1007" spans="1:55" ht="13" customHeight="1">
      <c r="A1007" s="13"/>
      <c r="B1007" s="1184"/>
      <c r="C1007" s="241" t="s">
        <v>1672</v>
      </c>
      <c r="D1007" s="1700" t="s">
        <v>1673</v>
      </c>
      <c r="E1007" s="1701"/>
      <c r="F1007" s="1701"/>
      <c r="G1007" s="1701"/>
      <c r="H1007" s="1701"/>
      <c r="I1007" s="1701"/>
      <c r="J1007" s="1701"/>
      <c r="K1007" s="1701"/>
      <c r="L1007" s="1701"/>
      <c r="M1007" s="1701"/>
      <c r="N1007" s="1701"/>
      <c r="O1007" s="1701"/>
      <c r="P1007" s="1701"/>
      <c r="Q1007" s="1701"/>
      <c r="R1007" s="1701"/>
      <c r="S1007" s="1701"/>
      <c r="T1007" s="1701"/>
      <c r="U1007" s="1701"/>
      <c r="V1007" s="1701"/>
      <c r="W1007" s="1701"/>
      <c r="X1007" s="1701"/>
      <c r="Y1007" s="1701"/>
      <c r="Z1007" s="1701"/>
      <c r="AA1007" s="1701"/>
      <c r="AB1007" s="1701"/>
      <c r="AC1007" s="1701"/>
      <c r="AD1007" s="1701"/>
      <c r="AE1007" s="1702"/>
      <c r="AF1007" s="63"/>
      <c r="AG1007" s="1686" t="s">
        <v>692</v>
      </c>
      <c r="AH1007" s="1687"/>
      <c r="AI1007" s="64"/>
      <c r="AJ1007" s="1660">
        <f>ROUND(IF(AG1007="yes",AJ992*0.1,0),0)</f>
        <v>0</v>
      </c>
      <c r="AK1007" s="1661"/>
      <c r="AL1007" s="1661"/>
      <c r="AM1007" s="1661"/>
      <c r="AN1007" s="1661"/>
      <c r="AO1007" s="1661"/>
      <c r="AP1007" s="1661"/>
      <c r="AQ1007" s="1662"/>
      <c r="AR1007" s="1178"/>
      <c r="AS1007" s="1178"/>
      <c r="AT1007" s="1178"/>
      <c r="AU1007" s="1178"/>
      <c r="AV1007" s="1178"/>
      <c r="AW1007" s="1178"/>
      <c r="AX1007" s="1178"/>
      <c r="BB1007" s="3"/>
    </row>
    <row r="1008" spans="1:55" ht="13" customHeight="1">
      <c r="A1008" s="13"/>
      <c r="B1008" s="58"/>
      <c r="C1008" s="1189"/>
      <c r="D1008" s="1635" t="s">
        <v>1674</v>
      </c>
      <c r="E1008" s="1636"/>
      <c r="F1008" s="1636"/>
      <c r="G1008" s="1636"/>
      <c r="H1008" s="1636"/>
      <c r="I1008" s="1636"/>
      <c r="J1008" s="1636"/>
      <c r="K1008" s="1636"/>
      <c r="L1008" s="1636"/>
      <c r="M1008" s="1636"/>
      <c r="N1008" s="1636"/>
      <c r="O1008" s="1636"/>
      <c r="P1008" s="1636"/>
      <c r="Q1008" s="1636"/>
      <c r="R1008" s="1636"/>
      <c r="S1008" s="1636"/>
      <c r="T1008" s="1636"/>
      <c r="U1008" s="1636"/>
      <c r="V1008" s="1636"/>
      <c r="W1008" s="1636"/>
      <c r="X1008" s="1636"/>
      <c r="Y1008" s="1636"/>
      <c r="Z1008" s="1636"/>
      <c r="AA1008" s="1636"/>
      <c r="AB1008" s="1636"/>
      <c r="AC1008" s="1636"/>
      <c r="AD1008" s="1636"/>
      <c r="AE1008" s="1637"/>
      <c r="AF1008" s="58"/>
      <c r="AI1008" s="62"/>
      <c r="AJ1008" s="1663"/>
      <c r="AK1008" s="1664"/>
      <c r="AL1008" s="1664"/>
      <c r="AM1008" s="1664"/>
      <c r="AN1008" s="1664"/>
      <c r="AO1008" s="1664"/>
      <c r="AP1008" s="1664"/>
      <c r="AQ1008" s="1665"/>
      <c r="AR1008" s="1178"/>
      <c r="AS1008" s="1178"/>
      <c r="AT1008" s="1178"/>
      <c r="AU1008" s="1178"/>
      <c r="AV1008" s="1178"/>
      <c r="AW1008" s="1178"/>
      <c r="AX1008" s="1178"/>
    </row>
    <row r="1009" spans="1:52" ht="13" customHeight="1">
      <c r="A1009" s="13"/>
      <c r="B1009" s="58"/>
      <c r="C1009" s="1189"/>
      <c r="D1009" s="1635"/>
      <c r="E1009" s="1636"/>
      <c r="F1009" s="1636"/>
      <c r="G1009" s="1636"/>
      <c r="H1009" s="1636"/>
      <c r="I1009" s="1636"/>
      <c r="J1009" s="1636"/>
      <c r="K1009" s="1636"/>
      <c r="L1009" s="1636"/>
      <c r="M1009" s="1636"/>
      <c r="N1009" s="1636"/>
      <c r="O1009" s="1636"/>
      <c r="P1009" s="1636"/>
      <c r="Q1009" s="1636"/>
      <c r="R1009" s="1636"/>
      <c r="S1009" s="1636"/>
      <c r="T1009" s="1636"/>
      <c r="U1009" s="1636"/>
      <c r="V1009" s="1636"/>
      <c r="W1009" s="1636"/>
      <c r="X1009" s="1636"/>
      <c r="Y1009" s="1636"/>
      <c r="Z1009" s="1636"/>
      <c r="AA1009" s="1636"/>
      <c r="AB1009" s="1636"/>
      <c r="AC1009" s="1636"/>
      <c r="AD1009" s="1636"/>
      <c r="AE1009" s="1637"/>
      <c r="AF1009" s="58"/>
      <c r="AG1009" s="13"/>
      <c r="AH1009" s="13"/>
      <c r="AI1009" s="62"/>
      <c r="AJ1009" s="1663"/>
      <c r="AK1009" s="1664"/>
      <c r="AL1009" s="1664"/>
      <c r="AM1009" s="1664"/>
      <c r="AN1009" s="1664"/>
      <c r="AO1009" s="1664"/>
      <c r="AP1009" s="1664"/>
      <c r="AQ1009" s="1665"/>
      <c r="AR1009" s="1178"/>
      <c r="AS1009" s="1178"/>
      <c r="AT1009" s="1178"/>
      <c r="AU1009" s="1178"/>
      <c r="AV1009" s="1178"/>
      <c r="AW1009" s="1178"/>
      <c r="AX1009" s="1178"/>
    </row>
    <row r="1010" spans="1:52" ht="13" customHeight="1">
      <c r="A1010" s="13"/>
      <c r="B1010" s="1190"/>
      <c r="C1010" s="1188"/>
      <c r="D1010" s="1678"/>
      <c r="E1010" s="1679"/>
      <c r="F1010" s="1679"/>
      <c r="G1010" s="1679"/>
      <c r="H1010" s="1679"/>
      <c r="I1010" s="1679"/>
      <c r="J1010" s="1679"/>
      <c r="K1010" s="1679"/>
      <c r="L1010" s="1679"/>
      <c r="M1010" s="1679"/>
      <c r="N1010" s="1679"/>
      <c r="O1010" s="1679"/>
      <c r="P1010" s="1679"/>
      <c r="Q1010" s="1679"/>
      <c r="R1010" s="1679"/>
      <c r="S1010" s="1679"/>
      <c r="T1010" s="1679"/>
      <c r="U1010" s="1679"/>
      <c r="V1010" s="1679"/>
      <c r="W1010" s="1679"/>
      <c r="X1010" s="1679"/>
      <c r="Y1010" s="1679"/>
      <c r="Z1010" s="1679"/>
      <c r="AA1010" s="1679"/>
      <c r="AB1010" s="1679"/>
      <c r="AC1010" s="1679"/>
      <c r="AD1010" s="1679"/>
      <c r="AE1010" s="1680"/>
      <c r="AF1010" s="59"/>
      <c r="AG1010" s="6"/>
      <c r="AH1010" s="6"/>
      <c r="AI1010" s="60"/>
      <c r="AJ1010" s="1666"/>
      <c r="AK1010" s="1667"/>
      <c r="AL1010" s="1667"/>
      <c r="AM1010" s="1667"/>
      <c r="AN1010" s="1667"/>
      <c r="AO1010" s="1667"/>
      <c r="AP1010" s="1667"/>
      <c r="AQ1010" s="1668"/>
      <c r="AR1010" s="1178"/>
      <c r="AS1010" s="1178"/>
      <c r="AT1010" s="1178"/>
      <c r="AU1010" s="1178"/>
      <c r="AV1010" s="1178"/>
      <c r="AW1010" s="1178"/>
      <c r="AX1010" s="1178"/>
    </row>
    <row r="1011" spans="1:52" ht="13" customHeight="1">
      <c r="A1011" s="13"/>
      <c r="B1011" s="61"/>
      <c r="C1011" s="241" t="s">
        <v>1675</v>
      </c>
      <c r="D1011" s="1700" t="s">
        <v>1676</v>
      </c>
      <c r="E1011" s="1701"/>
      <c r="F1011" s="1701"/>
      <c r="G1011" s="1701"/>
      <c r="H1011" s="1701"/>
      <c r="I1011" s="1701"/>
      <c r="J1011" s="1701"/>
      <c r="K1011" s="1701"/>
      <c r="L1011" s="1701"/>
      <c r="M1011" s="1701"/>
      <c r="N1011" s="1701"/>
      <c r="O1011" s="1701"/>
      <c r="P1011" s="1701"/>
      <c r="Q1011" s="1701"/>
      <c r="R1011" s="1701"/>
      <c r="S1011" s="1701"/>
      <c r="T1011" s="1701"/>
      <c r="U1011" s="1701"/>
      <c r="V1011" s="1701"/>
      <c r="W1011" s="1701"/>
      <c r="X1011" s="1701"/>
      <c r="Y1011" s="1701"/>
      <c r="Z1011" s="1701"/>
      <c r="AA1011" s="1701"/>
      <c r="AB1011" s="1701"/>
      <c r="AC1011" s="1701"/>
      <c r="AD1011" s="1701"/>
      <c r="AE1011" s="1702"/>
      <c r="AF1011" s="61"/>
      <c r="AG1011" s="1686" t="s">
        <v>692</v>
      </c>
      <c r="AH1011" s="1687"/>
      <c r="AI1011" s="64"/>
      <c r="AJ1011" s="1660">
        <f>ROUND(IF(AG1011="yes",AJ992*0.02,0),0)</f>
        <v>0</v>
      </c>
      <c r="AK1011" s="1661"/>
      <c r="AL1011" s="1661"/>
      <c r="AM1011" s="1661"/>
      <c r="AN1011" s="1661"/>
      <c r="AO1011" s="1661"/>
      <c r="AP1011" s="1661"/>
      <c r="AQ1011" s="1662"/>
      <c r="AR1011" s="1178"/>
      <c r="AS1011" s="1178"/>
      <c r="AT1011" s="1178"/>
      <c r="AU1011" s="1178"/>
      <c r="AV1011" s="1178"/>
      <c r="AW1011" s="1178"/>
      <c r="AX1011" s="1178"/>
    </row>
    <row r="1012" spans="1:52" ht="14.25" customHeight="1">
      <c r="A1012" s="13"/>
      <c r="B1012" s="58"/>
      <c r="C1012" s="1189"/>
      <c r="D1012" s="1678" t="s">
        <v>1677</v>
      </c>
      <c r="E1012" s="1679"/>
      <c r="F1012" s="1679"/>
      <c r="G1012" s="1679"/>
      <c r="H1012" s="1679"/>
      <c r="I1012" s="1679"/>
      <c r="J1012" s="1679"/>
      <c r="K1012" s="1679"/>
      <c r="L1012" s="1679"/>
      <c r="M1012" s="1679"/>
      <c r="N1012" s="1679"/>
      <c r="O1012" s="1679"/>
      <c r="P1012" s="1679"/>
      <c r="Q1012" s="1679"/>
      <c r="R1012" s="1679"/>
      <c r="S1012" s="1679"/>
      <c r="T1012" s="1679"/>
      <c r="U1012" s="1679"/>
      <c r="V1012" s="1679"/>
      <c r="W1012" s="1679"/>
      <c r="X1012" s="1679"/>
      <c r="Y1012" s="1679"/>
      <c r="Z1012" s="1679"/>
      <c r="AA1012" s="1679"/>
      <c r="AB1012" s="1679"/>
      <c r="AC1012" s="1679"/>
      <c r="AD1012" s="1679"/>
      <c r="AE1012" s="1680"/>
      <c r="AF1012" s="59"/>
      <c r="AG1012" s="6"/>
      <c r="AH1012" s="6"/>
      <c r="AI1012" s="60"/>
      <c r="AJ1012" s="1666"/>
      <c r="AK1012" s="1667"/>
      <c r="AL1012" s="1667"/>
      <c r="AM1012" s="1667"/>
      <c r="AN1012" s="1667"/>
      <c r="AO1012" s="1667"/>
      <c r="AP1012" s="1667"/>
      <c r="AQ1012" s="1668"/>
      <c r="AR1012" s="1178"/>
      <c r="AS1012" s="1178"/>
      <c r="AT1012" s="1178"/>
      <c r="AU1012" s="1178"/>
      <c r="AV1012" s="1178"/>
      <c r="AW1012" s="1178"/>
      <c r="AX1012" s="3" t="s">
        <v>1678</v>
      </c>
      <c r="AZ1012" s="3" t="s">
        <v>1679</v>
      </c>
    </row>
    <row r="1013" spans="1:52" ht="13" customHeight="1">
      <c r="A1013" s="13"/>
      <c r="B1013" s="61"/>
      <c r="C1013" s="241" t="s">
        <v>1680</v>
      </c>
      <c r="D1013" s="1700" t="s">
        <v>1681</v>
      </c>
      <c r="E1013" s="1701"/>
      <c r="F1013" s="1701"/>
      <c r="G1013" s="1701"/>
      <c r="H1013" s="1701"/>
      <c r="I1013" s="1701"/>
      <c r="J1013" s="1701"/>
      <c r="K1013" s="1701"/>
      <c r="L1013" s="1701"/>
      <c r="M1013" s="1701"/>
      <c r="N1013" s="1701"/>
      <c r="O1013" s="1701"/>
      <c r="P1013" s="1701"/>
      <c r="Q1013" s="1701"/>
      <c r="R1013" s="1701"/>
      <c r="S1013" s="1701"/>
      <c r="T1013" s="1701"/>
      <c r="U1013" s="1701"/>
      <c r="V1013" s="1701"/>
      <c r="W1013" s="1701"/>
      <c r="X1013" s="1701"/>
      <c r="Y1013" s="1701"/>
      <c r="Z1013" s="1701"/>
      <c r="AA1013" s="1701"/>
      <c r="AB1013" s="1701"/>
      <c r="AC1013" s="1701"/>
      <c r="AD1013" s="1701"/>
      <c r="AE1013" s="1702"/>
      <c r="AF1013" s="61"/>
      <c r="AG1013" s="1686" t="s">
        <v>692</v>
      </c>
      <c r="AH1013" s="1687"/>
      <c r="AI1013" s="61"/>
      <c r="AJ1013" s="1660">
        <f>ROUND(IF(AG1013="yes",AJ992*0.02,0),0)</f>
        <v>0</v>
      </c>
      <c r="AK1013" s="1661"/>
      <c r="AL1013" s="1661"/>
      <c r="AM1013" s="1661"/>
      <c r="AN1013" s="1661"/>
      <c r="AO1013" s="1661"/>
      <c r="AP1013" s="1661"/>
      <c r="AQ1013" s="1662"/>
      <c r="AR1013" s="1178"/>
      <c r="AS1013" s="1178"/>
      <c r="AT1013" s="1178"/>
      <c r="AU1013" s="1178"/>
      <c r="AV1013" s="1178"/>
      <c r="AW1013" s="1178"/>
      <c r="AX1013" s="3">
        <v>1</v>
      </c>
      <c r="AY1013" s="1191">
        <f>IF((_xlfn.XLOOKUP(AX1013,$C$1065:$C$1103,$A$1065:$A$1103,"",0,1))="Yes",AZ1013,0)</f>
        <v>0</v>
      </c>
      <c r="AZ1013" s="1143">
        <v>0.2</v>
      </c>
    </row>
    <row r="1014" spans="1:52" ht="13" customHeight="1">
      <c r="A1014" s="13"/>
      <c r="B1014" s="58"/>
      <c r="C1014" s="1189"/>
      <c r="D1014" s="1635" t="s">
        <v>1682</v>
      </c>
      <c r="E1014" s="1636"/>
      <c r="F1014" s="1636"/>
      <c r="G1014" s="1636"/>
      <c r="H1014" s="1636"/>
      <c r="I1014" s="1636"/>
      <c r="J1014" s="1636"/>
      <c r="K1014" s="1636"/>
      <c r="L1014" s="1636"/>
      <c r="M1014" s="1636"/>
      <c r="N1014" s="1636"/>
      <c r="O1014" s="1636"/>
      <c r="P1014" s="1636"/>
      <c r="Q1014" s="1636"/>
      <c r="R1014" s="1636"/>
      <c r="S1014" s="1636"/>
      <c r="T1014" s="1636"/>
      <c r="U1014" s="1636"/>
      <c r="V1014" s="1636"/>
      <c r="W1014" s="1636"/>
      <c r="X1014" s="1636"/>
      <c r="Y1014" s="1636"/>
      <c r="Z1014" s="1636"/>
      <c r="AA1014" s="1636"/>
      <c r="AB1014" s="1636"/>
      <c r="AC1014" s="1636"/>
      <c r="AD1014" s="1636"/>
      <c r="AE1014" s="1637"/>
      <c r="AF1014" s="1780" t="str">
        <f>IF(AND(AG1013="yes",T212&lt;&gt;1),"The project may not be eligible for this boost","")</f>
        <v/>
      </c>
      <c r="AG1014" s="1781"/>
      <c r="AH1014" s="1781"/>
      <c r="AI1014" s="1782"/>
      <c r="AJ1014" s="1663"/>
      <c r="AK1014" s="1664"/>
      <c r="AL1014" s="1664"/>
      <c r="AM1014" s="1664"/>
      <c r="AN1014" s="1664"/>
      <c r="AO1014" s="1664"/>
      <c r="AP1014" s="1664"/>
      <c r="AQ1014" s="1665"/>
      <c r="AR1014" s="1178"/>
      <c r="AS1014" s="1178"/>
      <c r="AT1014" s="1178"/>
      <c r="AU1014" s="1178"/>
      <c r="AV1014" s="1178"/>
      <c r="AW1014" s="1178"/>
      <c r="AX1014" s="3">
        <v>2</v>
      </c>
      <c r="AY1014" s="1191">
        <f t="shared" ref="AY1014:AY1023" si="55">IF((_xlfn.XLOOKUP(AX1014,$C$1065:$C$1103,$A$1065:$A$1103,"",0,1))="Yes",AZ1014,0)</f>
        <v>0</v>
      </c>
      <c r="AZ1014" s="1143">
        <v>0.15</v>
      </c>
    </row>
    <row r="1015" spans="1:52" ht="13" customHeight="1">
      <c r="A1015" s="13"/>
      <c r="B1015" s="1187"/>
      <c r="C1015" s="1188"/>
      <c r="D1015" s="1678"/>
      <c r="E1015" s="1679"/>
      <c r="F1015" s="1679"/>
      <c r="G1015" s="1679"/>
      <c r="H1015" s="1679"/>
      <c r="I1015" s="1679"/>
      <c r="J1015" s="1679"/>
      <c r="K1015" s="1679"/>
      <c r="L1015" s="1679"/>
      <c r="M1015" s="1679"/>
      <c r="N1015" s="1679"/>
      <c r="O1015" s="1679"/>
      <c r="P1015" s="1679"/>
      <c r="Q1015" s="1679"/>
      <c r="R1015" s="1679"/>
      <c r="S1015" s="1679"/>
      <c r="T1015" s="1679"/>
      <c r="U1015" s="1679"/>
      <c r="V1015" s="1679"/>
      <c r="W1015" s="1679"/>
      <c r="X1015" s="1679"/>
      <c r="Y1015" s="1679"/>
      <c r="Z1015" s="1679"/>
      <c r="AA1015" s="1679"/>
      <c r="AB1015" s="1679"/>
      <c r="AC1015" s="1679"/>
      <c r="AD1015" s="1679"/>
      <c r="AE1015" s="1680"/>
      <c r="AF1015" s="1783"/>
      <c r="AG1015" s="1784"/>
      <c r="AH1015" s="1784"/>
      <c r="AI1015" s="1785"/>
      <c r="AJ1015" s="1666"/>
      <c r="AK1015" s="1667"/>
      <c r="AL1015" s="1667"/>
      <c r="AM1015" s="1667"/>
      <c r="AN1015" s="1667"/>
      <c r="AO1015" s="1667"/>
      <c r="AP1015" s="1667"/>
      <c r="AQ1015" s="1668"/>
      <c r="AR1015" s="1178"/>
      <c r="AS1015" s="1178"/>
      <c r="AT1015" s="1178"/>
      <c r="AU1015" s="1178"/>
      <c r="AV1015" s="1178"/>
      <c r="AW1015" s="1178"/>
      <c r="AX1015" s="3">
        <v>3</v>
      </c>
      <c r="AY1015" s="1191">
        <f t="shared" si="55"/>
        <v>0</v>
      </c>
      <c r="AZ1015" s="1143">
        <v>0.05</v>
      </c>
    </row>
    <row r="1016" spans="1:52" ht="13" customHeight="1">
      <c r="A1016" s="13"/>
      <c r="B1016" s="61"/>
      <c r="C1016" s="241" t="s">
        <v>1683</v>
      </c>
      <c r="D1016" s="1669" t="s">
        <v>1684</v>
      </c>
      <c r="E1016" s="1670"/>
      <c r="F1016" s="1670"/>
      <c r="G1016" s="1670"/>
      <c r="H1016" s="1670"/>
      <c r="I1016" s="1670"/>
      <c r="J1016" s="1670"/>
      <c r="K1016" s="1670"/>
      <c r="L1016" s="1670"/>
      <c r="M1016" s="1670"/>
      <c r="N1016" s="1670"/>
      <c r="O1016" s="1670"/>
      <c r="P1016" s="1670"/>
      <c r="Q1016" s="1670"/>
      <c r="R1016" s="1670"/>
      <c r="S1016" s="1670"/>
      <c r="T1016" s="1670"/>
      <c r="U1016" s="1670"/>
      <c r="V1016" s="1670"/>
      <c r="W1016" s="1670"/>
      <c r="X1016" s="1670"/>
      <c r="Y1016" s="1670"/>
      <c r="Z1016" s="1670"/>
      <c r="AA1016" s="1670"/>
      <c r="AB1016" s="1670"/>
      <c r="AC1016" s="1670"/>
      <c r="AD1016" s="1670"/>
      <c r="AE1016" s="1671"/>
      <c r="AF1016" s="61"/>
      <c r="AG1016" s="1686" t="s">
        <v>692</v>
      </c>
      <c r="AH1016" s="1687"/>
      <c r="AI1016" s="64"/>
      <c r="AJ1016" s="1660">
        <f>IF(AG1016="yes",AJ992*AY1024,0)</f>
        <v>0</v>
      </c>
      <c r="AK1016" s="1661"/>
      <c r="AL1016" s="1661"/>
      <c r="AM1016" s="1661"/>
      <c r="AN1016" s="1661"/>
      <c r="AO1016" s="1661"/>
      <c r="AP1016" s="1661"/>
      <c r="AQ1016" s="1662"/>
      <c r="AR1016" s="1178"/>
      <c r="AS1016" s="1178"/>
      <c r="AT1016" s="1178"/>
      <c r="AU1016" s="1178"/>
      <c r="AV1016" s="1178"/>
      <c r="AW1016" s="1178"/>
      <c r="AX1016" s="3">
        <v>4</v>
      </c>
      <c r="AY1016" s="1191">
        <f t="shared" si="55"/>
        <v>0</v>
      </c>
      <c r="AZ1016" s="1143">
        <v>0.02</v>
      </c>
    </row>
    <row r="1017" spans="1:52" ht="13" customHeight="1">
      <c r="A1017" s="13"/>
      <c r="B1017" s="58"/>
      <c r="C1017" s="1189"/>
      <c r="D1017" s="1635" t="s">
        <v>1685</v>
      </c>
      <c r="E1017" s="1636"/>
      <c r="F1017" s="1636"/>
      <c r="G1017" s="1636"/>
      <c r="H1017" s="1636"/>
      <c r="I1017" s="1636"/>
      <c r="J1017" s="1636"/>
      <c r="K1017" s="1636"/>
      <c r="L1017" s="1636"/>
      <c r="M1017" s="1636"/>
      <c r="N1017" s="1636"/>
      <c r="O1017" s="1636"/>
      <c r="P1017" s="1636"/>
      <c r="Q1017" s="1636"/>
      <c r="R1017" s="1636"/>
      <c r="S1017" s="1636"/>
      <c r="T1017" s="1636"/>
      <c r="U1017" s="1636"/>
      <c r="V1017" s="1636"/>
      <c r="W1017" s="1636"/>
      <c r="X1017" s="1636"/>
      <c r="Y1017" s="1636"/>
      <c r="Z1017" s="1636"/>
      <c r="AA1017" s="1636"/>
      <c r="AB1017" s="1636"/>
      <c r="AC1017" s="1636"/>
      <c r="AD1017" s="1636"/>
      <c r="AE1017" s="1637"/>
      <c r="AF1017" s="1774" t="str">
        <f>IF(AND(AG1016="Yes",AY1024=0),AY1027,"")</f>
        <v/>
      </c>
      <c r="AG1017" s="1775"/>
      <c r="AH1017" s="1775"/>
      <c r="AI1017" s="1776"/>
      <c r="AJ1017" s="1663"/>
      <c r="AK1017" s="1664"/>
      <c r="AL1017" s="1664"/>
      <c r="AM1017" s="1664"/>
      <c r="AN1017" s="1664"/>
      <c r="AO1017" s="1664"/>
      <c r="AP1017" s="1664"/>
      <c r="AQ1017" s="1665"/>
      <c r="AR1017" s="1178"/>
      <c r="AS1017" s="1178"/>
      <c r="AT1017" s="1178"/>
      <c r="AU1017" s="1178"/>
      <c r="AV1017" s="1178"/>
      <c r="AW1017" s="1178"/>
      <c r="AX1017" s="3">
        <v>5</v>
      </c>
      <c r="AY1017" s="1191">
        <f t="shared" si="55"/>
        <v>0</v>
      </c>
      <c r="AZ1017" s="1143">
        <v>0.04</v>
      </c>
    </row>
    <row r="1018" spans="1:52" ht="13" customHeight="1">
      <c r="A1018" s="13"/>
      <c r="B1018" s="58"/>
      <c r="C1018" s="1189"/>
      <c r="D1018" s="1635"/>
      <c r="E1018" s="1636"/>
      <c r="F1018" s="1636"/>
      <c r="G1018" s="1636"/>
      <c r="H1018" s="1636"/>
      <c r="I1018" s="1636"/>
      <c r="J1018" s="1636"/>
      <c r="K1018" s="1636"/>
      <c r="L1018" s="1636"/>
      <c r="M1018" s="1636"/>
      <c r="N1018" s="1636"/>
      <c r="O1018" s="1636"/>
      <c r="P1018" s="1636"/>
      <c r="Q1018" s="1636"/>
      <c r="R1018" s="1636"/>
      <c r="S1018" s="1636"/>
      <c r="T1018" s="1636"/>
      <c r="U1018" s="1636"/>
      <c r="V1018" s="1636"/>
      <c r="W1018" s="1636"/>
      <c r="X1018" s="1636"/>
      <c r="Y1018" s="1636"/>
      <c r="Z1018" s="1636"/>
      <c r="AA1018" s="1636"/>
      <c r="AB1018" s="1636"/>
      <c r="AC1018" s="1636"/>
      <c r="AD1018" s="1636"/>
      <c r="AE1018" s="1637"/>
      <c r="AF1018" s="1774"/>
      <c r="AG1018" s="1775"/>
      <c r="AH1018" s="1775"/>
      <c r="AI1018" s="1776"/>
      <c r="AJ1018" s="1663"/>
      <c r="AK1018" s="1664"/>
      <c r="AL1018" s="1664"/>
      <c r="AM1018" s="1664"/>
      <c r="AN1018" s="1664"/>
      <c r="AO1018" s="1664"/>
      <c r="AP1018" s="1664"/>
      <c r="AQ1018" s="1665"/>
      <c r="AR1018" s="1178"/>
      <c r="AS1018" s="1178"/>
      <c r="AT1018" s="1178"/>
      <c r="AU1018" s="1178"/>
      <c r="AV1018" s="1178"/>
      <c r="AW1018" s="1178"/>
      <c r="AX1018" s="3">
        <v>6</v>
      </c>
      <c r="AY1018" s="1191">
        <f t="shared" si="55"/>
        <v>0</v>
      </c>
      <c r="AZ1018" s="1143">
        <v>0.04</v>
      </c>
    </row>
    <row r="1019" spans="1:52" ht="13" customHeight="1">
      <c r="A1019" s="13"/>
      <c r="B1019" s="1192"/>
      <c r="C1019" s="1186"/>
      <c r="D1019" s="1678"/>
      <c r="E1019" s="1679"/>
      <c r="F1019" s="1679"/>
      <c r="G1019" s="1679"/>
      <c r="H1019" s="1679"/>
      <c r="I1019" s="1679"/>
      <c r="J1019" s="1679"/>
      <c r="K1019" s="1679"/>
      <c r="L1019" s="1679"/>
      <c r="M1019" s="1679"/>
      <c r="N1019" s="1679"/>
      <c r="O1019" s="1679"/>
      <c r="P1019" s="1679"/>
      <c r="Q1019" s="1679"/>
      <c r="R1019" s="1679"/>
      <c r="S1019" s="1679"/>
      <c r="T1019" s="1679"/>
      <c r="U1019" s="1679"/>
      <c r="V1019" s="1679"/>
      <c r="W1019" s="1679"/>
      <c r="X1019" s="1679"/>
      <c r="Y1019" s="1679"/>
      <c r="Z1019" s="1679"/>
      <c r="AA1019" s="1679"/>
      <c r="AB1019" s="1679"/>
      <c r="AC1019" s="1679"/>
      <c r="AD1019" s="1679"/>
      <c r="AE1019" s="1680"/>
      <c r="AF1019" s="1777"/>
      <c r="AG1019" s="1778"/>
      <c r="AH1019" s="1778"/>
      <c r="AI1019" s="1779"/>
      <c r="AJ1019" s="1666"/>
      <c r="AK1019" s="1667"/>
      <c r="AL1019" s="1667"/>
      <c r="AM1019" s="1667"/>
      <c r="AN1019" s="1667"/>
      <c r="AO1019" s="1667"/>
      <c r="AP1019" s="1667"/>
      <c r="AQ1019" s="1668"/>
      <c r="AR1019" s="1178"/>
      <c r="AS1019" s="1178"/>
      <c r="AT1019" s="1178"/>
      <c r="AU1019" s="1178"/>
      <c r="AV1019" s="1178"/>
      <c r="AW1019" s="1178"/>
      <c r="AX1019" s="3">
        <v>7</v>
      </c>
      <c r="AY1019" s="1191">
        <f t="shared" si="55"/>
        <v>0</v>
      </c>
      <c r="AZ1019" s="1143">
        <v>0.01</v>
      </c>
    </row>
    <row r="1020" spans="1:52" ht="13" customHeight="1">
      <c r="A1020" s="13"/>
      <c r="B1020" s="61"/>
      <c r="C1020" s="241" t="s">
        <v>1686</v>
      </c>
      <c r="D1020" s="1745" t="s">
        <v>1687</v>
      </c>
      <c r="E1020" s="1746"/>
      <c r="F1020" s="1746"/>
      <c r="G1020" s="1746"/>
      <c r="H1020" s="1746"/>
      <c r="I1020" s="1746"/>
      <c r="J1020" s="1746"/>
      <c r="K1020" s="1746"/>
      <c r="L1020" s="1746"/>
      <c r="M1020" s="1746"/>
      <c r="N1020" s="1746"/>
      <c r="O1020" s="1746"/>
      <c r="P1020" s="1746"/>
      <c r="Q1020" s="1746"/>
      <c r="R1020" s="1746"/>
      <c r="S1020" s="1746"/>
      <c r="T1020" s="1746"/>
      <c r="U1020" s="1746"/>
      <c r="V1020" s="1746"/>
      <c r="W1020" s="1746"/>
      <c r="X1020" s="1746"/>
      <c r="Y1020" s="1746"/>
      <c r="Z1020" s="1746"/>
      <c r="AA1020" s="1746"/>
      <c r="AB1020" s="1746"/>
      <c r="AC1020" s="1746"/>
      <c r="AD1020" s="1746"/>
      <c r="AE1020" s="1747"/>
      <c r="AF1020" s="61"/>
      <c r="AG1020" s="1686" t="s">
        <v>692</v>
      </c>
      <c r="AH1020" s="1687"/>
      <c r="AI1020" s="64"/>
      <c r="AJ1020" s="1660">
        <f>ROUND(IF(AND(AG1020="Yes",J1024&lt;&gt;"N/A",AF1023&lt;&gt;""),MIN(AF1023,(0.15*AJ992)),0),0)</f>
        <v>0</v>
      </c>
      <c r="AK1020" s="1661"/>
      <c r="AL1020" s="1661"/>
      <c r="AM1020" s="1661"/>
      <c r="AN1020" s="1661"/>
      <c r="AO1020" s="1661"/>
      <c r="AP1020" s="1661"/>
      <c r="AQ1020" s="1662"/>
      <c r="AR1020" s="1178"/>
      <c r="AS1020" s="1178"/>
      <c r="AT1020" s="1178"/>
      <c r="AU1020" s="1178"/>
      <c r="AV1020" s="1178"/>
      <c r="AW1020" s="1178"/>
      <c r="AX1020" s="3">
        <v>8</v>
      </c>
      <c r="AY1020" s="1191">
        <f t="shared" si="55"/>
        <v>0</v>
      </c>
      <c r="AZ1020" s="1143">
        <v>0.01</v>
      </c>
    </row>
    <row r="1021" spans="1:52" ht="13" customHeight="1">
      <c r="A1021" s="13"/>
      <c r="B1021" s="1192"/>
      <c r="C1021" s="1193"/>
      <c r="D1021" s="1748"/>
      <c r="E1021" s="1749"/>
      <c r="F1021" s="1749"/>
      <c r="G1021" s="1749"/>
      <c r="H1021" s="1749"/>
      <c r="I1021" s="1749"/>
      <c r="J1021" s="1749"/>
      <c r="K1021" s="1749"/>
      <c r="L1021" s="1749"/>
      <c r="M1021" s="1749"/>
      <c r="N1021" s="1749"/>
      <c r="O1021" s="1749"/>
      <c r="P1021" s="1749"/>
      <c r="Q1021" s="1749"/>
      <c r="R1021" s="1749"/>
      <c r="S1021" s="1749"/>
      <c r="T1021" s="1749"/>
      <c r="U1021" s="1749"/>
      <c r="V1021" s="1749"/>
      <c r="W1021" s="1749"/>
      <c r="X1021" s="1749"/>
      <c r="Y1021" s="1749"/>
      <c r="Z1021" s="1749"/>
      <c r="AA1021" s="1749"/>
      <c r="AB1021" s="1749"/>
      <c r="AC1021" s="1749"/>
      <c r="AD1021" s="1749"/>
      <c r="AE1021" s="1750"/>
      <c r="AF1021" s="1762" t="str">
        <f>IF(AG1020="yes","Please Select Type and Enter Amount:","")</f>
        <v/>
      </c>
      <c r="AG1021" s="1763"/>
      <c r="AH1021" s="1763"/>
      <c r="AI1021" s="1764"/>
      <c r="AJ1021" s="1663"/>
      <c r="AK1021" s="1664"/>
      <c r="AL1021" s="1664"/>
      <c r="AM1021" s="1664"/>
      <c r="AN1021" s="1664"/>
      <c r="AO1021" s="1664"/>
      <c r="AP1021" s="1664"/>
      <c r="AQ1021" s="1665"/>
      <c r="AR1021" s="1178"/>
      <c r="AS1021" s="1178"/>
      <c r="AT1021" s="1178"/>
      <c r="AU1021" s="1178"/>
      <c r="AV1021" s="1178"/>
      <c r="AW1021" s="1178"/>
      <c r="AX1021" s="3">
        <v>9</v>
      </c>
      <c r="AY1021" s="1191">
        <f t="shared" si="55"/>
        <v>0</v>
      </c>
      <c r="AZ1021" s="1143">
        <v>0.01</v>
      </c>
    </row>
    <row r="1022" spans="1:52" ht="13" customHeight="1">
      <c r="A1022" s="13"/>
      <c r="B1022" s="1192"/>
      <c r="C1022" s="1193"/>
      <c r="D1022" s="1635" t="s">
        <v>1688</v>
      </c>
      <c r="E1022" s="1636"/>
      <c r="F1022" s="1636"/>
      <c r="G1022" s="1636"/>
      <c r="H1022" s="1636"/>
      <c r="I1022" s="1636"/>
      <c r="J1022" s="1636"/>
      <c r="K1022" s="1636"/>
      <c r="L1022" s="1636"/>
      <c r="M1022" s="1636"/>
      <c r="N1022" s="1636"/>
      <c r="O1022" s="1636"/>
      <c r="P1022" s="1636"/>
      <c r="Q1022" s="1636"/>
      <c r="R1022" s="1636"/>
      <c r="S1022" s="1636"/>
      <c r="T1022" s="1636"/>
      <c r="U1022" s="1636"/>
      <c r="V1022" s="1636"/>
      <c r="W1022" s="1636"/>
      <c r="X1022" s="1636"/>
      <c r="Y1022" s="1636"/>
      <c r="Z1022" s="1636"/>
      <c r="AA1022" s="1636"/>
      <c r="AB1022" s="1636"/>
      <c r="AC1022" s="1636"/>
      <c r="AD1022" s="1636"/>
      <c r="AE1022" s="1637"/>
      <c r="AF1022" s="1762"/>
      <c r="AG1022" s="1763"/>
      <c r="AH1022" s="1763"/>
      <c r="AI1022" s="1764"/>
      <c r="AJ1022" s="1663"/>
      <c r="AK1022" s="1664"/>
      <c r="AL1022" s="1664"/>
      <c r="AM1022" s="1664"/>
      <c r="AN1022" s="1664"/>
      <c r="AO1022" s="1664"/>
      <c r="AP1022" s="1664"/>
      <c r="AQ1022" s="1665"/>
      <c r="AR1022" s="1178"/>
      <c r="AS1022" s="1178"/>
      <c r="AT1022" s="1178"/>
      <c r="AU1022" s="1178"/>
      <c r="AV1022" s="1178"/>
      <c r="AW1022" s="1178"/>
      <c r="AX1022" s="3">
        <v>10</v>
      </c>
      <c r="AY1022" s="1191">
        <f t="shared" si="55"/>
        <v>0</v>
      </c>
      <c r="AZ1022" s="1143">
        <v>0.02</v>
      </c>
    </row>
    <row r="1023" spans="1:52" ht="13" customHeight="1">
      <c r="A1023" s="13"/>
      <c r="B1023" s="1192"/>
      <c r="C1023" s="1193"/>
      <c r="D1023" s="1635"/>
      <c r="E1023" s="1636"/>
      <c r="F1023" s="1636"/>
      <c r="G1023" s="1636"/>
      <c r="H1023" s="1636"/>
      <c r="I1023" s="1636"/>
      <c r="J1023" s="1636"/>
      <c r="K1023" s="1636"/>
      <c r="L1023" s="1636"/>
      <c r="M1023" s="1636"/>
      <c r="N1023" s="1636"/>
      <c r="O1023" s="1636"/>
      <c r="P1023" s="1636"/>
      <c r="Q1023" s="1636"/>
      <c r="R1023" s="1636"/>
      <c r="S1023" s="1636"/>
      <c r="T1023" s="1636"/>
      <c r="U1023" s="1636"/>
      <c r="V1023" s="1636"/>
      <c r="W1023" s="1636"/>
      <c r="X1023" s="1636"/>
      <c r="Y1023" s="1636"/>
      <c r="Z1023" s="1636"/>
      <c r="AA1023" s="1636"/>
      <c r="AB1023" s="1636"/>
      <c r="AC1023" s="1636"/>
      <c r="AD1023" s="1636"/>
      <c r="AE1023" s="1637"/>
      <c r="AF1023" s="1709"/>
      <c r="AG1023" s="1709"/>
      <c r="AH1023" s="1709"/>
      <c r="AI1023" s="1709"/>
      <c r="AJ1023" s="1663"/>
      <c r="AK1023" s="1664"/>
      <c r="AL1023" s="1664"/>
      <c r="AM1023" s="1664"/>
      <c r="AN1023" s="1664"/>
      <c r="AO1023" s="1664"/>
      <c r="AP1023" s="1664"/>
      <c r="AQ1023" s="1665"/>
      <c r="AR1023" s="1178"/>
      <c r="AS1023" s="1178"/>
      <c r="AT1023" s="1178"/>
      <c r="AU1023" s="1178"/>
      <c r="AV1023" s="1178"/>
      <c r="AW1023" s="1178"/>
      <c r="AX1023" s="3">
        <v>11</v>
      </c>
      <c r="AY1023" s="1191">
        <f t="shared" si="55"/>
        <v>0</v>
      </c>
      <c r="AZ1023" s="1143">
        <v>0.02</v>
      </c>
    </row>
    <row r="1024" spans="1:52" ht="13" customHeight="1">
      <c r="A1024" s="13"/>
      <c r="B1024" s="1192"/>
      <c r="C1024" s="1193"/>
      <c r="D1024" s="425" t="s">
        <v>1689</v>
      </c>
      <c r="E1024" s="66"/>
      <c r="F1024" s="66"/>
      <c r="G1024" s="791"/>
      <c r="H1024" s="791"/>
      <c r="I1024" s="41"/>
      <c r="J1024" s="1754" t="s">
        <v>807</v>
      </c>
      <c r="K1024" s="1755"/>
      <c r="L1024" s="1755"/>
      <c r="M1024" s="1755"/>
      <c r="N1024" s="1755"/>
      <c r="O1024" s="1755"/>
      <c r="P1024" s="1755"/>
      <c r="Q1024" s="1755"/>
      <c r="R1024" s="1755"/>
      <c r="S1024" s="1755"/>
      <c r="T1024" s="1755"/>
      <c r="U1024" s="1755"/>
      <c r="V1024" s="1755"/>
      <c r="W1024" s="1755"/>
      <c r="X1024" s="1755"/>
      <c r="Y1024" s="1755"/>
      <c r="Z1024" s="1755"/>
      <c r="AA1024" s="1755"/>
      <c r="AB1024" s="1755"/>
      <c r="AC1024" s="1755"/>
      <c r="AD1024" s="1755"/>
      <c r="AE1024" s="1756"/>
      <c r="AF1024" s="1709"/>
      <c r="AG1024" s="1709"/>
      <c r="AH1024" s="1709"/>
      <c r="AI1024" s="1709"/>
      <c r="AJ1024" s="1666"/>
      <c r="AK1024" s="1667"/>
      <c r="AL1024" s="1667"/>
      <c r="AM1024" s="1667"/>
      <c r="AN1024" s="1667"/>
      <c r="AO1024" s="1667"/>
      <c r="AP1024" s="1667"/>
      <c r="AQ1024" s="1668"/>
      <c r="AR1024" s="1178"/>
      <c r="AS1024" s="1178"/>
      <c r="AT1024" s="1178"/>
      <c r="AU1024" s="1178"/>
      <c r="AV1024" s="1178"/>
      <c r="AW1024" s="1178"/>
      <c r="AX1024" s="922" t="s">
        <v>1690</v>
      </c>
      <c r="AY1024" s="1194">
        <f>IF(SUM(AY1013:AY1023)&lt;=0.2,SUM(AY1013:AY1023),0.2)</f>
        <v>0</v>
      </c>
    </row>
    <row r="1025" spans="1:57" ht="13" customHeight="1">
      <c r="A1025" s="13"/>
      <c r="B1025" s="61"/>
      <c r="C1025" s="241" t="s">
        <v>1691</v>
      </c>
      <c r="D1025" s="1700" t="s">
        <v>1692</v>
      </c>
      <c r="E1025" s="1701"/>
      <c r="F1025" s="1701"/>
      <c r="G1025" s="1701"/>
      <c r="H1025" s="1701"/>
      <c r="I1025" s="1701"/>
      <c r="J1025" s="1701"/>
      <c r="K1025" s="1701"/>
      <c r="L1025" s="1701"/>
      <c r="M1025" s="1701"/>
      <c r="N1025" s="1701"/>
      <c r="O1025" s="1701"/>
      <c r="P1025" s="1701"/>
      <c r="Q1025" s="1701"/>
      <c r="R1025" s="1701"/>
      <c r="S1025" s="1701"/>
      <c r="T1025" s="1701"/>
      <c r="U1025" s="1701"/>
      <c r="V1025" s="1701"/>
      <c r="W1025" s="1701"/>
      <c r="X1025" s="1701"/>
      <c r="Y1025" s="1701"/>
      <c r="Z1025" s="1701"/>
      <c r="AA1025" s="1701"/>
      <c r="AB1025" s="1701"/>
      <c r="AC1025" s="1701"/>
      <c r="AD1025" s="1701"/>
      <c r="AE1025" s="1702"/>
      <c r="AF1025" s="61"/>
      <c r="AG1025" s="1686" t="s">
        <v>692</v>
      </c>
      <c r="AH1025" s="1687"/>
      <c r="AI1025" s="64"/>
      <c r="AJ1025" s="1660">
        <f>ROUND(IF(AG1025="Yes",AF1027,0),0)</f>
        <v>0</v>
      </c>
      <c r="AK1025" s="1661"/>
      <c r="AL1025" s="1661"/>
      <c r="AM1025" s="1661"/>
      <c r="AN1025" s="1661"/>
      <c r="AO1025" s="1661"/>
      <c r="AP1025" s="1661"/>
      <c r="AQ1025" s="1662"/>
      <c r="AR1025" s="1178"/>
      <c r="AS1025" s="1178"/>
      <c r="AT1025" s="1178"/>
      <c r="AU1025" s="1178"/>
      <c r="AV1025" s="1178"/>
      <c r="AW1025" s="1178"/>
      <c r="AX1025" s="1178"/>
      <c r="AY1025" s="1178"/>
    </row>
    <row r="1026" spans="1:57" ht="13" customHeight="1">
      <c r="A1026" s="13"/>
      <c r="B1026" s="58"/>
      <c r="C1026" s="1189"/>
      <c r="D1026" s="1635" t="s">
        <v>1693</v>
      </c>
      <c r="E1026" s="1636"/>
      <c r="F1026" s="1636"/>
      <c r="G1026" s="1636"/>
      <c r="H1026" s="1636"/>
      <c r="I1026" s="1636"/>
      <c r="J1026" s="1636"/>
      <c r="K1026" s="1636"/>
      <c r="L1026" s="1636"/>
      <c r="M1026" s="1636"/>
      <c r="N1026" s="1636"/>
      <c r="O1026" s="1636"/>
      <c r="P1026" s="1636"/>
      <c r="Q1026" s="1636"/>
      <c r="R1026" s="1636"/>
      <c r="S1026" s="1636"/>
      <c r="T1026" s="1636"/>
      <c r="U1026" s="1636"/>
      <c r="V1026" s="1636"/>
      <c r="W1026" s="1636"/>
      <c r="X1026" s="1636"/>
      <c r="Y1026" s="1636"/>
      <c r="Z1026" s="1636"/>
      <c r="AA1026" s="1636"/>
      <c r="AB1026" s="1636"/>
      <c r="AC1026" s="1636"/>
      <c r="AD1026" s="1636"/>
      <c r="AE1026" s="1637"/>
      <c r="AF1026" s="1751" t="str">
        <f>IF(AG1025="yes","Enter Amount:","")</f>
        <v/>
      </c>
      <c r="AG1026" s="1752"/>
      <c r="AH1026" s="1752"/>
      <c r="AI1026" s="1753"/>
      <c r="AJ1026" s="1663"/>
      <c r="AK1026" s="1664"/>
      <c r="AL1026" s="1664"/>
      <c r="AM1026" s="1664"/>
      <c r="AN1026" s="1664"/>
      <c r="AO1026" s="1664"/>
      <c r="AP1026" s="1664"/>
      <c r="AQ1026" s="1665"/>
      <c r="AR1026" s="1178"/>
      <c r="AS1026" s="1178"/>
      <c r="AT1026" s="1178"/>
      <c r="AU1026" s="1178"/>
      <c r="AV1026" s="1178"/>
      <c r="AW1026" s="1178"/>
      <c r="AX1026" s="1178"/>
      <c r="AY1026" s="1178"/>
    </row>
    <row r="1027" spans="1:57" ht="13" customHeight="1">
      <c r="A1027" s="13"/>
      <c r="B1027" s="58"/>
      <c r="C1027" s="1189"/>
      <c r="D1027" s="1635"/>
      <c r="E1027" s="1636"/>
      <c r="F1027" s="1636"/>
      <c r="G1027" s="1636"/>
      <c r="H1027" s="1636"/>
      <c r="I1027" s="1636"/>
      <c r="J1027" s="1636"/>
      <c r="K1027" s="1636"/>
      <c r="L1027" s="1636"/>
      <c r="M1027" s="1636"/>
      <c r="N1027" s="1636"/>
      <c r="O1027" s="1636"/>
      <c r="P1027" s="1636"/>
      <c r="Q1027" s="1636"/>
      <c r="R1027" s="1636"/>
      <c r="S1027" s="1636"/>
      <c r="T1027" s="1636"/>
      <c r="U1027" s="1636"/>
      <c r="V1027" s="1636"/>
      <c r="W1027" s="1636"/>
      <c r="X1027" s="1636"/>
      <c r="Y1027" s="1636"/>
      <c r="Z1027" s="1636"/>
      <c r="AA1027" s="1636"/>
      <c r="AB1027" s="1636"/>
      <c r="AC1027" s="1636"/>
      <c r="AD1027" s="1636"/>
      <c r="AE1027" s="1637"/>
      <c r="AF1027" s="1709"/>
      <c r="AG1027" s="1709"/>
      <c r="AH1027" s="1709"/>
      <c r="AI1027" s="1709"/>
      <c r="AJ1027" s="1663"/>
      <c r="AK1027" s="1664"/>
      <c r="AL1027" s="1664"/>
      <c r="AM1027" s="1664"/>
      <c r="AN1027" s="1664"/>
      <c r="AO1027" s="1664"/>
      <c r="AP1027" s="1664"/>
      <c r="AQ1027" s="1665"/>
      <c r="AR1027" s="1178"/>
      <c r="AS1027" s="1178"/>
      <c r="AT1027" s="1178"/>
      <c r="AU1027" s="1178"/>
      <c r="AV1027" s="1178"/>
      <c r="AW1027" s="1178"/>
      <c r="AX1027" s="1178"/>
      <c r="AY1027" s="13" t="str">
        <f>"Select items beginning on row #"&amp;TEXT(ROW(A1061),"#")&amp;" to claim this boost"</f>
        <v>Select items beginning on row #1061 to claim this boost</v>
      </c>
    </row>
    <row r="1028" spans="1:57" ht="13" customHeight="1">
      <c r="A1028" s="13"/>
      <c r="B1028" s="1190"/>
      <c r="C1028" s="1193"/>
      <c r="D1028" s="1678"/>
      <c r="E1028" s="1679"/>
      <c r="F1028" s="1679"/>
      <c r="G1028" s="1679"/>
      <c r="H1028" s="1679"/>
      <c r="I1028" s="1679"/>
      <c r="J1028" s="1679"/>
      <c r="K1028" s="1679"/>
      <c r="L1028" s="1679"/>
      <c r="M1028" s="1679"/>
      <c r="N1028" s="1679"/>
      <c r="O1028" s="1679"/>
      <c r="P1028" s="1679"/>
      <c r="Q1028" s="1679"/>
      <c r="R1028" s="1679"/>
      <c r="S1028" s="1679"/>
      <c r="T1028" s="1679"/>
      <c r="U1028" s="1679"/>
      <c r="V1028" s="1679"/>
      <c r="W1028" s="1679"/>
      <c r="X1028" s="1679"/>
      <c r="Y1028" s="1679"/>
      <c r="Z1028" s="1679"/>
      <c r="AA1028" s="1679"/>
      <c r="AB1028" s="1679"/>
      <c r="AC1028" s="1679"/>
      <c r="AD1028" s="1679"/>
      <c r="AE1028" s="1680"/>
      <c r="AF1028" s="1709"/>
      <c r="AG1028" s="1709"/>
      <c r="AH1028" s="1709"/>
      <c r="AI1028" s="1709"/>
      <c r="AJ1028" s="1666"/>
      <c r="AK1028" s="1667"/>
      <c r="AL1028" s="1667"/>
      <c r="AM1028" s="1667"/>
      <c r="AN1028" s="1667"/>
      <c r="AO1028" s="1667"/>
      <c r="AP1028" s="1667"/>
      <c r="AQ1028" s="1668"/>
      <c r="AR1028" s="1178"/>
      <c r="AS1028" s="1178"/>
      <c r="AT1028" s="1178"/>
      <c r="AU1028" s="1178"/>
      <c r="AV1028" s="1178"/>
      <c r="AW1028" s="1178"/>
      <c r="AX1028" s="1178"/>
      <c r="AY1028" s="1178"/>
    </row>
    <row r="1029" spans="1:57" ht="13" customHeight="1">
      <c r="A1029" s="13"/>
      <c r="B1029" s="61"/>
      <c r="C1029" s="241" t="s">
        <v>1694</v>
      </c>
      <c r="D1029" s="1669" t="s">
        <v>1695</v>
      </c>
      <c r="E1029" s="1670"/>
      <c r="F1029" s="1670"/>
      <c r="G1029" s="1670"/>
      <c r="H1029" s="1670"/>
      <c r="I1029" s="1670"/>
      <c r="J1029" s="1670"/>
      <c r="K1029" s="1670"/>
      <c r="L1029" s="1670"/>
      <c r="M1029" s="1670"/>
      <c r="N1029" s="1670"/>
      <c r="O1029" s="1670"/>
      <c r="P1029" s="1670"/>
      <c r="Q1029" s="1670"/>
      <c r="R1029" s="1670"/>
      <c r="S1029" s="1670"/>
      <c r="T1029" s="1670"/>
      <c r="U1029" s="1670"/>
      <c r="V1029" s="1670"/>
      <c r="W1029" s="1670"/>
      <c r="X1029" s="1670"/>
      <c r="Y1029" s="1670"/>
      <c r="Z1029" s="1670"/>
      <c r="AA1029" s="1670"/>
      <c r="AB1029" s="1670"/>
      <c r="AC1029" s="1670"/>
      <c r="AD1029" s="1670"/>
      <c r="AE1029" s="1671"/>
      <c r="AF1029" s="61"/>
      <c r="AG1029" s="1686" t="s">
        <v>692</v>
      </c>
      <c r="AH1029" s="1687"/>
      <c r="AI1029" s="64"/>
      <c r="AJ1029" s="1660">
        <f>ROUND(IF(AG1029="yes",(AJ992*0.1),0),0)</f>
        <v>0</v>
      </c>
      <c r="AK1029" s="1661"/>
      <c r="AL1029" s="1661"/>
      <c r="AM1029" s="1661"/>
      <c r="AN1029" s="1661"/>
      <c r="AO1029" s="1661"/>
      <c r="AP1029" s="1661"/>
      <c r="AQ1029" s="1662"/>
      <c r="AR1029" s="1178"/>
      <c r="AS1029" s="1178"/>
      <c r="AT1029" s="1178"/>
      <c r="AU1029" s="1178"/>
      <c r="AV1029" s="1178"/>
      <c r="AW1029" s="1178"/>
      <c r="AX1029" s="1178"/>
      <c r="AY1029" s="1178"/>
    </row>
    <row r="1030" spans="1:57" ht="13" customHeight="1">
      <c r="A1030" s="13"/>
      <c r="B1030" s="58"/>
      <c r="C1030" s="1189"/>
      <c r="D1030" s="1635" t="s">
        <v>1696</v>
      </c>
      <c r="E1030" s="1636"/>
      <c r="F1030" s="1636"/>
      <c r="G1030" s="1636"/>
      <c r="H1030" s="1636"/>
      <c r="I1030" s="1636"/>
      <c r="J1030" s="1636"/>
      <c r="K1030" s="1636"/>
      <c r="L1030" s="1636"/>
      <c r="M1030" s="1636"/>
      <c r="N1030" s="1636"/>
      <c r="O1030" s="1636"/>
      <c r="P1030" s="1636"/>
      <c r="Q1030" s="1636"/>
      <c r="R1030" s="1636"/>
      <c r="S1030" s="1636"/>
      <c r="T1030" s="1636"/>
      <c r="U1030" s="1636"/>
      <c r="V1030" s="1636"/>
      <c r="W1030" s="1636"/>
      <c r="X1030" s="1636"/>
      <c r="Y1030" s="1636"/>
      <c r="Z1030" s="1636"/>
      <c r="AA1030" s="1636"/>
      <c r="AB1030" s="1636"/>
      <c r="AC1030" s="1636"/>
      <c r="AD1030" s="1636"/>
      <c r="AE1030" s="1637"/>
      <c r="AF1030" s="58"/>
      <c r="AG1030" s="13"/>
      <c r="AH1030" s="13"/>
      <c r="AI1030" s="62"/>
      <c r="AJ1030" s="1663"/>
      <c r="AK1030" s="1664"/>
      <c r="AL1030" s="1664"/>
      <c r="AM1030" s="1664"/>
      <c r="AN1030" s="1664"/>
      <c r="AO1030" s="1664"/>
      <c r="AP1030" s="1664"/>
      <c r="AQ1030" s="1665"/>
      <c r="AR1030" s="1178"/>
      <c r="AS1030" s="1178"/>
      <c r="AT1030" s="1178"/>
      <c r="AU1030" s="1178"/>
      <c r="AV1030" s="1178"/>
      <c r="AW1030" s="1178"/>
      <c r="AX1030" s="1178"/>
      <c r="AY1030" s="1178"/>
    </row>
    <row r="1031" spans="1:57" ht="13" customHeight="1">
      <c r="A1031" s="13"/>
      <c r="B1031" s="59"/>
      <c r="C1031" s="1189"/>
      <c r="D1031" s="1678"/>
      <c r="E1031" s="1679"/>
      <c r="F1031" s="1679"/>
      <c r="G1031" s="1679"/>
      <c r="H1031" s="1679"/>
      <c r="I1031" s="1679"/>
      <c r="J1031" s="1679"/>
      <c r="K1031" s="1679"/>
      <c r="L1031" s="1679"/>
      <c r="M1031" s="1679"/>
      <c r="N1031" s="1679"/>
      <c r="O1031" s="1679"/>
      <c r="P1031" s="1679"/>
      <c r="Q1031" s="1679"/>
      <c r="R1031" s="1679"/>
      <c r="S1031" s="1679"/>
      <c r="T1031" s="1679"/>
      <c r="U1031" s="1679"/>
      <c r="V1031" s="1679"/>
      <c r="W1031" s="1679"/>
      <c r="X1031" s="1679"/>
      <c r="Y1031" s="1679"/>
      <c r="Z1031" s="1679"/>
      <c r="AA1031" s="1679"/>
      <c r="AB1031" s="1679"/>
      <c r="AC1031" s="1679"/>
      <c r="AD1031" s="1679"/>
      <c r="AE1031" s="1680"/>
      <c r="AF1031" s="58"/>
      <c r="AG1031" s="13"/>
      <c r="AH1031" s="13"/>
      <c r="AI1031" s="62"/>
      <c r="AJ1031" s="1666"/>
      <c r="AK1031" s="1667"/>
      <c r="AL1031" s="1667"/>
      <c r="AM1031" s="1667"/>
      <c r="AN1031" s="1667"/>
      <c r="AO1031" s="1667"/>
      <c r="AP1031" s="1667"/>
      <c r="AQ1031" s="1668"/>
      <c r="AR1031" s="1178"/>
      <c r="AS1031" s="1178"/>
      <c r="AT1031" s="1178"/>
      <c r="AU1031" s="1178"/>
      <c r="AV1031" s="1178"/>
      <c r="AW1031" s="1178"/>
      <c r="AX1031" s="1178"/>
      <c r="AY1031" s="1178"/>
    </row>
    <row r="1032" spans="1:57" ht="13" customHeight="1">
      <c r="A1032" s="13"/>
      <c r="B1032" s="58"/>
      <c r="C1032" s="241" t="s">
        <v>22</v>
      </c>
      <c r="D1032" s="1700" t="s">
        <v>1697</v>
      </c>
      <c r="E1032" s="1701"/>
      <c r="F1032" s="1701"/>
      <c r="G1032" s="1701"/>
      <c r="H1032" s="1701"/>
      <c r="I1032" s="1701"/>
      <c r="J1032" s="1701"/>
      <c r="K1032" s="1701"/>
      <c r="L1032" s="1701"/>
      <c r="M1032" s="1701"/>
      <c r="N1032" s="1701"/>
      <c r="O1032" s="1701"/>
      <c r="P1032" s="1701"/>
      <c r="Q1032" s="1701"/>
      <c r="R1032" s="1701"/>
      <c r="S1032" s="1701"/>
      <c r="T1032" s="1701"/>
      <c r="U1032" s="1701"/>
      <c r="V1032" s="1701"/>
      <c r="W1032" s="1701"/>
      <c r="X1032" s="1701"/>
      <c r="Y1032" s="1701"/>
      <c r="Z1032" s="1701"/>
      <c r="AA1032" s="1701"/>
      <c r="AB1032" s="1701"/>
      <c r="AC1032" s="1701"/>
      <c r="AD1032" s="1701"/>
      <c r="AE1032" s="1702"/>
      <c r="AF1032" s="61"/>
      <c r="AG1032" s="1686" t="s">
        <v>692</v>
      </c>
      <c r="AH1032" s="1687"/>
      <c r="AI1032" s="64"/>
      <c r="AJ1032" s="1660">
        <f>ROUND(IF(AG1032="yes",(AJ992*0.15),0),0)</f>
        <v>0</v>
      </c>
      <c r="AK1032" s="1661"/>
      <c r="AL1032" s="1661"/>
      <c r="AM1032" s="1661"/>
      <c r="AN1032" s="1661"/>
      <c r="AO1032" s="1661"/>
      <c r="AP1032" s="1661"/>
      <c r="AQ1032" s="1662"/>
      <c r="AR1032" s="1178"/>
      <c r="AS1032" s="1178"/>
      <c r="AT1032" s="1178"/>
      <c r="AU1032" s="1178"/>
      <c r="AV1032" s="1178"/>
      <c r="AW1032" s="1178"/>
      <c r="AX1032" s="1178"/>
      <c r="AY1032" s="1178"/>
    </row>
    <row r="1033" spans="1:57" ht="13" customHeight="1">
      <c r="A1033" s="13"/>
      <c r="B1033" s="58"/>
      <c r="C1033" s="1189"/>
      <c r="D1033" s="1735" t="s">
        <v>1698</v>
      </c>
      <c r="E1033" s="1227"/>
      <c r="F1033" s="1227"/>
      <c r="G1033" s="1227"/>
      <c r="H1033" s="1227"/>
      <c r="I1033" s="1227"/>
      <c r="J1033" s="1227"/>
      <c r="K1033" s="1227"/>
      <c r="L1033" s="1227"/>
      <c r="M1033" s="1227"/>
      <c r="N1033" s="1227"/>
      <c r="O1033" s="1227"/>
      <c r="P1033" s="1227"/>
      <c r="Q1033" s="1227"/>
      <c r="R1033" s="1227"/>
      <c r="S1033" s="1227"/>
      <c r="T1033" s="1227"/>
      <c r="U1033" s="1227"/>
      <c r="V1033" s="1227"/>
      <c r="W1033" s="1227"/>
      <c r="X1033" s="1227"/>
      <c r="Y1033" s="1227"/>
      <c r="Z1033" s="1227"/>
      <c r="AA1033" s="1227"/>
      <c r="AB1033" s="1227"/>
      <c r="AC1033" s="1227"/>
      <c r="AD1033" s="1227"/>
      <c r="AE1033" s="1736"/>
      <c r="AF1033" s="810"/>
      <c r="AG1033" s="811"/>
      <c r="AH1033" s="811"/>
      <c r="AI1033" s="812"/>
      <c r="AJ1033" s="1663"/>
      <c r="AK1033" s="1664"/>
      <c r="AL1033" s="1664"/>
      <c r="AM1033" s="1664"/>
      <c r="AN1033" s="1664"/>
      <c r="AO1033" s="1664"/>
      <c r="AP1033" s="1664"/>
      <c r="AQ1033" s="1665"/>
      <c r="AR1033" s="1178"/>
      <c r="AS1033" s="1178"/>
      <c r="AT1033" s="1178"/>
      <c r="AU1033" s="1178"/>
      <c r="AV1033" s="1178"/>
      <c r="AW1033" s="1178"/>
      <c r="AX1033" s="1178"/>
      <c r="AY1033" s="1178"/>
    </row>
    <row r="1034" spans="1:57" ht="13" customHeight="1">
      <c r="A1034" s="13"/>
      <c r="B1034" s="58"/>
      <c r="C1034" s="1189"/>
      <c r="D1034" s="1735"/>
      <c r="E1034" s="1227"/>
      <c r="F1034" s="1227"/>
      <c r="G1034" s="1227"/>
      <c r="H1034" s="1227"/>
      <c r="I1034" s="1227"/>
      <c r="J1034" s="1227"/>
      <c r="K1034" s="1227"/>
      <c r="L1034" s="1227"/>
      <c r="M1034" s="1227"/>
      <c r="N1034" s="1227"/>
      <c r="O1034" s="1227"/>
      <c r="P1034" s="1227"/>
      <c r="Q1034" s="1227"/>
      <c r="R1034" s="1227"/>
      <c r="S1034" s="1227"/>
      <c r="T1034" s="1227"/>
      <c r="U1034" s="1227"/>
      <c r="V1034" s="1227"/>
      <c r="W1034" s="1227"/>
      <c r="X1034" s="1227"/>
      <c r="Y1034" s="1227"/>
      <c r="Z1034" s="1227"/>
      <c r="AA1034" s="1227"/>
      <c r="AB1034" s="1227"/>
      <c r="AC1034" s="1227"/>
      <c r="AD1034" s="1227"/>
      <c r="AE1034" s="1736"/>
      <c r="AF1034" s="810"/>
      <c r="AG1034" s="811"/>
      <c r="AH1034" s="811"/>
      <c r="AI1034" s="812"/>
      <c r="AJ1034" s="1663"/>
      <c r="AK1034" s="1664"/>
      <c r="AL1034" s="1664"/>
      <c r="AM1034" s="1664"/>
      <c r="AN1034" s="1664"/>
      <c r="AO1034" s="1664"/>
      <c r="AP1034" s="1664"/>
      <c r="AQ1034" s="1665"/>
      <c r="AR1034" s="1178"/>
      <c r="AS1034" s="1178"/>
      <c r="AT1034" s="1178"/>
      <c r="AU1034" s="1178"/>
      <c r="AV1034" s="1178"/>
      <c r="AW1034" s="1178"/>
      <c r="AX1034" s="1178"/>
      <c r="AY1034" s="1178"/>
    </row>
    <row r="1035" spans="1:57" ht="13" customHeight="1">
      <c r="A1035" s="13"/>
      <c r="B1035" s="58"/>
      <c r="C1035" s="1189"/>
      <c r="D1035" s="1737"/>
      <c r="E1035" s="1501"/>
      <c r="F1035" s="1501"/>
      <c r="G1035" s="1501"/>
      <c r="H1035" s="1501"/>
      <c r="I1035" s="1501"/>
      <c r="J1035" s="1501"/>
      <c r="K1035" s="1501"/>
      <c r="L1035" s="1501"/>
      <c r="M1035" s="1501"/>
      <c r="N1035" s="1501"/>
      <c r="O1035" s="1501"/>
      <c r="P1035" s="1501"/>
      <c r="Q1035" s="1501"/>
      <c r="R1035" s="1501"/>
      <c r="S1035" s="1501"/>
      <c r="T1035" s="1501"/>
      <c r="U1035" s="1501"/>
      <c r="V1035" s="1501"/>
      <c r="W1035" s="1501"/>
      <c r="X1035" s="1501"/>
      <c r="Y1035" s="1501"/>
      <c r="Z1035" s="1501"/>
      <c r="AA1035" s="1501"/>
      <c r="AB1035" s="1501"/>
      <c r="AC1035" s="1501"/>
      <c r="AD1035" s="1501"/>
      <c r="AE1035" s="1738"/>
      <c r="AF1035" s="813"/>
      <c r="AG1035" s="814"/>
      <c r="AH1035" s="814"/>
      <c r="AI1035" s="815"/>
      <c r="AJ1035" s="1666"/>
      <c r="AK1035" s="1667"/>
      <c r="AL1035" s="1667"/>
      <c r="AM1035" s="1667"/>
      <c r="AN1035" s="1667"/>
      <c r="AO1035" s="1667"/>
      <c r="AP1035" s="1667"/>
      <c r="AQ1035" s="1668"/>
      <c r="AR1035" s="1178"/>
      <c r="AS1035" s="1178"/>
      <c r="AT1035" s="1178"/>
      <c r="AU1035" s="1178"/>
      <c r="AV1035" s="1178"/>
      <c r="AW1035" s="1178"/>
      <c r="AX1035" s="1178"/>
      <c r="AY1035" s="1178"/>
    </row>
    <row r="1036" spans="1:57" ht="13" customHeight="1">
      <c r="A1036" s="13"/>
      <c r="B1036" s="58"/>
      <c r="C1036" s="241" t="s">
        <v>22</v>
      </c>
      <c r="D1036" s="1669" t="s">
        <v>1699</v>
      </c>
      <c r="E1036" s="1670"/>
      <c r="F1036" s="1670"/>
      <c r="G1036" s="1670"/>
      <c r="H1036" s="1670"/>
      <c r="I1036" s="1670"/>
      <c r="J1036" s="1670"/>
      <c r="K1036" s="1670"/>
      <c r="L1036" s="1670"/>
      <c r="M1036" s="1670"/>
      <c r="N1036" s="1670"/>
      <c r="O1036" s="1670"/>
      <c r="P1036" s="1670"/>
      <c r="Q1036" s="1670"/>
      <c r="R1036" s="1670"/>
      <c r="S1036" s="1670"/>
      <c r="T1036" s="1670"/>
      <c r="U1036" s="1670"/>
      <c r="V1036" s="1670"/>
      <c r="W1036" s="1670"/>
      <c r="X1036" s="1670"/>
      <c r="Y1036" s="1670"/>
      <c r="Z1036" s="1670"/>
      <c r="AA1036" s="1670"/>
      <c r="AB1036" s="1670"/>
      <c r="AC1036" s="1670"/>
      <c r="AD1036" s="1670"/>
      <c r="AE1036" s="1671"/>
      <c r="AF1036" s="58"/>
      <c r="AG1036" s="1688" t="s">
        <v>692</v>
      </c>
      <c r="AH1036" s="1689"/>
      <c r="AI1036" s="62"/>
      <c r="AJ1036" s="1660">
        <f>ROUND(IF(AND(AG1036="yes",AJ1032=0),(AJ992*0.1),0),0)</f>
        <v>0</v>
      </c>
      <c r="AK1036" s="1661"/>
      <c r="AL1036" s="1661"/>
      <c r="AM1036" s="1661"/>
      <c r="AN1036" s="1661"/>
      <c r="AO1036" s="1661"/>
      <c r="AP1036" s="1661"/>
      <c r="AQ1036" s="1662"/>
      <c r="AR1036" s="1178"/>
      <c r="AS1036" s="1178"/>
      <c r="AT1036" s="1178"/>
      <c r="AU1036" s="1178"/>
      <c r="AV1036" s="1178"/>
      <c r="AW1036" s="1178"/>
      <c r="AX1036" s="1178"/>
      <c r="AY1036" s="1178"/>
    </row>
    <row r="1037" spans="1:57" ht="13" customHeight="1">
      <c r="A1037" s="13"/>
      <c r="B1037" s="58"/>
      <c r="C1037" s="1189"/>
      <c r="D1037" s="1735" t="s">
        <v>1700</v>
      </c>
      <c r="E1037" s="1227"/>
      <c r="F1037" s="1227"/>
      <c r="G1037" s="1227"/>
      <c r="H1037" s="1227"/>
      <c r="I1037" s="1227"/>
      <c r="J1037" s="1227"/>
      <c r="K1037" s="1227"/>
      <c r="L1037" s="1227"/>
      <c r="M1037" s="1227"/>
      <c r="N1037" s="1227"/>
      <c r="O1037" s="1227"/>
      <c r="P1037" s="1227"/>
      <c r="Q1037" s="1227"/>
      <c r="R1037" s="1227"/>
      <c r="S1037" s="1227"/>
      <c r="T1037" s="1227"/>
      <c r="U1037" s="1227"/>
      <c r="V1037" s="1227"/>
      <c r="W1037" s="1227"/>
      <c r="X1037" s="1227"/>
      <c r="Y1037" s="1227"/>
      <c r="Z1037" s="1227"/>
      <c r="AA1037" s="1227"/>
      <c r="AB1037" s="1227"/>
      <c r="AC1037" s="1227"/>
      <c r="AD1037" s="1227"/>
      <c r="AE1037" s="1736"/>
      <c r="AF1037" s="58"/>
      <c r="AG1037" s="13"/>
      <c r="AH1037" s="13"/>
      <c r="AI1037" s="62"/>
      <c r="AJ1037" s="1663"/>
      <c r="AK1037" s="1664"/>
      <c r="AL1037" s="1664"/>
      <c r="AM1037" s="1664"/>
      <c r="AN1037" s="1664"/>
      <c r="AO1037" s="1664"/>
      <c r="AP1037" s="1664"/>
      <c r="AQ1037" s="1665"/>
      <c r="AR1037" s="1178"/>
      <c r="AS1037" s="1178"/>
      <c r="AT1037" s="1178"/>
      <c r="AU1037" s="1178"/>
      <c r="AV1037" s="1178"/>
      <c r="AW1037" s="1178"/>
      <c r="AX1037" s="1178"/>
      <c r="AY1037" s="1178"/>
    </row>
    <row r="1038" spans="1:57" ht="13" customHeight="1">
      <c r="A1038" s="13"/>
      <c r="B1038" s="58"/>
      <c r="C1038" s="1189"/>
      <c r="D1038" s="1735"/>
      <c r="E1038" s="1227"/>
      <c r="F1038" s="1227"/>
      <c r="G1038" s="1227"/>
      <c r="H1038" s="1227"/>
      <c r="I1038" s="1227"/>
      <c r="J1038" s="1227"/>
      <c r="K1038" s="1227"/>
      <c r="L1038" s="1227"/>
      <c r="M1038" s="1227"/>
      <c r="N1038" s="1227"/>
      <c r="O1038" s="1227"/>
      <c r="P1038" s="1227"/>
      <c r="Q1038" s="1227"/>
      <c r="R1038" s="1227"/>
      <c r="S1038" s="1227"/>
      <c r="T1038" s="1227"/>
      <c r="U1038" s="1227"/>
      <c r="V1038" s="1227"/>
      <c r="W1038" s="1227"/>
      <c r="X1038" s="1227"/>
      <c r="Y1038" s="1227"/>
      <c r="Z1038" s="1227"/>
      <c r="AA1038" s="1227"/>
      <c r="AB1038" s="1227"/>
      <c r="AC1038" s="1227"/>
      <c r="AD1038" s="1227"/>
      <c r="AE1038" s="1736"/>
      <c r="AF1038" s="58"/>
      <c r="AG1038" s="13"/>
      <c r="AH1038" s="13"/>
      <c r="AI1038" s="62"/>
      <c r="AJ1038" s="1663"/>
      <c r="AK1038" s="1664"/>
      <c r="AL1038" s="1664"/>
      <c r="AM1038" s="1664"/>
      <c r="AN1038" s="1664"/>
      <c r="AO1038" s="1664"/>
      <c r="AP1038" s="1664"/>
      <c r="AQ1038" s="1665"/>
      <c r="AR1038" s="1178"/>
      <c r="AS1038" s="1178"/>
      <c r="AT1038" s="1178"/>
      <c r="AU1038" s="1178"/>
      <c r="AV1038" s="1178"/>
      <c r="AW1038" s="1178"/>
      <c r="AX1038" s="1178"/>
      <c r="AY1038" s="1178"/>
      <c r="BA1038" s="1071">
        <f>IFERROR(('Sources and Uses Budget'!$C$17+'Sources and Uses Budget'!$C$18+'Sources and Uses Budget'!$C$22)/$AG$437,0)</f>
        <v>166786.45569620252</v>
      </c>
      <c r="BB1038" s="1071" t="s">
        <v>1701</v>
      </c>
      <c r="BC1038" s="1071"/>
      <c r="BD1038" s="1071"/>
      <c r="BE1038" s="1071"/>
    </row>
    <row r="1039" spans="1:57" ht="13" customHeight="1">
      <c r="A1039" s="13"/>
      <c r="B1039" s="58"/>
      <c r="C1039" s="1189"/>
      <c r="D1039" s="1735"/>
      <c r="E1039" s="1227"/>
      <c r="F1039" s="1227"/>
      <c r="G1039" s="1227"/>
      <c r="H1039" s="1227"/>
      <c r="I1039" s="1227"/>
      <c r="J1039" s="1227"/>
      <c r="K1039" s="1227"/>
      <c r="L1039" s="1227"/>
      <c r="M1039" s="1227"/>
      <c r="N1039" s="1227"/>
      <c r="O1039" s="1227"/>
      <c r="P1039" s="1227"/>
      <c r="Q1039" s="1227"/>
      <c r="R1039" s="1227"/>
      <c r="S1039" s="1227"/>
      <c r="T1039" s="1227"/>
      <c r="U1039" s="1227"/>
      <c r="V1039" s="1227"/>
      <c r="W1039" s="1227"/>
      <c r="X1039" s="1227"/>
      <c r="Y1039" s="1227"/>
      <c r="Z1039" s="1227"/>
      <c r="AA1039" s="1227"/>
      <c r="AB1039" s="1227"/>
      <c r="AC1039" s="1227"/>
      <c r="AD1039" s="1227"/>
      <c r="AE1039" s="1736"/>
      <c r="AF1039" s="58"/>
      <c r="AG1039" s="13"/>
      <c r="AH1039" s="13"/>
      <c r="AI1039" s="62"/>
      <c r="AJ1039" s="1663"/>
      <c r="AK1039" s="1664"/>
      <c r="AL1039" s="1664"/>
      <c r="AM1039" s="1664"/>
      <c r="AN1039" s="1664"/>
      <c r="AO1039" s="1664"/>
      <c r="AP1039" s="1664"/>
      <c r="AQ1039" s="1665"/>
      <c r="AR1039" s="1178"/>
      <c r="AS1039" s="1178"/>
      <c r="AT1039" s="1178"/>
      <c r="AU1039" s="1178"/>
      <c r="AV1039" s="1178"/>
      <c r="AW1039" s="1178"/>
      <c r="AX1039" s="1178"/>
      <c r="AY1039" s="1178"/>
      <c r="BA1039">
        <f>IFERROR((($CI$753+$CM$753)/$AG$440),0)</f>
        <v>0.76923076923076927</v>
      </c>
      <c r="BB1039" s="3" t="s">
        <v>1702</v>
      </c>
    </row>
    <row r="1040" spans="1:57" ht="13" customHeight="1">
      <c r="A1040" s="13"/>
      <c r="B1040" s="58"/>
      <c r="C1040" s="1189"/>
      <c r="D1040" s="1737"/>
      <c r="E1040" s="1501"/>
      <c r="F1040" s="1501"/>
      <c r="G1040" s="1501"/>
      <c r="H1040" s="1501"/>
      <c r="I1040" s="1501"/>
      <c r="J1040" s="1501"/>
      <c r="K1040" s="1501"/>
      <c r="L1040" s="1501"/>
      <c r="M1040" s="1501"/>
      <c r="N1040" s="1501"/>
      <c r="O1040" s="1501"/>
      <c r="P1040" s="1501"/>
      <c r="Q1040" s="1501"/>
      <c r="R1040" s="1501"/>
      <c r="S1040" s="1501"/>
      <c r="T1040" s="1501"/>
      <c r="U1040" s="1501"/>
      <c r="V1040" s="1501"/>
      <c r="W1040" s="1501"/>
      <c r="X1040" s="1501"/>
      <c r="Y1040" s="1501"/>
      <c r="Z1040" s="1501"/>
      <c r="AA1040" s="1501"/>
      <c r="AB1040" s="1501"/>
      <c r="AC1040" s="1501"/>
      <c r="AD1040" s="1501"/>
      <c r="AE1040" s="1738"/>
      <c r="AF1040" s="58"/>
      <c r="AG1040" s="13"/>
      <c r="AH1040" s="13"/>
      <c r="AI1040" s="62"/>
      <c r="AJ1040" s="1663"/>
      <c r="AK1040" s="1664"/>
      <c r="AL1040" s="1664"/>
      <c r="AM1040" s="1664"/>
      <c r="AN1040" s="1664"/>
      <c r="AO1040" s="1664"/>
      <c r="AP1040" s="1664"/>
      <c r="AQ1040" s="1665"/>
      <c r="AR1040" s="1178"/>
      <c r="AS1040" s="1178"/>
      <c r="AT1040" s="1178"/>
      <c r="AU1040" s="1178"/>
      <c r="AV1040" s="1178"/>
      <c r="AW1040" s="1178"/>
      <c r="AX1040" s="1178"/>
      <c r="AY1040" s="1178"/>
      <c r="BA1040" t="b">
        <f>'Points System'!AJ164="Yes"</f>
        <v>0</v>
      </c>
      <c r="BB1040" s="3" t="s">
        <v>1703</v>
      </c>
    </row>
    <row r="1041" spans="1:56" ht="13" customHeight="1">
      <c r="A1041" s="13"/>
      <c r="B1041" s="61"/>
      <c r="C1041" s="96" t="s">
        <v>1704</v>
      </c>
      <c r="D1041" s="1700" t="s">
        <v>1705</v>
      </c>
      <c r="E1041" s="1701"/>
      <c r="F1041" s="1701"/>
      <c r="G1041" s="1701"/>
      <c r="H1041" s="1701"/>
      <c r="I1041" s="1701"/>
      <c r="J1041" s="1701"/>
      <c r="K1041" s="1701"/>
      <c r="L1041" s="1701"/>
      <c r="M1041" s="1701"/>
      <c r="N1041" s="1701"/>
      <c r="O1041" s="1701"/>
      <c r="P1041" s="1701"/>
      <c r="Q1041" s="1701"/>
      <c r="R1041" s="1701"/>
      <c r="S1041" s="1701"/>
      <c r="T1041" s="1701"/>
      <c r="U1041" s="1701"/>
      <c r="V1041" s="1701"/>
      <c r="W1041" s="1701"/>
      <c r="X1041" s="1701"/>
      <c r="Y1041" s="1701"/>
      <c r="Z1041" s="1701"/>
      <c r="AA1041" s="1701"/>
      <c r="AB1041" s="1701"/>
      <c r="AC1041" s="1701"/>
      <c r="AD1041" s="1701"/>
      <c r="AE1041" s="1702"/>
      <c r="AF1041" s="61"/>
      <c r="AG1041" s="1686" t="s">
        <v>692</v>
      </c>
      <c r="AH1041" s="1687"/>
      <c r="AI1041" s="64"/>
      <c r="AJ1041" s="1660">
        <f>ROUND(IF(AG1041="yes",(AJ992*0.1),0),0)</f>
        <v>0</v>
      </c>
      <c r="AK1041" s="1661"/>
      <c r="AL1041" s="1661"/>
      <c r="AM1041" s="1661"/>
      <c r="AN1041" s="1661"/>
      <c r="AO1041" s="1661"/>
      <c r="AP1041" s="1661"/>
      <c r="AQ1041" s="1662"/>
      <c r="AR1041" s="1178"/>
      <c r="AS1041" s="1178"/>
      <c r="AT1041" s="1178"/>
      <c r="AU1041" s="1178"/>
      <c r="AV1041" s="1178"/>
      <c r="AW1041" s="1178"/>
      <c r="AX1041" s="1178"/>
      <c r="AY1041" s="1178"/>
      <c r="BA1041">
        <f>Q212</f>
        <v>0</v>
      </c>
      <c r="BB1041" s="3" t="s">
        <v>1706</v>
      </c>
    </row>
    <row r="1042" spans="1:56" ht="13" customHeight="1">
      <c r="A1042" s="13"/>
      <c r="B1042" s="58"/>
      <c r="C1042" s="1189"/>
      <c r="D1042" s="1635" t="s">
        <v>1707</v>
      </c>
      <c r="E1042" s="1636"/>
      <c r="F1042" s="1636"/>
      <c r="G1042" s="1636"/>
      <c r="H1042" s="1636"/>
      <c r="I1042" s="1636"/>
      <c r="J1042" s="1636"/>
      <c r="K1042" s="1636"/>
      <c r="L1042" s="1636"/>
      <c r="M1042" s="1636"/>
      <c r="N1042" s="1636"/>
      <c r="O1042" s="1636"/>
      <c r="P1042" s="1636"/>
      <c r="Q1042" s="1636"/>
      <c r="R1042" s="1636"/>
      <c r="S1042" s="1636"/>
      <c r="T1042" s="1636"/>
      <c r="U1042" s="1636"/>
      <c r="V1042" s="1636"/>
      <c r="W1042" s="1636"/>
      <c r="X1042" s="1636"/>
      <c r="Y1042" s="1636"/>
      <c r="Z1042" s="1636"/>
      <c r="AA1042" s="1636"/>
      <c r="AB1042" s="1636"/>
      <c r="AC1042" s="1636"/>
      <c r="AD1042" s="1636"/>
      <c r="AE1042" s="1637"/>
      <c r="AF1042" s="58"/>
      <c r="AG1042" s="13"/>
      <c r="AH1042" s="13"/>
      <c r="AI1042" s="62"/>
      <c r="AJ1042" s="1663"/>
      <c r="AK1042" s="1664"/>
      <c r="AL1042" s="1664"/>
      <c r="AM1042" s="1664"/>
      <c r="AN1042" s="1664"/>
      <c r="AO1042" s="1664"/>
      <c r="AP1042" s="1664"/>
      <c r="AQ1042" s="1665"/>
      <c r="AR1042" s="1178"/>
      <c r="AS1042" s="1178"/>
      <c r="AT1042" s="1178"/>
      <c r="AU1042" s="1178"/>
      <c r="AV1042" s="1178"/>
      <c r="AW1042" s="1178"/>
      <c r="AX1042" s="1178"/>
      <c r="AY1042" s="1178"/>
      <c r="BA1042" s="1072">
        <f>T212</f>
        <v>0</v>
      </c>
      <c r="BB1042" s="3" t="s">
        <v>1708</v>
      </c>
    </row>
    <row r="1043" spans="1:56" ht="13" customHeight="1">
      <c r="A1043" s="13"/>
      <c r="B1043" s="58"/>
      <c r="C1043" s="1189"/>
      <c r="D1043" s="1635"/>
      <c r="E1043" s="1636"/>
      <c r="F1043" s="1636"/>
      <c r="G1043" s="1636"/>
      <c r="H1043" s="1636"/>
      <c r="I1043" s="1636"/>
      <c r="J1043" s="1636"/>
      <c r="K1043" s="1636"/>
      <c r="L1043" s="1636"/>
      <c r="M1043" s="1636"/>
      <c r="N1043" s="1636"/>
      <c r="O1043" s="1636"/>
      <c r="P1043" s="1636"/>
      <c r="Q1043" s="1636"/>
      <c r="R1043" s="1636"/>
      <c r="S1043" s="1636"/>
      <c r="T1043" s="1636"/>
      <c r="U1043" s="1636"/>
      <c r="V1043" s="1636"/>
      <c r="W1043" s="1636"/>
      <c r="X1043" s="1636"/>
      <c r="Y1043" s="1636"/>
      <c r="Z1043" s="1636"/>
      <c r="AA1043" s="1636"/>
      <c r="AB1043" s="1636"/>
      <c r="AC1043" s="1636"/>
      <c r="AD1043" s="1636"/>
      <c r="AE1043" s="1637"/>
      <c r="AF1043" s="58"/>
      <c r="AG1043" s="13"/>
      <c r="AH1043" s="13"/>
      <c r="AI1043" s="62"/>
      <c r="AJ1043" s="1663"/>
      <c r="AK1043" s="1664"/>
      <c r="AL1043" s="1664"/>
      <c r="AM1043" s="1664"/>
      <c r="AN1043" s="1664"/>
      <c r="AO1043" s="1664"/>
      <c r="AP1043" s="1664"/>
      <c r="AQ1043" s="1665"/>
      <c r="AR1043" s="1178"/>
      <c r="AS1043" s="1178"/>
      <c r="AT1043" s="1178"/>
      <c r="AU1043" s="1178"/>
      <c r="AV1043" s="1178"/>
      <c r="AW1043" s="1178"/>
      <c r="AX1043" s="1178"/>
      <c r="AY1043" s="1178"/>
    </row>
    <row r="1044" spans="1:56" ht="13" customHeight="1">
      <c r="A1044" s="13"/>
      <c r="B1044" s="58"/>
      <c r="C1044" s="1189"/>
      <c r="D1044" s="1678"/>
      <c r="E1044" s="1679"/>
      <c r="F1044" s="1679"/>
      <c r="G1044" s="1679"/>
      <c r="H1044" s="1679"/>
      <c r="I1044" s="1679"/>
      <c r="J1044" s="1679"/>
      <c r="K1044" s="1679"/>
      <c r="L1044" s="1679"/>
      <c r="M1044" s="1679"/>
      <c r="N1044" s="1679"/>
      <c r="O1044" s="1679"/>
      <c r="P1044" s="1679"/>
      <c r="Q1044" s="1679"/>
      <c r="R1044" s="1679"/>
      <c r="S1044" s="1679"/>
      <c r="T1044" s="1679"/>
      <c r="U1044" s="1679"/>
      <c r="V1044" s="1679"/>
      <c r="W1044" s="1679"/>
      <c r="X1044" s="1679"/>
      <c r="Y1044" s="1679"/>
      <c r="Z1044" s="1679"/>
      <c r="AA1044" s="1679"/>
      <c r="AB1044" s="1679"/>
      <c r="AC1044" s="1679"/>
      <c r="AD1044" s="1679"/>
      <c r="AE1044" s="1680"/>
      <c r="AF1044" s="58"/>
      <c r="AG1044" s="13"/>
      <c r="AH1044" s="13"/>
      <c r="AI1044" s="62"/>
      <c r="AJ1044" s="1666"/>
      <c r="AK1044" s="1667"/>
      <c r="AL1044" s="1667"/>
      <c r="AM1044" s="1667"/>
      <c r="AN1044" s="1667"/>
      <c r="AO1044" s="1667"/>
      <c r="AP1044" s="1667"/>
      <c r="AQ1044" s="1668"/>
      <c r="AR1044" s="1178"/>
      <c r="AS1044" s="1178"/>
      <c r="AT1044" s="1178"/>
      <c r="AU1044" s="1178"/>
      <c r="AV1044" s="1178"/>
      <c r="AW1044" s="1178"/>
      <c r="AX1044" s="1178"/>
      <c r="AY1044" s="1178"/>
    </row>
    <row r="1045" spans="1:56" ht="13" customHeight="1">
      <c r="A1045" s="13"/>
      <c r="B1045" s="61"/>
      <c r="C1045" s="96" t="s">
        <v>1709</v>
      </c>
      <c r="D1045" s="1669" t="s">
        <v>1710</v>
      </c>
      <c r="E1045" s="1670"/>
      <c r="F1045" s="1670"/>
      <c r="G1045" s="1670"/>
      <c r="H1045" s="1670"/>
      <c r="I1045" s="1670"/>
      <c r="J1045" s="1670"/>
      <c r="K1045" s="1670"/>
      <c r="L1045" s="1670"/>
      <c r="M1045" s="1670"/>
      <c r="N1045" s="1670"/>
      <c r="O1045" s="1670"/>
      <c r="P1045" s="1670"/>
      <c r="Q1045" s="1670"/>
      <c r="R1045" s="1670"/>
      <c r="S1045" s="1670"/>
      <c r="T1045" s="1670"/>
      <c r="U1045" s="1670"/>
      <c r="V1045" s="1670"/>
      <c r="W1045" s="1670"/>
      <c r="X1045" s="1670"/>
      <c r="Y1045" s="1670"/>
      <c r="Z1045" s="1670"/>
      <c r="AA1045" s="1670"/>
      <c r="AB1045" s="1670"/>
      <c r="AC1045" s="1670"/>
      <c r="AD1045" s="1670"/>
      <c r="AE1045" s="1671"/>
      <c r="AF1045" s="61"/>
      <c r="AG1045" s="1684" t="str">
        <f>IF(X1048&gt;0,"Yes","No")</f>
        <v>Yes</v>
      </c>
      <c r="AH1045" s="1685"/>
      <c r="AI1045" s="64"/>
      <c r="AJ1045" s="1660">
        <f>IF((X1048=0),0,AY1005*AJ992)</f>
        <v>15413782.299999999</v>
      </c>
      <c r="AK1045" s="1661"/>
      <c r="AL1045" s="1661"/>
      <c r="AM1045" s="1661"/>
      <c r="AN1045" s="1661"/>
      <c r="AO1045" s="1661"/>
      <c r="AP1045" s="1661"/>
      <c r="AQ1045" s="1662"/>
      <c r="AR1045" s="1178"/>
      <c r="AS1045" s="1178"/>
      <c r="AT1045" s="1178"/>
      <c r="AU1045" s="1178"/>
      <c r="AV1045" s="1178"/>
      <c r="AW1045" s="1178"/>
      <c r="AX1045" s="1178"/>
      <c r="AY1045" s="1178"/>
      <c r="AZ1045" s="1069">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1711</v>
      </c>
      <c r="BB1045" s="3"/>
      <c r="BC1045" s="3"/>
      <c r="BD1045" s="3"/>
    </row>
    <row r="1046" spans="1:56" ht="13" customHeight="1">
      <c r="A1046" s="13"/>
      <c r="B1046" s="58"/>
      <c r="C1046" s="344"/>
      <c r="D1046" s="1635" t="s">
        <v>1712</v>
      </c>
      <c r="E1046" s="1636"/>
      <c r="F1046" s="1636"/>
      <c r="G1046" s="1636"/>
      <c r="H1046" s="1636"/>
      <c r="I1046" s="1636"/>
      <c r="J1046" s="1636"/>
      <c r="K1046" s="1636"/>
      <c r="L1046" s="1636"/>
      <c r="M1046" s="1636"/>
      <c r="N1046" s="1636"/>
      <c r="O1046" s="1636"/>
      <c r="P1046" s="1636"/>
      <c r="Q1046" s="1636"/>
      <c r="R1046" s="1636"/>
      <c r="S1046" s="1636"/>
      <c r="T1046" s="1636"/>
      <c r="U1046" s="1636"/>
      <c r="V1046" s="1636"/>
      <c r="W1046" s="1636"/>
      <c r="X1046" s="1636"/>
      <c r="Y1046" s="1636"/>
      <c r="Z1046" s="1636"/>
      <c r="AA1046" s="1636"/>
      <c r="AB1046" s="1636"/>
      <c r="AC1046" s="1636"/>
      <c r="AD1046" s="1636"/>
      <c r="AE1046" s="1637"/>
      <c r="AF1046" s="58"/>
      <c r="AG1046" s="1195"/>
      <c r="AH1046" s="1195"/>
      <c r="AI1046" s="62"/>
      <c r="AJ1046" s="1663"/>
      <c r="AK1046" s="1664"/>
      <c r="AL1046" s="1664"/>
      <c r="AM1046" s="1664"/>
      <c r="AN1046" s="1664"/>
      <c r="AO1046" s="1664"/>
      <c r="AP1046" s="1664"/>
      <c r="AQ1046" s="1665"/>
      <c r="AR1046" s="1178"/>
      <c r="AS1046" s="1178"/>
      <c r="AT1046" s="1178"/>
      <c r="AU1046" s="12"/>
      <c r="AV1046" s="1178"/>
      <c r="AW1046" s="1178"/>
      <c r="AX1046" s="1178"/>
      <c r="AY1046" s="1178"/>
      <c r="AZ1046" s="855">
        <f>'Sources and Uses Budget'!S97*BA1046</f>
        <v>3427440.4499999997</v>
      </c>
      <c r="BA1046" s="1070">
        <f>IF(BA1040,20%,15%)</f>
        <v>0.15</v>
      </c>
      <c r="BB1046" s="3" t="s">
        <v>1713</v>
      </c>
      <c r="BC1046" s="3" t="s">
        <v>1714</v>
      </c>
      <c r="BD1046" s="3"/>
    </row>
    <row r="1047" spans="1:56" ht="13" customHeight="1">
      <c r="A1047" s="13"/>
      <c r="B1047" s="58"/>
      <c r="C1047" s="344"/>
      <c r="D1047" s="1635"/>
      <c r="E1047" s="1636"/>
      <c r="F1047" s="1636"/>
      <c r="G1047" s="1636"/>
      <c r="H1047" s="1636"/>
      <c r="I1047" s="1636"/>
      <c r="J1047" s="1636"/>
      <c r="K1047" s="1636"/>
      <c r="L1047" s="1636"/>
      <c r="M1047" s="1636"/>
      <c r="N1047" s="1636"/>
      <c r="O1047" s="1636"/>
      <c r="P1047" s="1636"/>
      <c r="Q1047" s="1636"/>
      <c r="R1047" s="1636"/>
      <c r="S1047" s="1636"/>
      <c r="T1047" s="1636"/>
      <c r="U1047" s="1636"/>
      <c r="V1047" s="1636"/>
      <c r="W1047" s="1636"/>
      <c r="X1047" s="1636"/>
      <c r="Y1047" s="1636"/>
      <c r="Z1047" s="1636"/>
      <c r="AA1047" s="1636"/>
      <c r="AB1047" s="1636"/>
      <c r="AC1047" s="1636"/>
      <c r="AD1047" s="1636"/>
      <c r="AE1047" s="1637"/>
      <c r="AF1047" s="58"/>
      <c r="AG1047" s="1195"/>
      <c r="AH1047" s="1195"/>
      <c r="AI1047" s="62"/>
      <c r="AJ1047" s="1663"/>
      <c r="AK1047" s="1664"/>
      <c r="AL1047" s="1664"/>
      <c r="AM1047" s="1664"/>
      <c r="AN1047" s="1664"/>
      <c r="AO1047" s="1664"/>
      <c r="AP1047" s="1664"/>
      <c r="AQ1047" s="1665"/>
      <c r="AR1047" s="1178"/>
      <c r="AS1047" s="1178"/>
      <c r="AT1047" s="1178"/>
      <c r="AU1047" s="12"/>
      <c r="AV1047" s="1178"/>
      <c r="AW1047" s="1178"/>
      <c r="AX1047" s="1178"/>
      <c r="AY1047" s="1178"/>
      <c r="AZ1047" s="855">
        <f>IF(M356="N/A",0,'Sources and Uses Budget'!T97*BA1047)</f>
        <v>0</v>
      </c>
      <c r="BA1047" s="1070">
        <v>0.15</v>
      </c>
      <c r="BB1047" s="3" t="s">
        <v>1713</v>
      </c>
      <c r="BC1047" s="3" t="s">
        <v>1715</v>
      </c>
      <c r="BD1047" s="3"/>
    </row>
    <row r="1048" spans="1:56" ht="13" customHeight="1">
      <c r="A1048" s="13"/>
      <c r="B1048" s="59"/>
      <c r="C1048" s="60"/>
      <c r="D1048" s="97" t="s">
        <v>1716</v>
      </c>
      <c r="E1048" s="6"/>
      <c r="F1048" s="6"/>
      <c r="G1048" s="6"/>
      <c r="H1048" s="6"/>
      <c r="I1048" s="1721">
        <f>AY1003</f>
        <v>78</v>
      </c>
      <c r="J1048" s="1722"/>
      <c r="K1048" s="6"/>
      <c r="L1048" s="6"/>
      <c r="M1048" s="6"/>
      <c r="N1048" s="6"/>
      <c r="O1048" s="6"/>
      <c r="P1048" s="6"/>
      <c r="Q1048" s="6"/>
      <c r="R1048" s="6"/>
      <c r="S1048" s="6"/>
      <c r="T1048" s="6"/>
      <c r="U1048" s="6"/>
      <c r="V1048" s="98" t="s">
        <v>1717</v>
      </c>
      <c r="W1048" s="40"/>
      <c r="X1048" s="1684">
        <f>CI753</f>
        <v>28</v>
      </c>
      <c r="Y1048" s="1685"/>
      <c r="Z1048" s="40"/>
      <c r="AA1048" s="40"/>
      <c r="AB1048" s="40"/>
      <c r="AC1048" s="40"/>
      <c r="AD1048" s="40"/>
      <c r="AE1048" s="41"/>
      <c r="AF1048" s="819"/>
      <c r="AG1048" s="820"/>
      <c r="AH1048" s="820"/>
      <c r="AI1048" s="821"/>
      <c r="AJ1048" s="1666"/>
      <c r="AK1048" s="1667"/>
      <c r="AL1048" s="1667"/>
      <c r="AM1048" s="1667"/>
      <c r="AN1048" s="1667"/>
      <c r="AO1048" s="1667"/>
      <c r="AP1048" s="1667"/>
      <c r="AQ1048" s="1668"/>
      <c r="AR1048" s="1178"/>
      <c r="AS1048" s="1178"/>
      <c r="AT1048" s="1178"/>
      <c r="AU1048" s="13"/>
      <c r="AV1048" s="1178"/>
      <c r="AW1048" s="1178"/>
      <c r="AX1048" s="1178"/>
      <c r="AY1048" s="1178"/>
      <c r="AZ1048" s="855">
        <f>IF(M358="N/A",0,'Sources and Uses Budget'!T97*BA1048)</f>
        <v>1320593.3500000001</v>
      </c>
      <c r="BA1048" s="1070" cm="1">
        <f t="array" ref="BA1048">_xlfn.IFS(X180="Yes",5%,$BA$1038&gt;50000,15%,BA1039&gt;=30%,15%,TRUE,5%)</f>
        <v>0.05</v>
      </c>
      <c r="BB1048" s="3" t="s">
        <v>1713</v>
      </c>
      <c r="BC1048" s="3" t="s">
        <v>1718</v>
      </c>
      <c r="BD1048" s="3"/>
    </row>
    <row r="1049" spans="1:56" ht="13" customHeight="1">
      <c r="A1049" s="13"/>
      <c r="B1049" s="61"/>
      <c r="C1049" s="96" t="s">
        <v>1719</v>
      </c>
      <c r="D1049" s="1700" t="s">
        <v>1720</v>
      </c>
      <c r="E1049" s="1701"/>
      <c r="F1049" s="1701"/>
      <c r="G1049" s="1701"/>
      <c r="H1049" s="1701"/>
      <c r="I1049" s="1701"/>
      <c r="J1049" s="1701"/>
      <c r="K1049" s="1701"/>
      <c r="L1049" s="1701"/>
      <c r="M1049" s="1701"/>
      <c r="N1049" s="1701"/>
      <c r="O1049" s="1701"/>
      <c r="P1049" s="1701"/>
      <c r="Q1049" s="1701"/>
      <c r="R1049" s="1701"/>
      <c r="S1049" s="1701"/>
      <c r="T1049" s="1701"/>
      <c r="U1049" s="1701"/>
      <c r="V1049" s="1701"/>
      <c r="W1049" s="1701"/>
      <c r="X1049" s="1701"/>
      <c r="Y1049" s="1701"/>
      <c r="Z1049" s="1701"/>
      <c r="AA1049" s="1701"/>
      <c r="AB1049" s="1701"/>
      <c r="AC1049" s="1701"/>
      <c r="AD1049" s="1701"/>
      <c r="AE1049" s="1702"/>
      <c r="AF1049" s="58"/>
      <c r="AG1049" s="1684" t="str">
        <f>IF(X1052&gt;0,"Yes","No")</f>
        <v>Yes</v>
      </c>
      <c r="AH1049" s="1685"/>
      <c r="AI1049" s="62"/>
      <c r="AJ1049" s="1660">
        <f>IF((X1052=0),0,(2*AY1006)*AJ992)</f>
        <v>36112289.960000001</v>
      </c>
      <c r="AK1049" s="1661"/>
      <c r="AL1049" s="1661"/>
      <c r="AM1049" s="1661"/>
      <c r="AN1049" s="1661"/>
      <c r="AO1049" s="1661"/>
      <c r="AP1049" s="1661"/>
      <c r="AQ1049" s="1662"/>
      <c r="AR1049" s="1178"/>
      <c r="AS1049" s="1178"/>
      <c r="AT1049" s="1178"/>
      <c r="AU1049" s="13"/>
      <c r="AV1049" s="1178"/>
      <c r="AW1049" s="1178"/>
      <c r="AX1049" s="1178"/>
      <c r="AY1049" s="1178"/>
      <c r="AZ1049" s="855">
        <f>AZ1045*BA1049</f>
        <v>0</v>
      </c>
      <c r="BA1049" s="1070">
        <v>0.15</v>
      </c>
      <c r="BB1049" s="3" t="s">
        <v>1713</v>
      </c>
      <c r="BC1049" s="3" t="s">
        <v>1721</v>
      </c>
      <c r="BD1049" s="3"/>
    </row>
    <row r="1050" spans="1:56" ht="13" customHeight="1">
      <c r="A1050" s="13"/>
      <c r="B1050" s="58"/>
      <c r="C1050" s="344"/>
      <c r="D1050" s="1635" t="s">
        <v>1722</v>
      </c>
      <c r="E1050" s="1636"/>
      <c r="F1050" s="1636"/>
      <c r="G1050" s="1636"/>
      <c r="H1050" s="1636"/>
      <c r="I1050" s="1636"/>
      <c r="J1050" s="1636"/>
      <c r="K1050" s="1636"/>
      <c r="L1050" s="1636"/>
      <c r="M1050" s="1636"/>
      <c r="N1050" s="1636"/>
      <c r="O1050" s="1636"/>
      <c r="P1050" s="1636"/>
      <c r="Q1050" s="1636"/>
      <c r="R1050" s="1636"/>
      <c r="S1050" s="1636"/>
      <c r="T1050" s="1636"/>
      <c r="U1050" s="1636"/>
      <c r="V1050" s="1636"/>
      <c r="W1050" s="1636"/>
      <c r="X1050" s="1636"/>
      <c r="Y1050" s="1636"/>
      <c r="Z1050" s="1636"/>
      <c r="AA1050" s="1636"/>
      <c r="AB1050" s="1636"/>
      <c r="AC1050" s="1636"/>
      <c r="AD1050" s="1636"/>
      <c r="AE1050" s="1637"/>
      <c r="AF1050" s="58"/>
      <c r="AG1050" s="1195"/>
      <c r="AH1050" s="1195"/>
      <c r="AI1050" s="62"/>
      <c r="AJ1050" s="1663"/>
      <c r="AK1050" s="1664"/>
      <c r="AL1050" s="1664"/>
      <c r="AM1050" s="1664"/>
      <c r="AN1050" s="1664"/>
      <c r="AO1050" s="1664"/>
      <c r="AP1050" s="1664"/>
      <c r="AQ1050" s="1665"/>
      <c r="AR1050" s="1178"/>
      <c r="AS1050" s="1178"/>
      <c r="AT1050" s="1178"/>
      <c r="AU1050" s="1178"/>
      <c r="AV1050" s="1178"/>
      <c r="AW1050" s="1178"/>
      <c r="AX1050" s="1178"/>
      <c r="AY1050" s="1178"/>
      <c r="AZ1050" s="855"/>
      <c r="BA1050" s="3"/>
      <c r="BB1050" s="3"/>
      <c r="BC1050" s="3"/>
      <c r="BD1050" s="3"/>
    </row>
    <row r="1051" spans="1:56" ht="13" customHeight="1">
      <c r="A1051" s="13"/>
      <c r="B1051" s="58"/>
      <c r="C1051" s="62"/>
      <c r="D1051" s="1635"/>
      <c r="E1051" s="1636"/>
      <c r="F1051" s="1636"/>
      <c r="G1051" s="1636"/>
      <c r="H1051" s="1636"/>
      <c r="I1051" s="1636"/>
      <c r="J1051" s="1636"/>
      <c r="K1051" s="1636"/>
      <c r="L1051" s="1636"/>
      <c r="M1051" s="1636"/>
      <c r="N1051" s="1636"/>
      <c r="O1051" s="1636"/>
      <c r="P1051" s="1636"/>
      <c r="Q1051" s="1636"/>
      <c r="R1051" s="1636"/>
      <c r="S1051" s="1636"/>
      <c r="T1051" s="1636"/>
      <c r="U1051" s="1636"/>
      <c r="V1051" s="1636"/>
      <c r="W1051" s="1636"/>
      <c r="X1051" s="1636"/>
      <c r="Y1051" s="1636"/>
      <c r="Z1051" s="1636"/>
      <c r="AA1051" s="1636"/>
      <c r="AB1051" s="1636"/>
      <c r="AC1051" s="1636"/>
      <c r="AD1051" s="1636"/>
      <c r="AE1051" s="1637"/>
      <c r="AF1051" s="816"/>
      <c r="AG1051" s="817"/>
      <c r="AH1051" s="817"/>
      <c r="AI1051" s="818"/>
      <c r="AJ1051" s="1663"/>
      <c r="AK1051" s="1664"/>
      <c r="AL1051" s="1664"/>
      <c r="AM1051" s="1664"/>
      <c r="AN1051" s="1664"/>
      <c r="AO1051" s="1664"/>
      <c r="AP1051" s="1664"/>
      <c r="AQ1051" s="1665"/>
      <c r="AR1051" s="1178"/>
      <c r="AS1051" s="1178"/>
      <c r="AT1051" s="1178"/>
      <c r="AU1051" s="1178"/>
      <c r="AV1051" s="1178"/>
      <c r="AW1051" s="1178"/>
      <c r="AX1051" s="1178"/>
      <c r="AY1051" s="1178"/>
      <c r="AZ1051" s="855">
        <f>ROUNDDOWN(MIN(SUM(AZ1046,AZ1047,AZ1048,AZ1049),BD1051),0)</f>
        <v>2500000</v>
      </c>
      <c r="BA1051" s="3" t="s">
        <v>1723</v>
      </c>
      <c r="BB1051" s="3"/>
      <c r="BC1051" s="3"/>
      <c r="BD1051" s="3" cm="1">
        <f t="array" ref="BD1051">_xlfn.IFS(BA1040,3000000,AND(BA1041&gt;=25%,BA1042&gt;=15),2800000,TRUE,2500000)</f>
        <v>2500000</v>
      </c>
    </row>
    <row r="1052" spans="1:56" ht="13" customHeight="1">
      <c r="A1052" s="13"/>
      <c r="B1052" s="59"/>
      <c r="C1052" s="60"/>
      <c r="D1052" s="97" t="s">
        <v>1716</v>
      </c>
      <c r="E1052" s="6"/>
      <c r="F1052" s="6"/>
      <c r="G1052" s="6"/>
      <c r="H1052" s="6"/>
      <c r="I1052" s="1721">
        <f>AY1003</f>
        <v>78</v>
      </c>
      <c r="J1052" s="1722"/>
      <c r="K1052" s="13"/>
      <c r="L1052" s="6"/>
      <c r="M1052" s="6"/>
      <c r="N1052" s="6"/>
      <c r="O1052" s="6"/>
      <c r="P1052" s="6"/>
      <c r="Q1052" s="6"/>
      <c r="R1052" s="6"/>
      <c r="S1052" s="6"/>
      <c r="T1052" s="6"/>
      <c r="U1052" s="6"/>
      <c r="V1052" s="98" t="s">
        <v>1724</v>
      </c>
      <c r="X1052" s="1684">
        <f>CM753</f>
        <v>32</v>
      </c>
      <c r="Y1052" s="1685"/>
      <c r="AF1052" s="819"/>
      <c r="AG1052" s="820"/>
      <c r="AH1052" s="820"/>
      <c r="AI1052" s="821"/>
      <c r="AJ1052" s="1666"/>
      <c r="AK1052" s="1667"/>
      <c r="AL1052" s="1667"/>
      <c r="AM1052" s="1667"/>
      <c r="AN1052" s="1667"/>
      <c r="AO1052" s="1667"/>
      <c r="AP1052" s="1667"/>
      <c r="AQ1052" s="1668"/>
      <c r="AR1052" s="1178"/>
      <c r="AS1052" s="1178"/>
      <c r="AT1052" s="1178"/>
      <c r="AU1052" s="1178"/>
      <c r="AV1052" s="1178"/>
      <c r="AW1052" s="1178"/>
      <c r="AX1052" s="1178"/>
      <c r="AY1052" s="1178"/>
      <c r="AZ1052" s="855">
        <f>ROUNDDOWN(MAX(0,BA1052*(SUM(AG1093,AL1093,AZ1045)-BD1052))+BF1052,0)</f>
        <v>0</v>
      </c>
      <c r="BA1052" s="1070">
        <f>IF(L1042,7%,5%)</f>
        <v>0.05</v>
      </c>
      <c r="BB1052" s="3" t="s">
        <v>1725</v>
      </c>
      <c r="BC1052" s="3"/>
      <c r="BD1052" s="3">
        <v>6666667</v>
      </c>
    </row>
    <row r="1053" spans="1:56" ht="13" customHeight="1">
      <c r="A1053" s="13"/>
      <c r="B1053" s="77"/>
      <c r="C1053" s="1196"/>
      <c r="D1053" s="1719" t="s">
        <v>1726</v>
      </c>
      <c r="E1053" s="1719"/>
      <c r="F1053" s="1719"/>
      <c r="G1053" s="1719"/>
      <c r="H1053" s="1719"/>
      <c r="I1053" s="1719"/>
      <c r="J1053" s="1719"/>
      <c r="K1053" s="1719"/>
      <c r="L1053" s="1719"/>
      <c r="M1053" s="1719"/>
      <c r="N1053" s="1719"/>
      <c r="O1053" s="1719"/>
      <c r="P1053" s="1719"/>
      <c r="Q1053" s="1719"/>
      <c r="R1053" s="1719"/>
      <c r="S1053" s="1719"/>
      <c r="T1053" s="1719"/>
      <c r="U1053" s="1719"/>
      <c r="V1053" s="1719"/>
      <c r="W1053" s="1719"/>
      <c r="X1053" s="1719"/>
      <c r="Y1053" s="1719"/>
      <c r="Z1053" s="1719"/>
      <c r="AA1053" s="1719"/>
      <c r="AB1053" s="1719"/>
      <c r="AC1053" s="1719"/>
      <c r="AD1053" s="1719"/>
      <c r="AE1053" s="1719"/>
      <c r="AF1053" s="1719"/>
      <c r="AG1053" s="1719"/>
      <c r="AH1053" s="1719"/>
      <c r="AI1053" s="1720"/>
      <c r="AJ1053" s="1732">
        <f>SUM(AJ992:AQ1052)</f>
        <v>95565450.25999999</v>
      </c>
      <c r="AK1053" s="1733"/>
      <c r="AL1053" s="1733"/>
      <c r="AM1053" s="1733"/>
      <c r="AN1053" s="1733"/>
      <c r="AO1053" s="1733"/>
      <c r="AP1053" s="1733"/>
      <c r="AQ1053" s="1734"/>
      <c r="AR1053" s="1178"/>
      <c r="AS1053" s="1178"/>
      <c r="AT1053" s="1178"/>
      <c r="AU1053" s="1178"/>
      <c r="AV1053" s="1178"/>
      <c r="AW1053" s="1178"/>
      <c r="AX1053" s="1178"/>
      <c r="AY1053" s="1178"/>
      <c r="AZ1053" s="1069">
        <v>6000000</v>
      </c>
      <c r="BA1053" s="3" t="s">
        <v>1727</v>
      </c>
      <c r="BB1053" s="3"/>
      <c r="BC1053" s="3"/>
      <c r="BD1053" s="3"/>
    </row>
    <row r="1054" spans="1:56" ht="13" customHeight="1">
      <c r="A1054" s="13"/>
      <c r="B1054" s="13"/>
      <c r="C1054" s="1197"/>
      <c r="D1054" s="1198"/>
      <c r="E1054" s="1198"/>
      <c r="F1054" s="1198"/>
      <c r="G1054" s="1198"/>
      <c r="H1054" s="1198"/>
      <c r="I1054" s="1198"/>
      <c r="J1054" s="1198"/>
      <c r="K1054" s="1198"/>
      <c r="L1054" s="1198"/>
      <c r="M1054" s="1198"/>
      <c r="N1054" s="1198"/>
      <c r="O1054" s="1198"/>
      <c r="P1054" s="1198"/>
      <c r="Q1054" s="1198"/>
      <c r="R1054" s="1198"/>
      <c r="S1054" s="1198"/>
      <c r="T1054" s="1199"/>
      <c r="U1054" s="1199"/>
      <c r="V1054" s="1199"/>
      <c r="W1054" s="1199"/>
      <c r="X1054" s="1199"/>
      <c r="Y1054" s="1199"/>
      <c r="Z1054" s="1199"/>
      <c r="AA1054" s="1199"/>
      <c r="AB1054" s="1199"/>
      <c r="AC1054" s="1199"/>
      <c r="AD1054" s="138"/>
      <c r="AE1054" s="138"/>
      <c r="AF1054" s="138"/>
      <c r="AG1054" s="138"/>
      <c r="AH1054" s="138"/>
      <c r="AI1054" s="138"/>
      <c r="AJ1054" s="138"/>
      <c r="AK1054" s="138"/>
      <c r="AL1054" s="1178"/>
      <c r="AM1054" s="1178"/>
      <c r="AN1054" s="1178"/>
      <c r="AO1054" s="1178"/>
      <c r="AP1054" s="1178"/>
      <c r="AQ1054" s="1178"/>
      <c r="AR1054" s="1178"/>
      <c r="AS1054" s="1178"/>
      <c r="AT1054" s="1178"/>
      <c r="AU1054" s="1178"/>
      <c r="AV1054" s="1178"/>
      <c r="AW1054" s="1178"/>
      <c r="AX1054" s="1178"/>
      <c r="AY1054" s="1178"/>
      <c r="AZ1054" s="3"/>
      <c r="BA1054" s="3"/>
      <c r="BB1054" s="3"/>
      <c r="BC1054" s="3"/>
      <c r="BD1054" s="3"/>
    </row>
    <row r="1055" spans="1:56" ht="13" customHeight="1">
      <c r="A1055" s="13"/>
      <c r="B1055" s="1178"/>
      <c r="C1055" s="1178"/>
      <c r="D1055" s="1178"/>
      <c r="E1055" s="1178"/>
      <c r="F1055" s="1178"/>
      <c r="G1055" s="1061" t="s">
        <v>1728</v>
      </c>
      <c r="H1055" s="1062"/>
      <c r="I1055" s="1062"/>
      <c r="J1055" s="1062"/>
      <c r="K1055" s="1062"/>
      <c r="L1055" s="1062"/>
      <c r="M1055" s="1062"/>
      <c r="N1055" s="1062"/>
      <c r="O1055" s="1062"/>
      <c r="P1055" s="1062"/>
      <c r="Q1055" s="1062"/>
      <c r="R1055" s="1062"/>
      <c r="S1055" s="1062"/>
      <c r="T1055" s="1062"/>
      <c r="U1055" s="1062"/>
      <c r="V1055" s="1062"/>
      <c r="W1055" s="1062"/>
      <c r="X1055" s="1062"/>
      <c r="Y1055" s="1062"/>
      <c r="Z1055" s="1062"/>
      <c r="AA1055" s="1062"/>
      <c r="AB1055" s="1062"/>
      <c r="AC1055" s="1062"/>
      <c r="AD1055" s="1062"/>
      <c r="AE1055" s="1062"/>
      <c r="AF1055" s="1062"/>
      <c r="AG1055" s="1063"/>
      <c r="AH1055" s="1063"/>
      <c r="AI1055" s="1063"/>
      <c r="AJ1055" s="1063"/>
      <c r="AK1055" s="1063"/>
      <c r="AL1055" s="1063"/>
      <c r="AM1055" s="1063"/>
      <c r="AN1055" s="1063"/>
      <c r="AO1055" s="1178"/>
      <c r="AP1055" s="1178"/>
      <c r="AQ1055" s="1178"/>
      <c r="AR1055" s="1178"/>
      <c r="AS1055" s="1178"/>
      <c r="AT1055" s="1178"/>
      <c r="AU1055" s="1178"/>
      <c r="AV1055" s="1178"/>
      <c r="AW1055" s="1178"/>
      <c r="AX1055" s="1178"/>
      <c r="AY1055" s="1178"/>
      <c r="AZ1055" s="3"/>
      <c r="BA1055" s="855">
        <f>MIN(MIN(MAX(AZ1051,AZ1052),AZ1053),BA1056)</f>
        <v>2500000</v>
      </c>
      <c r="BB1055" s="3" t="s">
        <v>1729</v>
      </c>
      <c r="BC1055" s="3"/>
      <c r="BD1055" s="3"/>
    </row>
    <row r="1056" spans="1:56" ht="13" customHeight="1">
      <c r="A1056" s="13"/>
      <c r="B1056" s="1178"/>
      <c r="C1056" s="1178"/>
      <c r="D1056" s="1178"/>
      <c r="E1056" s="1178"/>
      <c r="F1056" s="1178"/>
      <c r="G1056" s="1064" t="s">
        <v>1730</v>
      </c>
      <c r="H1056" s="1065"/>
      <c r="I1056" s="1065"/>
      <c r="J1056" s="1065"/>
      <c r="K1056" s="1065"/>
      <c r="L1056" s="1065"/>
      <c r="M1056" s="1065"/>
      <c r="N1056" s="1065"/>
      <c r="O1056" s="1065"/>
      <c r="P1056" s="1065"/>
      <c r="Q1056" s="1065"/>
      <c r="R1056" s="1065"/>
      <c r="S1056" s="1065"/>
      <c r="T1056" s="1065"/>
      <c r="U1056" s="1065"/>
      <c r="V1056" s="1065"/>
      <c r="W1056" s="1065"/>
      <c r="X1056" s="1065"/>
      <c r="Y1056" s="1065"/>
      <c r="Z1056" s="1065"/>
      <c r="AA1056" s="1301">
        <f>'Sources and Uses Budget'!S107+'Sources and Uses Budget'!T107</f>
        <v>54009503</v>
      </c>
      <c r="AB1056" s="1301"/>
      <c r="AC1056" s="1301"/>
      <c r="AD1056" s="1301"/>
      <c r="AE1056" s="1301"/>
      <c r="AF1056" s="1301"/>
      <c r="AG1056" s="1063"/>
      <c r="AH1056" s="1063"/>
      <c r="AI1056" s="1063"/>
      <c r="AJ1056" s="1063"/>
      <c r="AK1056" s="1063"/>
      <c r="AL1056" s="1063"/>
      <c r="AM1056" s="1063"/>
      <c r="AN1056" s="1063"/>
      <c r="AO1056" s="1178"/>
      <c r="AP1056" s="1178"/>
      <c r="AQ1056" s="1178"/>
      <c r="AR1056" s="1178"/>
      <c r="AS1056" s="1178"/>
      <c r="AT1056" s="1178"/>
      <c r="AU1056" s="1178"/>
      <c r="AV1056" s="12"/>
      <c r="AW1056" s="12"/>
      <c r="AX1056" s="12"/>
      <c r="AY1056" s="12"/>
      <c r="AZ1056" s="3"/>
      <c r="BA1056" s="855">
        <f>SUM(AZ1046:AZ1049)</f>
        <v>4748033.8</v>
      </c>
      <c r="BB1056" s="3" t="s">
        <v>1731</v>
      </c>
      <c r="BC1056" s="3"/>
      <c r="BD1056" s="3"/>
    </row>
    <row r="1057" spans="1:54" ht="13" customHeight="1">
      <c r="A1057" s="13"/>
      <c r="B1057" s="1178"/>
      <c r="C1057" s="1178"/>
      <c r="D1057" s="1178"/>
      <c r="E1057" s="1178"/>
      <c r="F1057" s="1178"/>
      <c r="G1057" s="1064"/>
      <c r="H1057" s="1064" t="s">
        <v>1732</v>
      </c>
      <c r="I1057" s="1065"/>
      <c r="J1057" s="1065"/>
      <c r="K1057" s="1065"/>
      <c r="L1057" s="1065"/>
      <c r="M1057" s="1065"/>
      <c r="N1057" s="1065"/>
      <c r="O1057" s="1065"/>
      <c r="P1057" s="1065"/>
      <c r="Q1057" s="1065"/>
      <c r="R1057" s="1065"/>
      <c r="S1057" s="1065"/>
      <c r="T1057" s="1065"/>
      <c r="U1057" s="1065"/>
      <c r="V1057" s="1065"/>
      <c r="W1057" s="1065"/>
      <c r="X1057" s="1065"/>
      <c r="Y1057" s="1065"/>
      <c r="Z1057" s="1067"/>
      <c r="AA1057" s="1302">
        <f>IFERROR((AA1056-BA1059)/(AJ1053-AJ1045-AJ1049),"")</f>
        <v>1.1753451649566897</v>
      </c>
      <c r="AB1057" s="1303"/>
      <c r="AC1057" s="1303"/>
      <c r="AD1057" s="1303"/>
      <c r="AE1057" s="1303"/>
      <c r="AF1057" s="1304"/>
      <c r="AG1057" s="1066"/>
      <c r="AH1057" s="1063"/>
      <c r="AI1057" s="1063"/>
      <c r="AJ1057" s="1063"/>
      <c r="AK1057" s="1063"/>
      <c r="AL1057" s="1063"/>
      <c r="AM1057" s="1063"/>
      <c r="AN1057" s="1063"/>
      <c r="AO1057" s="1178"/>
      <c r="AP1057" s="1178"/>
      <c r="AQ1057" s="1178"/>
      <c r="AR1057" s="1178"/>
      <c r="AS1057" s="1178"/>
      <c r="AT1057" s="1178"/>
      <c r="AU1057" s="1178"/>
      <c r="AV1057" s="12"/>
      <c r="AW1057" s="12"/>
      <c r="AX1057" s="12"/>
      <c r="AY1057" s="12"/>
    </row>
    <row r="1058" spans="1:54" ht="13" customHeight="1">
      <c r="A1058" s="13"/>
      <c r="B1058" s="1178"/>
      <c r="C1058" s="1178"/>
      <c r="D1058" s="1178"/>
      <c r="E1058" s="1178"/>
      <c r="F1058" s="1178"/>
      <c r="G1058" s="1305"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05"/>
      <c r="I1058" s="1305"/>
      <c r="J1058" s="1305"/>
      <c r="K1058" s="1305"/>
      <c r="L1058" s="1305"/>
      <c r="M1058" s="1305"/>
      <c r="N1058" s="1305"/>
      <c r="O1058" s="1305"/>
      <c r="P1058" s="1305"/>
      <c r="Q1058" s="1305"/>
      <c r="R1058" s="1305"/>
      <c r="S1058" s="1305"/>
      <c r="T1058" s="1305"/>
      <c r="U1058" s="1305"/>
      <c r="V1058" s="1305"/>
      <c r="W1058" s="1305"/>
      <c r="X1058" s="1305"/>
      <c r="Y1058" s="1305"/>
      <c r="Z1058" s="1305"/>
      <c r="AA1058" s="1305"/>
      <c r="AB1058" s="1305"/>
      <c r="AC1058" s="1305"/>
      <c r="AD1058" s="1305"/>
      <c r="AE1058" s="1305"/>
      <c r="AF1058" s="1305"/>
      <c r="AG1058" s="1305"/>
      <c r="AH1058" s="1305"/>
      <c r="AI1058" s="1305"/>
      <c r="AJ1058" s="1305"/>
      <c r="AK1058" s="1305"/>
      <c r="AL1058" s="1305"/>
      <c r="AM1058" s="1305"/>
      <c r="AN1058" s="1305"/>
      <c r="AO1058" s="1178"/>
      <c r="AP1058" s="1178"/>
      <c r="AQ1058" s="1178"/>
      <c r="AR1058" s="1178"/>
      <c r="AS1058" s="1178"/>
      <c r="AT1058" s="1178"/>
      <c r="AU1058" s="1178"/>
      <c r="AV1058" s="13"/>
      <c r="AW1058" s="13"/>
      <c r="AX1058" s="13"/>
      <c r="AY1058" s="13"/>
      <c r="BA1058" s="1073">
        <f>'Sources and Uses Budget'!$S$104+'Sources and Uses Budget'!$T$104</f>
        <v>4748033</v>
      </c>
      <c r="BB1058" s="3" t="s">
        <v>1733</v>
      </c>
    </row>
    <row r="1059" spans="1:54" ht="13" customHeight="1">
      <c r="A1059" s="13"/>
      <c r="B1059" s="13"/>
      <c r="C1059" s="1197"/>
      <c r="D1059" s="1200"/>
      <c r="E1059" s="1200"/>
      <c r="F1059" s="1200"/>
      <c r="G1059" s="1305"/>
      <c r="H1059" s="1305"/>
      <c r="I1059" s="1305"/>
      <c r="J1059" s="1305"/>
      <c r="K1059" s="1305"/>
      <c r="L1059" s="1305"/>
      <c r="M1059" s="1305"/>
      <c r="N1059" s="1305"/>
      <c r="O1059" s="1305"/>
      <c r="P1059" s="1305"/>
      <c r="Q1059" s="1305"/>
      <c r="R1059" s="1305"/>
      <c r="S1059" s="1305"/>
      <c r="T1059" s="1305"/>
      <c r="U1059" s="1305"/>
      <c r="V1059" s="1305"/>
      <c r="W1059" s="1305"/>
      <c r="X1059" s="1305"/>
      <c r="Y1059" s="1305"/>
      <c r="Z1059" s="1305"/>
      <c r="AA1059" s="1305"/>
      <c r="AB1059" s="1305"/>
      <c r="AC1059" s="1305"/>
      <c r="AD1059" s="1305"/>
      <c r="AE1059" s="1305"/>
      <c r="AF1059" s="1305"/>
      <c r="AG1059" s="1305"/>
      <c r="AH1059" s="1305"/>
      <c r="AI1059" s="1305"/>
      <c r="AJ1059" s="1305"/>
      <c r="AK1059" s="1305"/>
      <c r="AL1059" s="1305"/>
      <c r="AM1059" s="1305"/>
      <c r="AN1059" s="1305"/>
      <c r="AO1059" s="1178"/>
      <c r="AP1059" s="1178"/>
      <c r="AQ1059" s="1178"/>
      <c r="AR1059" s="1178"/>
      <c r="AS1059" s="1178"/>
      <c r="AT1059" s="1178"/>
      <c r="AU1059" s="1178"/>
      <c r="AV1059" s="13"/>
      <c r="AW1059" s="13"/>
      <c r="AX1059" s="13"/>
      <c r="AY1059" s="13"/>
      <c r="BA1059" s="1074">
        <f>MAX($BA$1058-$BA$1055,0)</f>
        <v>2248033</v>
      </c>
      <c r="BB1059" s="3" t="s">
        <v>1734</v>
      </c>
    </row>
    <row r="1060" spans="1:54" ht="13" customHeight="1">
      <c r="A1060" s="1201"/>
      <c r="B1060" s="1060"/>
      <c r="C1060" s="1060"/>
      <c r="D1060" s="1060"/>
      <c r="E1060" s="1060"/>
      <c r="F1060" s="1060"/>
      <c r="G1060" s="1305"/>
      <c r="H1060" s="1305"/>
      <c r="I1060" s="1305"/>
      <c r="J1060" s="1305"/>
      <c r="K1060" s="1305"/>
      <c r="L1060" s="1305"/>
      <c r="M1060" s="1305"/>
      <c r="N1060" s="1305"/>
      <c r="O1060" s="1305"/>
      <c r="P1060" s="1305"/>
      <c r="Q1060" s="1305"/>
      <c r="R1060" s="1305"/>
      <c r="S1060" s="1305"/>
      <c r="T1060" s="1305"/>
      <c r="U1060" s="1305"/>
      <c r="V1060" s="1305"/>
      <c r="W1060" s="1305"/>
      <c r="X1060" s="1305"/>
      <c r="Y1060" s="1305"/>
      <c r="Z1060" s="1305"/>
      <c r="AA1060" s="1305"/>
      <c r="AB1060" s="1305"/>
      <c r="AC1060" s="1305"/>
      <c r="AD1060" s="1305"/>
      <c r="AE1060" s="1305"/>
      <c r="AF1060" s="1305"/>
      <c r="AG1060" s="1305"/>
      <c r="AH1060" s="1305"/>
      <c r="AI1060" s="1305"/>
      <c r="AJ1060" s="1305"/>
      <c r="AK1060" s="1305"/>
      <c r="AL1060" s="1305"/>
      <c r="AM1060" s="1305"/>
      <c r="AN1060" s="1305"/>
      <c r="AO1060" s="1060"/>
      <c r="AP1060" s="1060"/>
      <c r="AQ1060" s="1178"/>
      <c r="AR1060" s="1178"/>
      <c r="AS1060" s="1178"/>
      <c r="AT1060" s="1178"/>
      <c r="AU1060" s="1178"/>
      <c r="AV1060" s="1178"/>
      <c r="AW1060" s="1178"/>
      <c r="AX1060" s="1178"/>
      <c r="AY1060" s="1178"/>
    </row>
    <row r="1061" spans="1:54" ht="13" customHeight="1">
      <c r="A1061" s="1769" t="s">
        <v>1735</v>
      </c>
      <c r="B1061" s="1769"/>
      <c r="C1061" s="1769"/>
      <c r="D1061" s="1769"/>
      <c r="E1061" s="1769"/>
      <c r="F1061" s="1769"/>
      <c r="G1061" s="1769"/>
      <c r="H1061" s="1769"/>
      <c r="I1061" s="1769"/>
      <c r="J1061" s="1769"/>
      <c r="K1061" s="1769"/>
      <c r="L1061" s="1769"/>
      <c r="M1061" s="1769"/>
      <c r="N1061" s="1769"/>
      <c r="O1061" s="1769"/>
      <c r="P1061" s="1769"/>
      <c r="Q1061" s="1769"/>
      <c r="R1061" s="1769"/>
      <c r="S1061" s="1769"/>
      <c r="T1061" s="1769"/>
      <c r="U1061" s="1769"/>
      <c r="V1061" s="1769"/>
      <c r="W1061" s="1769"/>
      <c r="X1061" s="1769"/>
      <c r="Y1061" s="1769"/>
      <c r="Z1061" s="1769"/>
      <c r="AA1061" s="1769"/>
      <c r="AB1061" s="1769"/>
      <c r="AC1061" s="1769"/>
      <c r="AD1061" s="1769"/>
      <c r="AE1061" s="1769"/>
      <c r="AF1061" s="1769"/>
      <c r="AG1061" s="1769"/>
      <c r="AH1061" s="1769"/>
      <c r="AI1061" s="1769"/>
      <c r="AJ1061" s="1769"/>
      <c r="AK1061" s="1769"/>
      <c r="AL1061" s="1769"/>
      <c r="AM1061" s="1769"/>
      <c r="AN1061" s="1769"/>
      <c r="AO1061" s="1769"/>
      <c r="AP1061" s="1769"/>
      <c r="AQ1061" s="1769"/>
      <c r="AR1061" s="12"/>
      <c r="AS1061" s="12"/>
      <c r="AT1061" s="12"/>
      <c r="AV1061" s="1178"/>
      <c r="AW1061" s="1178"/>
      <c r="AX1061" s="1178"/>
      <c r="AY1061" s="1178"/>
    </row>
    <row r="1062" spans="1:54" ht="13"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8"/>
      <c r="AW1062" s="1178"/>
      <c r="AX1062" s="1178"/>
      <c r="AY1062" s="1178"/>
    </row>
    <row r="1063" spans="1:54" ht="13" customHeight="1">
      <c r="A1063" s="49" t="s">
        <v>1736</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8"/>
      <c r="AW1063" s="1178"/>
      <c r="AX1063" s="1178"/>
      <c r="AY1063" s="1178"/>
    </row>
    <row r="1064" spans="1:54" ht="13" customHeight="1">
      <c r="A1064" s="133" t="s">
        <v>1737</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8"/>
      <c r="AW1064" s="1178"/>
      <c r="AX1064" s="1178"/>
      <c r="AY1064" s="1178"/>
    </row>
    <row r="1065" spans="1:54" ht="13" customHeight="1">
      <c r="A1065" s="1367" t="s">
        <v>807</v>
      </c>
      <c r="B1065" s="1367"/>
      <c r="C1065" s="1575">
        <v>1</v>
      </c>
      <c r="D1065" s="1575"/>
      <c r="E1065" s="13" t="s">
        <v>1738</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8"/>
      <c r="AW1065" s="1178"/>
      <c r="AX1065" s="1178"/>
      <c r="AY1065" s="1178"/>
    </row>
    <row r="1066" spans="1:54" ht="13" customHeight="1">
      <c r="A1066" s="133"/>
      <c r="B1066" s="13"/>
      <c r="C1066" s="1575"/>
      <c r="D1066" s="1575"/>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8"/>
      <c r="AW1066" s="1178"/>
      <c r="AX1066" s="1178"/>
      <c r="AY1066" s="1178"/>
    </row>
    <row r="1067" spans="1:54" ht="13" customHeight="1">
      <c r="A1067" s="1367" t="s">
        <v>807</v>
      </c>
      <c r="B1067" s="1367"/>
      <c r="C1067" s="1575">
        <v>2</v>
      </c>
      <c r="D1067" s="1575"/>
      <c r="E1067" s="1788" t="s">
        <v>1739</v>
      </c>
      <c r="F1067" s="1788"/>
      <c r="G1067" s="1788"/>
      <c r="H1067" s="1788"/>
      <c r="I1067" s="1788"/>
      <c r="J1067" s="1788"/>
      <c r="K1067" s="1788"/>
      <c r="L1067" s="1788"/>
      <c r="M1067" s="1788"/>
      <c r="N1067" s="1788"/>
      <c r="O1067" s="1788"/>
      <c r="P1067" s="1788"/>
      <c r="Q1067" s="1788"/>
      <c r="R1067" s="1788"/>
      <c r="S1067" s="1788"/>
      <c r="T1067" s="1788"/>
      <c r="U1067" s="1788"/>
      <c r="V1067" s="1788"/>
      <c r="W1067" s="1788"/>
      <c r="X1067" s="1788"/>
      <c r="Y1067" s="1788"/>
      <c r="Z1067" s="1788"/>
      <c r="AA1067" s="1788"/>
      <c r="AB1067" s="1788"/>
      <c r="AC1067" s="1788"/>
      <c r="AD1067" s="1788"/>
      <c r="AE1067" s="1788"/>
      <c r="AF1067" s="1788"/>
      <c r="AG1067" s="1788"/>
      <c r="AH1067" s="1788"/>
      <c r="AI1067" s="1788"/>
      <c r="AJ1067" s="1788"/>
      <c r="AK1067" s="1788"/>
      <c r="AL1067" s="1788"/>
      <c r="AM1067" s="1788"/>
      <c r="AN1067" s="1788"/>
      <c r="AO1067" s="1788"/>
      <c r="AP1067" s="1788"/>
      <c r="AQ1067" s="1788"/>
      <c r="AR1067" s="1788"/>
      <c r="AS1067" s="13"/>
      <c r="AT1067" s="13"/>
      <c r="AV1067" s="1178"/>
      <c r="AW1067" s="1178"/>
      <c r="AX1067" s="1178"/>
      <c r="AY1067" s="1178"/>
    </row>
    <row r="1068" spans="1:54" ht="13" customHeight="1">
      <c r="A1068" s="133"/>
      <c r="B1068" s="13"/>
      <c r="C1068" s="1575"/>
      <c r="D1068" s="1575"/>
      <c r="E1068" s="1788"/>
      <c r="F1068" s="1788"/>
      <c r="G1068" s="1788"/>
      <c r="H1068" s="1788"/>
      <c r="I1068" s="1788"/>
      <c r="J1068" s="1788"/>
      <c r="K1068" s="1788"/>
      <c r="L1068" s="1788"/>
      <c r="M1068" s="1788"/>
      <c r="N1068" s="1788"/>
      <c r="O1068" s="1788"/>
      <c r="P1068" s="1788"/>
      <c r="Q1068" s="1788"/>
      <c r="R1068" s="1788"/>
      <c r="S1068" s="1788"/>
      <c r="T1068" s="1788"/>
      <c r="U1068" s="1788"/>
      <c r="V1068" s="1788"/>
      <c r="W1068" s="1788"/>
      <c r="X1068" s="1788"/>
      <c r="Y1068" s="1788"/>
      <c r="Z1068" s="1788"/>
      <c r="AA1068" s="1788"/>
      <c r="AB1068" s="1788"/>
      <c r="AC1068" s="1788"/>
      <c r="AD1068" s="1788"/>
      <c r="AE1068" s="1788"/>
      <c r="AF1068" s="1788"/>
      <c r="AG1068" s="1788"/>
      <c r="AH1068" s="1788"/>
      <c r="AI1068" s="1788"/>
      <c r="AJ1068" s="1788"/>
      <c r="AK1068" s="1788"/>
      <c r="AL1068" s="1788"/>
      <c r="AM1068" s="1788"/>
      <c r="AN1068" s="1788"/>
      <c r="AO1068" s="1788"/>
      <c r="AP1068" s="1788"/>
      <c r="AQ1068" s="1788"/>
      <c r="AR1068" s="1788"/>
      <c r="AS1068" s="13"/>
      <c r="AT1068" s="13"/>
      <c r="AV1068" s="1178"/>
      <c r="AW1068" s="1178"/>
      <c r="AX1068" s="1178"/>
      <c r="AY1068" s="1178"/>
    </row>
    <row r="1069" spans="1:54" ht="13" customHeight="1">
      <c r="A1069" s="133"/>
      <c r="B1069" s="13"/>
      <c r="C1069" s="1575"/>
      <c r="D1069" s="1575"/>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8"/>
      <c r="AW1069" s="1178"/>
      <c r="AX1069" s="1178"/>
      <c r="AY1069" s="1178"/>
    </row>
    <row r="1070" spans="1:54" ht="13" customHeight="1">
      <c r="A1070" s="1367" t="s">
        <v>807</v>
      </c>
      <c r="B1070" s="1367"/>
      <c r="C1070" s="1357">
        <v>3</v>
      </c>
      <c r="D1070" s="1357"/>
      <c r="E1070" s="1289" t="s">
        <v>1740</v>
      </c>
      <c r="F1070" s="1289"/>
      <c r="G1070" s="1289"/>
      <c r="H1070" s="1289"/>
      <c r="I1070" s="1289"/>
      <c r="J1070" s="1289"/>
      <c r="K1070" s="1289"/>
      <c r="L1070" s="1289"/>
      <c r="M1070" s="1289"/>
      <c r="N1070" s="1289"/>
      <c r="O1070" s="1289"/>
      <c r="P1070" s="1289"/>
      <c r="Q1070" s="1289"/>
      <c r="R1070" s="1289"/>
      <c r="S1070" s="1289"/>
      <c r="T1070" s="1289"/>
      <c r="U1070" s="1289"/>
      <c r="V1070" s="1289"/>
      <c r="W1070" s="1289"/>
      <c r="X1070" s="1289"/>
      <c r="Y1070" s="1289"/>
      <c r="Z1070" s="1289"/>
      <c r="AA1070" s="1289"/>
      <c r="AB1070" s="1289"/>
      <c r="AC1070" s="1289"/>
      <c r="AD1070" s="1289"/>
      <c r="AE1070" s="1289"/>
      <c r="AF1070" s="1289"/>
      <c r="AG1070" s="1289"/>
      <c r="AH1070" s="1289"/>
      <c r="AI1070" s="1289"/>
      <c r="AJ1070" s="1289"/>
      <c r="AK1070" s="1289"/>
      <c r="AL1070" s="1289"/>
      <c r="AM1070" s="1289"/>
      <c r="AN1070" s="1289"/>
      <c r="AO1070" s="1289"/>
      <c r="AP1070" s="1289"/>
      <c r="AQ1070" s="1289"/>
      <c r="AR1070" s="1289"/>
      <c r="AS1070" s="13"/>
      <c r="AT1070" s="1178"/>
      <c r="AV1070" s="1178"/>
      <c r="AW1070" s="1178"/>
      <c r="AX1070" s="1178"/>
      <c r="AY1070" s="1178"/>
    </row>
    <row r="1071" spans="1:54" ht="13" customHeight="1">
      <c r="A1071" s="1"/>
      <c r="B1071" s="1"/>
      <c r="C1071" s="1357"/>
      <c r="D1071" s="1357"/>
      <c r="E1071" s="1289"/>
      <c r="F1071" s="1289"/>
      <c r="G1071" s="1289"/>
      <c r="H1071" s="1289"/>
      <c r="I1071" s="1289"/>
      <c r="J1071" s="1289"/>
      <c r="K1071" s="1289"/>
      <c r="L1071" s="1289"/>
      <c r="M1071" s="1289"/>
      <c r="N1071" s="1289"/>
      <c r="O1071" s="1289"/>
      <c r="P1071" s="1289"/>
      <c r="Q1071" s="1289"/>
      <c r="R1071" s="1289"/>
      <c r="S1071" s="1289"/>
      <c r="T1071" s="1289"/>
      <c r="U1071" s="1289"/>
      <c r="V1071" s="1289"/>
      <c r="W1071" s="1289"/>
      <c r="X1071" s="1289"/>
      <c r="Y1071" s="1289"/>
      <c r="Z1071" s="1289"/>
      <c r="AA1071" s="1289"/>
      <c r="AB1071" s="1289"/>
      <c r="AC1071" s="1289"/>
      <c r="AD1071" s="1289"/>
      <c r="AE1071" s="1289"/>
      <c r="AF1071" s="1289"/>
      <c r="AG1071" s="1289"/>
      <c r="AH1071" s="1289"/>
      <c r="AI1071" s="1289"/>
      <c r="AJ1071" s="1289"/>
      <c r="AK1071" s="1289"/>
      <c r="AL1071" s="1289"/>
      <c r="AM1071" s="1289"/>
      <c r="AN1071" s="1289"/>
      <c r="AO1071" s="1289"/>
      <c r="AP1071" s="1289"/>
      <c r="AQ1071" s="1289"/>
      <c r="AR1071" s="1289"/>
      <c r="AS1071" s="13"/>
      <c r="AT1071" s="1178"/>
      <c r="AV1071" s="1178"/>
      <c r="AW1071" s="1178"/>
      <c r="AX1071" s="1178"/>
      <c r="AY1071" s="1178"/>
    </row>
    <row r="1072" spans="1:54" ht="13" customHeight="1">
      <c r="A1072" s="1"/>
      <c r="B1072" s="1"/>
      <c r="C1072" s="1357"/>
      <c r="D1072" s="1357"/>
      <c r="E1072" s="1289"/>
      <c r="F1072" s="1289"/>
      <c r="G1072" s="1289"/>
      <c r="H1072" s="1289"/>
      <c r="I1072" s="1289"/>
      <c r="J1072" s="1289"/>
      <c r="K1072" s="1289"/>
      <c r="L1072" s="1289"/>
      <c r="M1072" s="1289"/>
      <c r="N1072" s="1289"/>
      <c r="O1072" s="1289"/>
      <c r="P1072" s="1289"/>
      <c r="Q1072" s="1289"/>
      <c r="R1072" s="1289"/>
      <c r="S1072" s="1289"/>
      <c r="T1072" s="1289"/>
      <c r="U1072" s="1289"/>
      <c r="V1072" s="1289"/>
      <c r="W1072" s="1289"/>
      <c r="X1072" s="1289"/>
      <c r="Y1072" s="1289"/>
      <c r="Z1072" s="1289"/>
      <c r="AA1072" s="1289"/>
      <c r="AB1072" s="1289"/>
      <c r="AC1072" s="1289"/>
      <c r="AD1072" s="1289"/>
      <c r="AE1072" s="1289"/>
      <c r="AF1072" s="1289"/>
      <c r="AG1072" s="1289"/>
      <c r="AH1072" s="1289"/>
      <c r="AI1072" s="1289"/>
      <c r="AJ1072" s="1289"/>
      <c r="AK1072" s="1289"/>
      <c r="AL1072" s="1289"/>
      <c r="AM1072" s="1289"/>
      <c r="AN1072" s="1289"/>
      <c r="AO1072" s="1289"/>
      <c r="AP1072" s="1289"/>
      <c r="AQ1072" s="1289"/>
      <c r="AR1072" s="1289"/>
      <c r="AS1072" s="13"/>
      <c r="AT1072" s="1178"/>
      <c r="AV1072" s="1178"/>
      <c r="AW1072" s="1178"/>
      <c r="AX1072" s="1178"/>
      <c r="AY1072" s="1178"/>
    </row>
    <row r="1073" spans="1:51" ht="13" customHeight="1">
      <c r="A1073" s="1"/>
      <c r="B1073" s="1"/>
      <c r="C1073" s="1357"/>
      <c r="D1073" s="1357"/>
      <c r="E1073" s="1289"/>
      <c r="F1073" s="1289"/>
      <c r="G1073" s="1289"/>
      <c r="H1073" s="1289"/>
      <c r="I1073" s="1289"/>
      <c r="J1073" s="1289"/>
      <c r="K1073" s="1289"/>
      <c r="L1073" s="1289"/>
      <c r="M1073" s="1289"/>
      <c r="N1073" s="1289"/>
      <c r="O1073" s="1289"/>
      <c r="P1073" s="1289"/>
      <c r="Q1073" s="1289"/>
      <c r="R1073" s="1289"/>
      <c r="S1073" s="1289"/>
      <c r="T1073" s="1289"/>
      <c r="U1073" s="1289"/>
      <c r="V1073" s="1289"/>
      <c r="W1073" s="1289"/>
      <c r="X1073" s="1289"/>
      <c r="Y1073" s="1289"/>
      <c r="Z1073" s="1289"/>
      <c r="AA1073" s="1289"/>
      <c r="AB1073" s="1289"/>
      <c r="AC1073" s="1289"/>
      <c r="AD1073" s="1289"/>
      <c r="AE1073" s="1289"/>
      <c r="AF1073" s="1289"/>
      <c r="AG1073" s="1289"/>
      <c r="AH1073" s="1289"/>
      <c r="AI1073" s="1289"/>
      <c r="AJ1073" s="1289"/>
      <c r="AK1073" s="1289"/>
      <c r="AL1073" s="1289"/>
      <c r="AM1073" s="1289"/>
      <c r="AN1073" s="1289"/>
      <c r="AO1073" s="1289"/>
      <c r="AP1073" s="1289"/>
      <c r="AQ1073" s="1289"/>
      <c r="AR1073" s="1289"/>
      <c r="AS1073" s="13"/>
      <c r="AT1073" s="1178"/>
      <c r="AV1073" s="1178"/>
      <c r="AW1073" s="1178"/>
      <c r="AX1073" s="1178"/>
      <c r="AY1073" s="1178"/>
    </row>
    <row r="1074" spans="1:51" ht="13" customHeight="1">
      <c r="A1074" s="2"/>
      <c r="B1074" s="21"/>
      <c r="C1074" s="1357"/>
      <c r="D1074" s="1357"/>
      <c r="E1074" s="356"/>
      <c r="F1074" s="356"/>
      <c r="G1074" s="356"/>
      <c r="H1074" s="356"/>
      <c r="I1074" s="356"/>
      <c r="J1074" s="356"/>
      <c r="K1074" s="356"/>
      <c r="L1074" s="356"/>
      <c r="M1074" s="356"/>
      <c r="N1074" s="356"/>
      <c r="O1074" s="356"/>
      <c r="P1074" s="356"/>
      <c r="Q1074" s="356"/>
      <c r="R1074" s="356"/>
      <c r="S1074" s="356"/>
      <c r="T1074" s="356"/>
      <c r="U1074" s="356"/>
      <c r="V1074" s="356"/>
      <c r="W1074" s="356"/>
      <c r="X1074" s="356"/>
      <c r="Y1074" s="356"/>
      <c r="Z1074" s="356"/>
      <c r="AA1074" s="356"/>
      <c r="AB1074" s="356"/>
      <c r="AC1074" s="356"/>
      <c r="AD1074" s="356"/>
      <c r="AE1074" s="356"/>
      <c r="AF1074" s="356"/>
      <c r="AG1074" s="356"/>
      <c r="AH1074" s="356"/>
      <c r="AI1074" s="356"/>
      <c r="AJ1074" s="356"/>
      <c r="AK1074" s="356"/>
      <c r="AL1074" s="1178"/>
      <c r="AM1074" s="1178"/>
      <c r="AN1074" s="1178"/>
      <c r="AO1074" s="1178"/>
      <c r="AP1074" s="1178"/>
      <c r="AQ1074" s="1178"/>
      <c r="AR1074" s="1178"/>
      <c r="AS1074" s="13"/>
      <c r="AT1074" s="1178"/>
      <c r="AV1074" s="1178"/>
      <c r="AW1074" s="1178"/>
      <c r="AX1074" s="1178"/>
      <c r="AY1074" s="1178"/>
    </row>
    <row r="1075" spans="1:51" ht="13" customHeight="1">
      <c r="A1075" s="1367" t="s">
        <v>807</v>
      </c>
      <c r="B1075" s="1367"/>
      <c r="C1075" s="1357">
        <v>4</v>
      </c>
      <c r="D1075" s="1357"/>
      <c r="E1075" s="1289" t="s">
        <v>1741</v>
      </c>
      <c r="F1075" s="1289"/>
      <c r="G1075" s="1289"/>
      <c r="H1075" s="1289"/>
      <c r="I1075" s="1289"/>
      <c r="J1075" s="1289"/>
      <c r="K1075" s="1289"/>
      <c r="L1075" s="1289"/>
      <c r="M1075" s="1289"/>
      <c r="N1075" s="1289"/>
      <c r="O1075" s="1289"/>
      <c r="P1075" s="1289"/>
      <c r="Q1075" s="1289"/>
      <c r="R1075" s="1289"/>
      <c r="S1075" s="1289"/>
      <c r="T1075" s="1289"/>
      <c r="U1075" s="1289"/>
      <c r="V1075" s="1289"/>
      <c r="W1075" s="1289"/>
      <c r="X1075" s="1289"/>
      <c r="Y1075" s="1289"/>
      <c r="Z1075" s="1289"/>
      <c r="AA1075" s="1289"/>
      <c r="AB1075" s="1289"/>
      <c r="AC1075" s="1289"/>
      <c r="AD1075" s="1289"/>
      <c r="AE1075" s="1289"/>
      <c r="AF1075" s="1289"/>
      <c r="AG1075" s="1289"/>
      <c r="AH1075" s="1289"/>
      <c r="AI1075" s="1289"/>
      <c r="AJ1075" s="1289"/>
      <c r="AK1075" s="1289"/>
      <c r="AL1075" s="1289"/>
      <c r="AM1075" s="1289"/>
      <c r="AN1075" s="1289"/>
      <c r="AO1075" s="1289"/>
      <c r="AP1075" s="1289"/>
      <c r="AQ1075" s="1289"/>
      <c r="AR1075" s="1289"/>
      <c r="AS1075" s="13"/>
      <c r="AT1075" s="1178"/>
    </row>
    <row r="1076" spans="1:51" ht="13" customHeight="1">
      <c r="A1076" s="1"/>
      <c r="B1076" s="1"/>
      <c r="C1076" s="1357"/>
      <c r="D1076" s="1357"/>
      <c r="E1076" s="1289"/>
      <c r="F1076" s="1289"/>
      <c r="G1076" s="1289"/>
      <c r="H1076" s="1289"/>
      <c r="I1076" s="1289"/>
      <c r="J1076" s="1289"/>
      <c r="K1076" s="1289"/>
      <c r="L1076" s="1289"/>
      <c r="M1076" s="1289"/>
      <c r="N1076" s="1289"/>
      <c r="O1076" s="1289"/>
      <c r="P1076" s="1289"/>
      <c r="Q1076" s="1289"/>
      <c r="R1076" s="1289"/>
      <c r="S1076" s="1289"/>
      <c r="T1076" s="1289"/>
      <c r="U1076" s="1289"/>
      <c r="V1076" s="1289"/>
      <c r="W1076" s="1289"/>
      <c r="X1076" s="1289"/>
      <c r="Y1076" s="1289"/>
      <c r="Z1076" s="1289"/>
      <c r="AA1076" s="1289"/>
      <c r="AB1076" s="1289"/>
      <c r="AC1076" s="1289"/>
      <c r="AD1076" s="1289"/>
      <c r="AE1076" s="1289"/>
      <c r="AF1076" s="1289"/>
      <c r="AG1076" s="1289"/>
      <c r="AH1076" s="1289"/>
      <c r="AI1076" s="1289"/>
      <c r="AJ1076" s="1289"/>
      <c r="AK1076" s="1289"/>
      <c r="AL1076" s="1289"/>
      <c r="AM1076" s="1289"/>
      <c r="AN1076" s="1289"/>
      <c r="AO1076" s="1289"/>
      <c r="AP1076" s="1289"/>
      <c r="AQ1076" s="1289"/>
      <c r="AR1076" s="1289"/>
      <c r="AS1076" s="13"/>
      <c r="AT1076" s="1178"/>
    </row>
    <row r="1077" spans="1:51" ht="13" customHeight="1">
      <c r="A1077" s="1"/>
      <c r="B1077" s="1"/>
      <c r="C1077" s="1357"/>
      <c r="D1077" s="1357"/>
      <c r="E1077" s="1289"/>
      <c r="F1077" s="1289"/>
      <c r="G1077" s="1289"/>
      <c r="H1077" s="1289"/>
      <c r="I1077" s="1289"/>
      <c r="J1077" s="1289"/>
      <c r="K1077" s="1289"/>
      <c r="L1077" s="1289"/>
      <c r="M1077" s="1289"/>
      <c r="N1077" s="1289"/>
      <c r="O1077" s="1289"/>
      <c r="P1077" s="1289"/>
      <c r="Q1077" s="1289"/>
      <c r="R1077" s="1289"/>
      <c r="S1077" s="1289"/>
      <c r="T1077" s="1289"/>
      <c r="U1077" s="1289"/>
      <c r="V1077" s="1289"/>
      <c r="W1077" s="1289"/>
      <c r="X1077" s="1289"/>
      <c r="Y1077" s="1289"/>
      <c r="Z1077" s="1289"/>
      <c r="AA1077" s="1289"/>
      <c r="AB1077" s="1289"/>
      <c r="AC1077" s="1289"/>
      <c r="AD1077" s="1289"/>
      <c r="AE1077" s="1289"/>
      <c r="AF1077" s="1289"/>
      <c r="AG1077" s="1289"/>
      <c r="AH1077" s="1289"/>
      <c r="AI1077" s="1289"/>
      <c r="AJ1077" s="1289"/>
      <c r="AK1077" s="1289"/>
      <c r="AL1077" s="1289"/>
      <c r="AM1077" s="1289"/>
      <c r="AN1077" s="1289"/>
      <c r="AO1077" s="1289"/>
      <c r="AP1077" s="1289"/>
      <c r="AQ1077" s="1289"/>
      <c r="AR1077" s="1289"/>
      <c r="AS1077" s="13"/>
      <c r="AT1077" s="1178"/>
    </row>
    <row r="1078" spans="1:51" ht="13" customHeight="1">
      <c r="A1078" s="1"/>
      <c r="B1078" s="1"/>
      <c r="C1078" s="1357"/>
      <c r="D1078" s="1357"/>
      <c r="E1078" s="1289"/>
      <c r="F1078" s="1289"/>
      <c r="G1078" s="1289"/>
      <c r="H1078" s="1289"/>
      <c r="I1078" s="1289"/>
      <c r="J1078" s="1289"/>
      <c r="K1078" s="1289"/>
      <c r="L1078" s="1289"/>
      <c r="M1078" s="1289"/>
      <c r="N1078" s="1289"/>
      <c r="O1078" s="1289"/>
      <c r="P1078" s="1289"/>
      <c r="Q1078" s="1289"/>
      <c r="R1078" s="1289"/>
      <c r="S1078" s="1289"/>
      <c r="T1078" s="1289"/>
      <c r="U1078" s="1289"/>
      <c r="V1078" s="1289"/>
      <c r="W1078" s="1289"/>
      <c r="X1078" s="1289"/>
      <c r="Y1078" s="1289"/>
      <c r="Z1078" s="1289"/>
      <c r="AA1078" s="1289"/>
      <c r="AB1078" s="1289"/>
      <c r="AC1078" s="1289"/>
      <c r="AD1078" s="1289"/>
      <c r="AE1078" s="1289"/>
      <c r="AF1078" s="1289"/>
      <c r="AG1078" s="1289"/>
      <c r="AH1078" s="1289"/>
      <c r="AI1078" s="1289"/>
      <c r="AJ1078" s="1289"/>
      <c r="AK1078" s="1289"/>
      <c r="AL1078" s="1289"/>
      <c r="AM1078" s="1289"/>
      <c r="AN1078" s="1289"/>
      <c r="AO1078" s="1289"/>
      <c r="AP1078" s="1289"/>
      <c r="AQ1078" s="1289"/>
      <c r="AR1078" s="1289"/>
      <c r="AS1078" s="13"/>
      <c r="AT1078" s="1178"/>
    </row>
    <row r="1079" spans="1:51" ht="13" customHeight="1">
      <c r="A1079" s="1"/>
      <c r="B1079" s="1"/>
      <c r="C1079" s="1357"/>
      <c r="D1079" s="1357"/>
      <c r="E1079" s="1289"/>
      <c r="F1079" s="1289"/>
      <c r="G1079" s="1289"/>
      <c r="H1079" s="1289"/>
      <c r="I1079" s="1289"/>
      <c r="J1079" s="1289"/>
      <c r="K1079" s="1289"/>
      <c r="L1079" s="1289"/>
      <c r="M1079" s="1289"/>
      <c r="N1079" s="1289"/>
      <c r="O1079" s="1289"/>
      <c r="P1079" s="1289"/>
      <c r="Q1079" s="1289"/>
      <c r="R1079" s="1289"/>
      <c r="S1079" s="1289"/>
      <c r="T1079" s="1289"/>
      <c r="U1079" s="1289"/>
      <c r="V1079" s="1289"/>
      <c r="W1079" s="1289"/>
      <c r="X1079" s="1289"/>
      <c r="Y1079" s="1289"/>
      <c r="Z1079" s="1289"/>
      <c r="AA1079" s="1289"/>
      <c r="AB1079" s="1289"/>
      <c r="AC1079" s="1289"/>
      <c r="AD1079" s="1289"/>
      <c r="AE1079" s="1289"/>
      <c r="AF1079" s="1289"/>
      <c r="AG1079" s="1289"/>
      <c r="AH1079" s="1289"/>
      <c r="AI1079" s="1289"/>
      <c r="AJ1079" s="1289"/>
      <c r="AK1079" s="1289"/>
      <c r="AL1079" s="1289"/>
      <c r="AM1079" s="1289"/>
      <c r="AN1079" s="1289"/>
      <c r="AO1079" s="1289"/>
      <c r="AP1079" s="1289"/>
      <c r="AQ1079" s="1289"/>
      <c r="AR1079" s="1289"/>
      <c r="AS1079" s="13"/>
      <c r="AT1079" s="1178"/>
    </row>
    <row r="1080" spans="1:51" ht="13" customHeight="1">
      <c r="A1080" s="1"/>
      <c r="B1080" s="1"/>
      <c r="C1080" s="1357"/>
      <c r="D1080" s="1357"/>
      <c r="E1080" s="356"/>
      <c r="F1080" s="356"/>
      <c r="G1080" s="356"/>
      <c r="H1080" s="356"/>
      <c r="I1080" s="356"/>
      <c r="J1080" s="356"/>
      <c r="K1080" s="356"/>
      <c r="L1080" s="356"/>
      <c r="M1080" s="356"/>
      <c r="N1080" s="356"/>
      <c r="O1080" s="356"/>
      <c r="P1080" s="356"/>
      <c r="Q1080" s="356"/>
      <c r="R1080" s="356"/>
      <c r="S1080" s="356"/>
      <c r="T1080" s="356"/>
      <c r="U1080" s="356"/>
      <c r="V1080" s="356"/>
      <c r="W1080" s="356"/>
      <c r="X1080" s="356"/>
      <c r="Y1080" s="356"/>
      <c r="Z1080" s="356"/>
      <c r="AA1080" s="356"/>
      <c r="AB1080" s="356"/>
      <c r="AC1080" s="356"/>
      <c r="AD1080" s="356"/>
      <c r="AE1080" s="356"/>
      <c r="AF1080" s="356"/>
      <c r="AG1080" s="356"/>
      <c r="AH1080" s="356"/>
      <c r="AI1080" s="356"/>
      <c r="AJ1080" s="356"/>
      <c r="AK1080" s="356"/>
      <c r="AS1080" s="13"/>
    </row>
    <row r="1081" spans="1:51" ht="13" customHeight="1">
      <c r="A1081" s="1367" t="s">
        <v>807</v>
      </c>
      <c r="B1081" s="1367"/>
      <c r="C1081" s="1357">
        <v>5</v>
      </c>
      <c r="D1081" s="1357"/>
      <c r="E1081" s="1289" t="s">
        <v>1742</v>
      </c>
      <c r="F1081" s="1289"/>
      <c r="G1081" s="1289"/>
      <c r="H1081" s="1289"/>
      <c r="I1081" s="1289"/>
      <c r="J1081" s="1289"/>
      <c r="K1081" s="1289"/>
      <c r="L1081" s="1289"/>
      <c r="M1081" s="1289"/>
      <c r="N1081" s="1289"/>
      <c r="O1081" s="1289"/>
      <c r="P1081" s="1289"/>
      <c r="Q1081" s="1289"/>
      <c r="R1081" s="1289"/>
      <c r="S1081" s="1289"/>
      <c r="T1081" s="1289"/>
      <c r="U1081" s="1289"/>
      <c r="V1081" s="1289"/>
      <c r="W1081" s="1289"/>
      <c r="X1081" s="1289"/>
      <c r="Y1081" s="1289"/>
      <c r="Z1081" s="1289"/>
      <c r="AA1081" s="1289"/>
      <c r="AB1081" s="1289"/>
      <c r="AC1081" s="1289"/>
      <c r="AD1081" s="1289"/>
      <c r="AE1081" s="1289"/>
      <c r="AF1081" s="1289"/>
      <c r="AG1081" s="1289"/>
      <c r="AH1081" s="1289"/>
      <c r="AI1081" s="1289"/>
      <c r="AJ1081" s="1289"/>
      <c r="AK1081" s="1289"/>
      <c r="AL1081" s="1289"/>
      <c r="AM1081" s="1289"/>
      <c r="AN1081" s="1289"/>
      <c r="AO1081" s="1289"/>
      <c r="AP1081" s="1289"/>
      <c r="AQ1081" s="1289"/>
      <c r="AR1081" s="1289"/>
      <c r="AS1081" s="13"/>
    </row>
    <row r="1082" spans="1:51" ht="13" customHeight="1">
      <c r="A1082" s="3"/>
      <c r="B1082" s="3"/>
      <c r="C1082" s="1357"/>
      <c r="D1082" s="1357"/>
      <c r="E1082" s="1289"/>
      <c r="F1082" s="1289"/>
      <c r="G1082" s="1289"/>
      <c r="H1082" s="1289"/>
      <c r="I1082" s="1289"/>
      <c r="J1082" s="1289"/>
      <c r="K1082" s="1289"/>
      <c r="L1082" s="1289"/>
      <c r="M1082" s="1289"/>
      <c r="N1082" s="1289"/>
      <c r="O1082" s="1289"/>
      <c r="P1082" s="1289"/>
      <c r="Q1082" s="1289"/>
      <c r="R1082" s="1289"/>
      <c r="S1082" s="1289"/>
      <c r="T1082" s="1289"/>
      <c r="U1082" s="1289"/>
      <c r="V1082" s="1289"/>
      <c r="W1082" s="1289"/>
      <c r="X1082" s="1289"/>
      <c r="Y1082" s="1289"/>
      <c r="Z1082" s="1289"/>
      <c r="AA1082" s="1289"/>
      <c r="AB1082" s="1289"/>
      <c r="AC1082" s="1289"/>
      <c r="AD1082" s="1289"/>
      <c r="AE1082" s="1289"/>
      <c r="AF1082" s="1289"/>
      <c r="AG1082" s="1289"/>
      <c r="AH1082" s="1289"/>
      <c r="AI1082" s="1289"/>
      <c r="AJ1082" s="1289"/>
      <c r="AK1082" s="1289"/>
      <c r="AL1082" s="1289"/>
      <c r="AM1082" s="1289"/>
      <c r="AN1082" s="1289"/>
      <c r="AO1082" s="1289"/>
      <c r="AP1082" s="1289"/>
      <c r="AQ1082" s="1289"/>
      <c r="AR1082" s="1289"/>
      <c r="AS1082" s="13"/>
    </row>
    <row r="1083" spans="1:51" ht="13" customHeight="1">
      <c r="A1083" s="3"/>
      <c r="B1083" s="3"/>
      <c r="C1083" s="1357"/>
      <c r="D1083" s="1357"/>
      <c r="E1083" s="1289"/>
      <c r="F1083" s="1289"/>
      <c r="G1083" s="1289"/>
      <c r="H1083" s="1289"/>
      <c r="I1083" s="1289"/>
      <c r="J1083" s="1289"/>
      <c r="K1083" s="1289"/>
      <c r="L1083" s="1289"/>
      <c r="M1083" s="1289"/>
      <c r="N1083" s="1289"/>
      <c r="O1083" s="1289"/>
      <c r="P1083" s="1289"/>
      <c r="Q1083" s="1289"/>
      <c r="R1083" s="1289"/>
      <c r="S1083" s="1289"/>
      <c r="T1083" s="1289"/>
      <c r="U1083" s="1289"/>
      <c r="V1083" s="1289"/>
      <c r="W1083" s="1289"/>
      <c r="X1083" s="1289"/>
      <c r="Y1083" s="1289"/>
      <c r="Z1083" s="1289"/>
      <c r="AA1083" s="1289"/>
      <c r="AB1083" s="1289"/>
      <c r="AC1083" s="1289"/>
      <c r="AD1083" s="1289"/>
      <c r="AE1083" s="1289"/>
      <c r="AF1083" s="1289"/>
      <c r="AG1083" s="1289"/>
      <c r="AH1083" s="1289"/>
      <c r="AI1083" s="1289"/>
      <c r="AJ1083" s="1289"/>
      <c r="AK1083" s="1289"/>
      <c r="AL1083" s="1289"/>
      <c r="AM1083" s="1289"/>
      <c r="AN1083" s="1289"/>
      <c r="AO1083" s="1289"/>
      <c r="AP1083" s="1289"/>
      <c r="AQ1083" s="1289"/>
      <c r="AR1083" s="1289"/>
      <c r="AS1083" s="13"/>
    </row>
    <row r="1084" spans="1:51" ht="13" customHeight="1">
      <c r="A1084" s="84"/>
      <c r="B1084" s="21"/>
      <c r="C1084" s="1357"/>
      <c r="D1084" s="1357"/>
      <c r="E1084" s="356"/>
      <c r="F1084" s="356"/>
      <c r="G1084" s="356"/>
      <c r="H1084" s="356"/>
      <c r="I1084" s="356"/>
      <c r="J1084" s="356"/>
      <c r="K1084" s="356"/>
      <c r="L1084" s="356"/>
      <c r="M1084" s="356"/>
      <c r="N1084" s="356"/>
      <c r="O1084" s="356"/>
      <c r="P1084" s="356"/>
      <c r="Q1084" s="356"/>
      <c r="R1084" s="356"/>
      <c r="S1084" s="356"/>
      <c r="T1084" s="356"/>
      <c r="U1084" s="356"/>
      <c r="V1084" s="356"/>
      <c r="W1084" s="356"/>
      <c r="X1084" s="356"/>
      <c r="Y1084" s="356"/>
      <c r="Z1084" s="356"/>
      <c r="AA1084" s="356"/>
      <c r="AB1084" s="356"/>
      <c r="AC1084" s="356"/>
      <c r="AD1084" s="356"/>
      <c r="AE1084" s="356"/>
      <c r="AF1084" s="356"/>
      <c r="AG1084" s="356"/>
      <c r="AH1084" s="356"/>
      <c r="AI1084" s="356"/>
      <c r="AJ1084" s="356"/>
      <c r="AK1084" s="356"/>
      <c r="AS1084" s="13"/>
    </row>
    <row r="1085" spans="1:51" ht="13" customHeight="1">
      <c r="A1085" s="1367" t="s">
        <v>807</v>
      </c>
      <c r="B1085" s="1367"/>
      <c r="C1085" s="1357">
        <v>6</v>
      </c>
      <c r="D1085" s="1357"/>
      <c r="E1085" s="1289" t="s">
        <v>1743</v>
      </c>
      <c r="F1085" s="1289"/>
      <c r="G1085" s="1289"/>
      <c r="H1085" s="1289"/>
      <c r="I1085" s="1289"/>
      <c r="J1085" s="1289"/>
      <c r="K1085" s="1289"/>
      <c r="L1085" s="1289"/>
      <c r="M1085" s="1289"/>
      <c r="N1085" s="1289"/>
      <c r="O1085" s="1289"/>
      <c r="P1085" s="1289"/>
      <c r="Q1085" s="1289"/>
      <c r="R1085" s="1289"/>
      <c r="S1085" s="1289"/>
      <c r="T1085" s="1289"/>
      <c r="U1085" s="1289"/>
      <c r="V1085" s="1289"/>
      <c r="W1085" s="1289"/>
      <c r="X1085" s="1289"/>
      <c r="Y1085" s="1289"/>
      <c r="Z1085" s="1289"/>
      <c r="AA1085" s="1289"/>
      <c r="AB1085" s="1289"/>
      <c r="AC1085" s="1289"/>
      <c r="AD1085" s="1289"/>
      <c r="AE1085" s="1289"/>
      <c r="AF1085" s="1289"/>
      <c r="AG1085" s="1289"/>
      <c r="AH1085" s="1289"/>
      <c r="AI1085" s="1289"/>
      <c r="AJ1085" s="1289"/>
      <c r="AK1085" s="1289"/>
      <c r="AL1085" s="1289"/>
      <c r="AM1085" s="1289"/>
      <c r="AN1085" s="1289"/>
      <c r="AO1085" s="1289"/>
      <c r="AP1085" s="1289"/>
      <c r="AQ1085" s="1289"/>
      <c r="AR1085" s="1289"/>
      <c r="AS1085" s="13"/>
    </row>
    <row r="1086" spans="1:51" ht="13" customHeight="1">
      <c r="A1086" s="1"/>
      <c r="B1086" s="1"/>
      <c r="C1086" s="1"/>
      <c r="D1086" s="1"/>
      <c r="E1086" s="1289"/>
      <c r="F1086" s="1289"/>
      <c r="G1086" s="1289"/>
      <c r="H1086" s="1289"/>
      <c r="I1086" s="1289"/>
      <c r="J1086" s="1289"/>
      <c r="K1086" s="1289"/>
      <c r="L1086" s="1289"/>
      <c r="M1086" s="1289"/>
      <c r="N1086" s="1289"/>
      <c r="O1086" s="1289"/>
      <c r="P1086" s="1289"/>
      <c r="Q1086" s="1289"/>
      <c r="R1086" s="1289"/>
      <c r="S1086" s="1289"/>
      <c r="T1086" s="1289"/>
      <c r="U1086" s="1289"/>
      <c r="V1086" s="1289"/>
      <c r="W1086" s="1289"/>
      <c r="X1086" s="1289"/>
      <c r="Y1086" s="1289"/>
      <c r="Z1086" s="1289"/>
      <c r="AA1086" s="1289"/>
      <c r="AB1086" s="1289"/>
      <c r="AC1086" s="1289"/>
      <c r="AD1086" s="1289"/>
      <c r="AE1086" s="1289"/>
      <c r="AF1086" s="1289"/>
      <c r="AG1086" s="1289"/>
      <c r="AH1086" s="1289"/>
      <c r="AI1086" s="1289"/>
      <c r="AJ1086" s="1289"/>
      <c r="AK1086" s="1289"/>
      <c r="AL1086" s="1289"/>
      <c r="AM1086" s="1289"/>
      <c r="AN1086" s="1289"/>
      <c r="AO1086" s="1289"/>
      <c r="AP1086" s="1289"/>
      <c r="AQ1086" s="1289"/>
      <c r="AR1086" s="1289"/>
      <c r="AS1086" s="13"/>
    </row>
    <row r="1087" spans="1:51" ht="13" customHeight="1">
      <c r="A1087" s="1"/>
      <c r="B1087" s="1"/>
      <c r="C1087" s="1357"/>
      <c r="D1087" s="1357"/>
      <c r="E1087" s="1289"/>
      <c r="F1087" s="1289"/>
      <c r="G1087" s="1289"/>
      <c r="H1087" s="1289"/>
      <c r="I1087" s="1289"/>
      <c r="J1087" s="1289"/>
      <c r="K1087" s="1289"/>
      <c r="L1087" s="1289"/>
      <c r="M1087" s="1289"/>
      <c r="N1087" s="1289"/>
      <c r="O1087" s="1289"/>
      <c r="P1087" s="1289"/>
      <c r="Q1087" s="1289"/>
      <c r="R1087" s="1289"/>
      <c r="S1087" s="1289"/>
      <c r="T1087" s="1289"/>
      <c r="U1087" s="1289"/>
      <c r="V1087" s="1289"/>
      <c r="W1087" s="1289"/>
      <c r="X1087" s="1289"/>
      <c r="Y1087" s="1289"/>
      <c r="Z1087" s="1289"/>
      <c r="AA1087" s="1289"/>
      <c r="AB1087" s="1289"/>
      <c r="AC1087" s="1289"/>
      <c r="AD1087" s="1289"/>
      <c r="AE1087" s="1289"/>
      <c r="AF1087" s="1289"/>
      <c r="AG1087" s="1289"/>
      <c r="AH1087" s="1289"/>
      <c r="AI1087" s="1289"/>
      <c r="AJ1087" s="1289"/>
      <c r="AK1087" s="1289"/>
      <c r="AL1087" s="1289"/>
      <c r="AM1087" s="1289"/>
      <c r="AN1087" s="1289"/>
      <c r="AO1087" s="1289"/>
      <c r="AP1087" s="1289"/>
      <c r="AQ1087" s="1289"/>
      <c r="AR1087" s="1289"/>
      <c r="AS1087" s="13"/>
    </row>
    <row r="1088" spans="1:51" ht="13" customHeight="1">
      <c r="A1088" s="84"/>
      <c r="B1088" s="21"/>
      <c r="C1088" s="1357"/>
      <c r="D1088" s="1357"/>
      <c r="E1088" s="356"/>
      <c r="F1088" s="356"/>
      <c r="G1088" s="356"/>
      <c r="H1088" s="356"/>
      <c r="I1088" s="356"/>
      <c r="J1088" s="356"/>
      <c r="K1088" s="356"/>
      <c r="L1088" s="356"/>
      <c r="M1088" s="356"/>
      <c r="N1088" s="356"/>
      <c r="O1088" s="356"/>
      <c r="P1088" s="356"/>
      <c r="Q1088" s="356"/>
      <c r="R1088" s="356"/>
      <c r="S1088" s="356"/>
      <c r="T1088" s="356"/>
      <c r="U1088" s="356"/>
      <c r="V1088" s="356"/>
      <c r="W1088" s="356"/>
      <c r="X1088" s="356"/>
      <c r="Y1088" s="356"/>
      <c r="Z1088" s="356"/>
      <c r="AA1088" s="356"/>
      <c r="AB1088" s="356"/>
      <c r="AC1088" s="356"/>
      <c r="AD1088" s="356"/>
      <c r="AE1088" s="356"/>
      <c r="AF1088" s="356"/>
      <c r="AG1088" s="356"/>
      <c r="AH1088" s="356"/>
      <c r="AI1088" s="356"/>
      <c r="AJ1088" s="356"/>
      <c r="AK1088" s="356"/>
      <c r="AS1088" s="13"/>
    </row>
    <row r="1089" spans="1:45" ht="13" customHeight="1">
      <c r="A1089" s="1367" t="s">
        <v>807</v>
      </c>
      <c r="B1089" s="1367"/>
      <c r="C1089" s="1357">
        <v>7</v>
      </c>
      <c r="D1089" s="1357"/>
      <c r="E1089" s="1289" t="s">
        <v>1744</v>
      </c>
      <c r="F1089" s="1289"/>
      <c r="G1089" s="1289"/>
      <c r="H1089" s="1289"/>
      <c r="I1089" s="1289"/>
      <c r="J1089" s="1289"/>
      <c r="K1089" s="1289"/>
      <c r="L1089" s="1289"/>
      <c r="M1089" s="1289"/>
      <c r="N1089" s="1289"/>
      <c r="O1089" s="1289"/>
      <c r="P1089" s="1289"/>
      <c r="Q1089" s="1289"/>
      <c r="R1089" s="1289"/>
      <c r="S1089" s="1289"/>
      <c r="T1089" s="1289"/>
      <c r="U1089" s="1289"/>
      <c r="V1089" s="1289"/>
      <c r="W1089" s="1289"/>
      <c r="X1089" s="1289"/>
      <c r="Y1089" s="1289"/>
      <c r="Z1089" s="1289"/>
      <c r="AA1089" s="1289"/>
      <c r="AB1089" s="1289"/>
      <c r="AC1089" s="1289"/>
      <c r="AD1089" s="1289"/>
      <c r="AE1089" s="1289"/>
      <c r="AF1089" s="1289"/>
      <c r="AG1089" s="1289"/>
      <c r="AH1089" s="1289"/>
      <c r="AI1089" s="1289"/>
      <c r="AJ1089" s="1289"/>
      <c r="AK1089" s="1289"/>
      <c r="AL1089" s="1289"/>
      <c r="AM1089" s="1289"/>
      <c r="AN1089" s="1289"/>
      <c r="AO1089" s="1289"/>
      <c r="AP1089" s="1289"/>
      <c r="AQ1089" s="1289"/>
      <c r="AR1089" s="1289"/>
      <c r="AS1089" s="13"/>
    </row>
    <row r="1090" spans="1:45" ht="13" customHeight="1">
      <c r="A1090" s="1"/>
      <c r="B1090" s="1"/>
      <c r="C1090" s="1357"/>
      <c r="D1090" s="1357"/>
      <c r="E1090" s="1289"/>
      <c r="F1090" s="1289"/>
      <c r="G1090" s="1289"/>
      <c r="H1090" s="1289"/>
      <c r="I1090" s="1289"/>
      <c r="J1090" s="1289"/>
      <c r="K1090" s="1289"/>
      <c r="L1090" s="1289"/>
      <c r="M1090" s="1289"/>
      <c r="N1090" s="1289"/>
      <c r="O1090" s="1289"/>
      <c r="P1090" s="1289"/>
      <c r="Q1090" s="1289"/>
      <c r="R1090" s="1289"/>
      <c r="S1090" s="1289"/>
      <c r="T1090" s="1289"/>
      <c r="U1090" s="1289"/>
      <c r="V1090" s="1289"/>
      <c r="W1090" s="1289"/>
      <c r="X1090" s="1289"/>
      <c r="Y1090" s="1289"/>
      <c r="Z1090" s="1289"/>
      <c r="AA1090" s="1289"/>
      <c r="AB1090" s="1289"/>
      <c r="AC1090" s="1289"/>
      <c r="AD1090" s="1289"/>
      <c r="AE1090" s="1289"/>
      <c r="AF1090" s="1289"/>
      <c r="AG1090" s="1289"/>
      <c r="AH1090" s="1289"/>
      <c r="AI1090" s="1289"/>
      <c r="AJ1090" s="1289"/>
      <c r="AK1090" s="1289"/>
      <c r="AL1090" s="1289"/>
      <c r="AM1090" s="1289"/>
      <c r="AN1090" s="1289"/>
      <c r="AO1090" s="1289"/>
      <c r="AP1090" s="1289"/>
      <c r="AQ1090" s="1289"/>
      <c r="AR1090" s="1289"/>
      <c r="AS1090" s="13"/>
    </row>
    <row r="1091" spans="1:45" ht="13" customHeight="1">
      <c r="A1091" s="1"/>
      <c r="B1091" s="1"/>
      <c r="C1091" s="1357"/>
      <c r="D1091" s="1357"/>
      <c r="E1091" s="1289"/>
      <c r="F1091" s="1289"/>
      <c r="G1091" s="1289"/>
      <c r="H1091" s="1289"/>
      <c r="I1091" s="1289"/>
      <c r="J1091" s="1289"/>
      <c r="K1091" s="1289"/>
      <c r="L1091" s="1289"/>
      <c r="M1091" s="1289"/>
      <c r="N1091" s="1289"/>
      <c r="O1091" s="1289"/>
      <c r="P1091" s="1289"/>
      <c r="Q1091" s="1289"/>
      <c r="R1091" s="1289"/>
      <c r="S1091" s="1289"/>
      <c r="T1091" s="1289"/>
      <c r="U1091" s="1289"/>
      <c r="V1091" s="1289"/>
      <c r="W1091" s="1289"/>
      <c r="X1091" s="1289"/>
      <c r="Y1091" s="1289"/>
      <c r="Z1091" s="1289"/>
      <c r="AA1091" s="1289"/>
      <c r="AB1091" s="1289"/>
      <c r="AC1091" s="1289"/>
      <c r="AD1091" s="1289"/>
      <c r="AE1091" s="1289"/>
      <c r="AF1091" s="1289"/>
      <c r="AG1091" s="1289"/>
      <c r="AH1091" s="1289"/>
      <c r="AI1091" s="1289"/>
      <c r="AJ1091" s="1289"/>
      <c r="AK1091" s="1289"/>
      <c r="AL1091" s="1289"/>
      <c r="AM1091" s="1289"/>
      <c r="AN1091" s="1289"/>
      <c r="AO1091" s="1289"/>
      <c r="AP1091" s="1289"/>
      <c r="AQ1091" s="1289"/>
      <c r="AR1091" s="1289"/>
      <c r="AS1091" s="13"/>
    </row>
    <row r="1092" spans="1:45" ht="13" customHeight="1">
      <c r="A1092" s="1"/>
      <c r="B1092" s="1"/>
      <c r="C1092" s="1357"/>
      <c r="D1092" s="1357"/>
      <c r="E1092" s="356"/>
      <c r="F1092" s="356"/>
      <c r="G1092" s="356"/>
      <c r="H1092" s="356"/>
      <c r="I1092" s="356"/>
      <c r="J1092" s="356"/>
      <c r="K1092" s="356"/>
      <c r="L1092" s="356"/>
      <c r="M1092" s="356"/>
      <c r="N1092" s="356"/>
      <c r="O1092" s="356"/>
      <c r="P1092" s="356"/>
      <c r="Q1092" s="356"/>
      <c r="R1092" s="356"/>
      <c r="S1092" s="356"/>
      <c r="T1092" s="356"/>
      <c r="U1092" s="356"/>
      <c r="V1092" s="356"/>
      <c r="W1092" s="356"/>
      <c r="X1092" s="356"/>
      <c r="Y1092" s="356"/>
      <c r="Z1092" s="356"/>
      <c r="AA1092" s="356"/>
      <c r="AB1092" s="356"/>
      <c r="AC1092" s="356"/>
      <c r="AD1092" s="356"/>
      <c r="AE1092" s="356"/>
      <c r="AF1092" s="356"/>
      <c r="AG1092" s="356"/>
      <c r="AH1092" s="356"/>
      <c r="AI1092" s="356"/>
      <c r="AJ1092" s="356"/>
      <c r="AK1092" s="356"/>
    </row>
    <row r="1093" spans="1:45" ht="13" customHeight="1">
      <c r="A1093" s="84"/>
      <c r="B1093" s="21"/>
      <c r="C1093" s="1357"/>
      <c r="D1093" s="1357"/>
      <c r="E1093" s="356"/>
      <c r="F1093" s="356"/>
      <c r="G1093" s="356"/>
      <c r="H1093" s="356"/>
      <c r="I1093" s="356"/>
      <c r="J1093" s="356"/>
      <c r="K1093" s="356"/>
      <c r="L1093" s="356"/>
      <c r="M1093" s="356"/>
      <c r="N1093" s="356"/>
      <c r="O1093" s="356"/>
      <c r="P1093" s="356"/>
      <c r="Q1093" s="356"/>
      <c r="R1093" s="356"/>
      <c r="S1093" s="356"/>
      <c r="T1093" s="356"/>
      <c r="U1093" s="356"/>
      <c r="V1093" s="356"/>
      <c r="W1093" s="356"/>
      <c r="X1093" s="356"/>
      <c r="Y1093" s="356"/>
      <c r="Z1093" s="356"/>
      <c r="AA1093" s="356"/>
      <c r="AB1093" s="356"/>
      <c r="AC1093" s="356"/>
      <c r="AD1093" s="356"/>
      <c r="AE1093" s="356"/>
      <c r="AF1093" s="356"/>
      <c r="AG1093" s="356"/>
      <c r="AH1093" s="356"/>
      <c r="AI1093" s="356"/>
      <c r="AJ1093" s="356"/>
      <c r="AK1093" s="356"/>
    </row>
    <row r="1094" spans="1:45" ht="13" customHeight="1">
      <c r="A1094" s="1367" t="s">
        <v>807</v>
      </c>
      <c r="B1094" s="1367"/>
      <c r="C1094" s="1357">
        <v>8</v>
      </c>
      <c r="D1094" s="1357"/>
      <c r="E1094" s="1289" t="s">
        <v>1745</v>
      </c>
      <c r="F1094" s="1289"/>
      <c r="G1094" s="1289"/>
      <c r="H1094" s="1289"/>
      <c r="I1094" s="1289"/>
      <c r="J1094" s="1289"/>
      <c r="K1094" s="1289"/>
      <c r="L1094" s="1289"/>
      <c r="M1094" s="1289"/>
      <c r="N1094" s="1289"/>
      <c r="O1094" s="1289"/>
      <c r="P1094" s="1289"/>
      <c r="Q1094" s="1289"/>
      <c r="R1094" s="1289"/>
      <c r="S1094" s="1289"/>
      <c r="T1094" s="1289"/>
      <c r="U1094" s="1289"/>
      <c r="V1094" s="1289"/>
      <c r="W1094" s="1289"/>
      <c r="X1094" s="1289"/>
      <c r="Y1094" s="1289"/>
      <c r="Z1094" s="1289"/>
      <c r="AA1094" s="1289"/>
      <c r="AB1094" s="1289"/>
      <c r="AC1094" s="1289"/>
      <c r="AD1094" s="1289"/>
      <c r="AE1094" s="1289"/>
      <c r="AF1094" s="1289"/>
      <c r="AG1094" s="1289"/>
      <c r="AH1094" s="1289"/>
      <c r="AI1094" s="1289"/>
      <c r="AJ1094" s="1289"/>
      <c r="AK1094" s="1289"/>
      <c r="AL1094" s="1289"/>
      <c r="AM1094" s="1289"/>
      <c r="AN1094" s="1289"/>
      <c r="AO1094" s="1289"/>
      <c r="AP1094" s="1289"/>
      <c r="AQ1094" s="1289"/>
      <c r="AR1094" s="1289"/>
    </row>
    <row r="1095" spans="1:45" ht="13" customHeight="1">
      <c r="A1095" s="84"/>
      <c r="B1095" s="21"/>
      <c r="C1095" s="1357"/>
      <c r="D1095" s="1357"/>
      <c r="E1095" s="1289"/>
      <c r="F1095" s="1289"/>
      <c r="G1095" s="1289"/>
      <c r="H1095" s="1289"/>
      <c r="I1095" s="1289"/>
      <c r="J1095" s="1289"/>
      <c r="K1095" s="1289"/>
      <c r="L1095" s="1289"/>
      <c r="M1095" s="1289"/>
      <c r="N1095" s="1289"/>
      <c r="O1095" s="1289"/>
      <c r="P1095" s="1289"/>
      <c r="Q1095" s="1289"/>
      <c r="R1095" s="1289"/>
      <c r="S1095" s="1289"/>
      <c r="T1095" s="1289"/>
      <c r="U1095" s="1289"/>
      <c r="V1095" s="1289"/>
      <c r="W1095" s="1289"/>
      <c r="X1095" s="1289"/>
      <c r="Y1095" s="1289"/>
      <c r="Z1095" s="1289"/>
      <c r="AA1095" s="1289"/>
      <c r="AB1095" s="1289"/>
      <c r="AC1095" s="1289"/>
      <c r="AD1095" s="1289"/>
      <c r="AE1095" s="1289"/>
      <c r="AF1095" s="1289"/>
      <c r="AG1095" s="1289"/>
      <c r="AH1095" s="1289"/>
      <c r="AI1095" s="1289"/>
      <c r="AJ1095" s="1289"/>
      <c r="AK1095" s="1289"/>
      <c r="AL1095" s="1289"/>
      <c r="AM1095" s="1289"/>
      <c r="AN1095" s="1289"/>
      <c r="AO1095" s="1289"/>
      <c r="AP1095" s="1289"/>
      <c r="AQ1095" s="1289"/>
      <c r="AR1095" s="1289"/>
    </row>
    <row r="1096" spans="1:45" ht="13" customHeight="1">
      <c r="A1096" s="84"/>
      <c r="B1096" s="21"/>
      <c r="C1096" s="1357"/>
      <c r="D1096" s="1357"/>
      <c r="E1096" s="356"/>
      <c r="F1096" s="356"/>
      <c r="G1096" s="356"/>
      <c r="H1096" s="356"/>
      <c r="I1096" s="356"/>
      <c r="J1096" s="356"/>
      <c r="K1096" s="356"/>
      <c r="L1096" s="356"/>
      <c r="M1096" s="356"/>
      <c r="N1096" s="356"/>
      <c r="O1096" s="356"/>
      <c r="P1096" s="356"/>
      <c r="Q1096" s="356"/>
      <c r="R1096" s="356"/>
      <c r="S1096" s="356"/>
      <c r="T1096" s="356"/>
      <c r="U1096" s="356"/>
      <c r="V1096" s="356"/>
      <c r="W1096" s="356"/>
      <c r="X1096" s="356"/>
      <c r="Y1096" s="356"/>
      <c r="Z1096" s="356"/>
      <c r="AA1096" s="356"/>
      <c r="AB1096" s="356"/>
      <c r="AC1096" s="356"/>
      <c r="AD1096" s="356"/>
      <c r="AE1096" s="356"/>
      <c r="AF1096" s="356"/>
      <c r="AG1096" s="356"/>
      <c r="AH1096" s="356"/>
      <c r="AI1096" s="356"/>
      <c r="AJ1096" s="356"/>
      <c r="AK1096" s="356"/>
    </row>
    <row r="1097" spans="1:45" ht="13" customHeight="1">
      <c r="A1097" s="1367" t="s">
        <v>807</v>
      </c>
      <c r="B1097" s="1367"/>
      <c r="C1097" s="1575">
        <v>9</v>
      </c>
      <c r="D1097" s="1575"/>
      <c r="E1097" s="1289" t="s">
        <v>1746</v>
      </c>
      <c r="F1097" s="1289"/>
      <c r="G1097" s="1289"/>
      <c r="H1097" s="1289"/>
      <c r="I1097" s="1289"/>
      <c r="J1097" s="1289"/>
      <c r="K1097" s="1289"/>
      <c r="L1097" s="1289"/>
      <c r="M1097" s="1289"/>
      <c r="N1097" s="1289"/>
      <c r="O1097" s="1289"/>
      <c r="P1097" s="1289"/>
      <c r="Q1097" s="1289"/>
      <c r="R1097" s="1289"/>
      <c r="S1097" s="1289"/>
      <c r="T1097" s="1289"/>
      <c r="U1097" s="1289"/>
      <c r="V1097" s="1289"/>
      <c r="W1097" s="1289"/>
      <c r="X1097" s="1289"/>
      <c r="Y1097" s="1289"/>
      <c r="Z1097" s="1289"/>
      <c r="AA1097" s="1289"/>
      <c r="AB1097" s="1289"/>
      <c r="AC1097" s="1289"/>
      <c r="AD1097" s="1289"/>
      <c r="AE1097" s="1289"/>
      <c r="AF1097" s="1289"/>
      <c r="AG1097" s="1289"/>
      <c r="AH1097" s="1289"/>
      <c r="AI1097" s="1289"/>
      <c r="AJ1097" s="1289"/>
      <c r="AK1097" s="1289"/>
      <c r="AL1097" s="1289"/>
      <c r="AM1097" s="1289"/>
      <c r="AN1097" s="1289"/>
      <c r="AO1097" s="1289"/>
      <c r="AP1097" s="1289"/>
      <c r="AQ1097" s="1289"/>
      <c r="AR1097" s="1289"/>
    </row>
    <row r="1098" spans="1:45" ht="13" customHeight="1">
      <c r="A1098" s="1"/>
      <c r="B1098" s="1"/>
      <c r="C1098" s="1575"/>
      <c r="D1098" s="1575"/>
      <c r="E1098" s="1289"/>
      <c r="F1098" s="1289"/>
      <c r="G1098" s="1289"/>
      <c r="H1098" s="1289"/>
      <c r="I1098" s="1289"/>
      <c r="J1098" s="1289"/>
      <c r="K1098" s="1289"/>
      <c r="L1098" s="1289"/>
      <c r="M1098" s="1289"/>
      <c r="N1098" s="1289"/>
      <c r="O1098" s="1289"/>
      <c r="P1098" s="1289"/>
      <c r="Q1098" s="1289"/>
      <c r="R1098" s="1289"/>
      <c r="S1098" s="1289"/>
      <c r="T1098" s="1289"/>
      <c r="U1098" s="1289"/>
      <c r="V1098" s="1289"/>
      <c r="W1098" s="1289"/>
      <c r="X1098" s="1289"/>
      <c r="Y1098" s="1289"/>
      <c r="Z1098" s="1289"/>
      <c r="AA1098" s="1289"/>
      <c r="AB1098" s="1289"/>
      <c r="AC1098" s="1289"/>
      <c r="AD1098" s="1289"/>
      <c r="AE1098" s="1289"/>
      <c r="AF1098" s="1289"/>
      <c r="AG1098" s="1289"/>
      <c r="AH1098" s="1289"/>
      <c r="AI1098" s="1289"/>
      <c r="AJ1098" s="1289"/>
      <c r="AK1098" s="1289"/>
      <c r="AL1098" s="1289"/>
      <c r="AM1098" s="1289"/>
      <c r="AN1098" s="1289"/>
      <c r="AO1098" s="1289"/>
      <c r="AP1098" s="1289"/>
      <c r="AQ1098" s="1289"/>
      <c r="AR1098" s="1289"/>
    </row>
    <row r="1099" spans="1:45" ht="13" customHeight="1">
      <c r="A1099" s="84"/>
      <c r="B1099" s="21"/>
      <c r="C1099" s="1575"/>
      <c r="D1099" s="1575"/>
      <c r="E1099" s="356"/>
      <c r="F1099" s="356"/>
      <c r="G1099" s="356"/>
      <c r="H1099" s="356"/>
      <c r="I1099" s="356"/>
      <c r="J1099" s="356"/>
      <c r="K1099" s="356"/>
      <c r="L1099" s="356"/>
      <c r="M1099" s="356"/>
      <c r="N1099" s="356"/>
      <c r="O1099" s="356"/>
      <c r="P1099" s="356"/>
      <c r="Q1099" s="356"/>
      <c r="R1099" s="356"/>
      <c r="S1099" s="356"/>
      <c r="T1099" s="356"/>
      <c r="U1099" s="356"/>
      <c r="V1099" s="356"/>
      <c r="W1099" s="356"/>
      <c r="X1099" s="356"/>
      <c r="Y1099" s="356"/>
      <c r="Z1099" s="356"/>
      <c r="AA1099" s="356"/>
      <c r="AB1099" s="356"/>
      <c r="AC1099" s="356"/>
      <c r="AD1099" s="356"/>
      <c r="AE1099" s="356"/>
      <c r="AF1099" s="356"/>
      <c r="AG1099" s="356"/>
      <c r="AH1099" s="356"/>
      <c r="AI1099" s="356"/>
      <c r="AJ1099" s="356"/>
      <c r="AK1099" s="356"/>
    </row>
    <row r="1100" spans="1:45" ht="13" customHeight="1">
      <c r="A1100" s="1367" t="s">
        <v>807</v>
      </c>
      <c r="B1100" s="1367"/>
      <c r="C1100" s="1575">
        <v>10</v>
      </c>
      <c r="D1100" s="1575"/>
      <c r="E1100" s="1787" t="s">
        <v>1747</v>
      </c>
      <c r="F1100" s="1787"/>
      <c r="G1100" s="1787"/>
      <c r="H1100" s="1787"/>
      <c r="I1100" s="1787"/>
      <c r="J1100" s="1787"/>
      <c r="K1100" s="1787"/>
      <c r="L1100" s="1787"/>
      <c r="M1100" s="1787"/>
      <c r="N1100" s="1787"/>
      <c r="O1100" s="1787"/>
      <c r="P1100" s="1787"/>
      <c r="Q1100" s="1787"/>
      <c r="R1100" s="1787"/>
      <c r="S1100" s="1787"/>
      <c r="T1100" s="1787"/>
      <c r="U1100" s="1787"/>
      <c r="V1100" s="1787"/>
      <c r="W1100" s="1787"/>
      <c r="X1100" s="1787"/>
      <c r="Y1100" s="1787"/>
      <c r="Z1100" s="1787"/>
      <c r="AA1100" s="1787"/>
      <c r="AB1100" s="1787"/>
      <c r="AC1100" s="1787"/>
      <c r="AD1100" s="1787"/>
      <c r="AE1100" s="1787"/>
      <c r="AF1100" s="1787"/>
      <c r="AG1100" s="1787"/>
      <c r="AH1100" s="1787"/>
      <c r="AI1100" s="1787"/>
      <c r="AJ1100" s="1787"/>
      <c r="AK1100" s="1787"/>
      <c r="AL1100" s="1787"/>
      <c r="AM1100" s="1787"/>
      <c r="AN1100" s="1787"/>
      <c r="AO1100" s="1787"/>
      <c r="AP1100" s="1787"/>
      <c r="AQ1100" s="1787"/>
      <c r="AR1100" s="1787"/>
    </row>
    <row r="1101" spans="1:45" ht="13" customHeight="1">
      <c r="A1101" s="1"/>
      <c r="B1101" s="1"/>
      <c r="C1101" s="1202"/>
      <c r="D1101" s="1049"/>
      <c r="E1101" s="1787"/>
      <c r="F1101" s="1787"/>
      <c r="G1101" s="1787"/>
      <c r="H1101" s="1787"/>
      <c r="I1101" s="1787"/>
      <c r="J1101" s="1787"/>
      <c r="K1101" s="1787"/>
      <c r="L1101" s="1787"/>
      <c r="M1101" s="1787"/>
      <c r="N1101" s="1787"/>
      <c r="O1101" s="1787"/>
      <c r="P1101" s="1787"/>
      <c r="Q1101" s="1787"/>
      <c r="R1101" s="1787"/>
      <c r="S1101" s="1787"/>
      <c r="T1101" s="1787"/>
      <c r="U1101" s="1787"/>
      <c r="V1101" s="1787"/>
      <c r="W1101" s="1787"/>
      <c r="X1101" s="1787"/>
      <c r="Y1101" s="1787"/>
      <c r="Z1101" s="1787"/>
      <c r="AA1101" s="1787"/>
      <c r="AB1101" s="1787"/>
      <c r="AC1101" s="1787"/>
      <c r="AD1101" s="1787"/>
      <c r="AE1101" s="1787"/>
      <c r="AF1101" s="1787"/>
      <c r="AG1101" s="1787"/>
      <c r="AH1101" s="1787"/>
      <c r="AI1101" s="1787"/>
      <c r="AJ1101" s="1787"/>
      <c r="AK1101" s="1787"/>
      <c r="AL1101" s="1787"/>
      <c r="AM1101" s="1787"/>
      <c r="AN1101" s="1787"/>
      <c r="AO1101" s="1787"/>
      <c r="AP1101" s="1787"/>
      <c r="AQ1101" s="1787"/>
      <c r="AR1101" s="1787"/>
    </row>
    <row r="1102" spans="1:45" ht="13" customHeight="1">
      <c r="A1102" s="1"/>
      <c r="B1102" s="1"/>
      <c r="C1102" s="1202"/>
      <c r="D1102" s="1049"/>
      <c r="E1102" s="1049"/>
      <c r="F1102" s="1049"/>
      <c r="G1102" s="1049"/>
      <c r="H1102" s="1049"/>
      <c r="I1102" s="1049"/>
      <c r="J1102" s="1049"/>
      <c r="K1102" s="1049"/>
      <c r="L1102" s="1049"/>
      <c r="M1102" s="1049"/>
      <c r="N1102" s="1049"/>
      <c r="O1102" s="1049"/>
      <c r="P1102" s="1049"/>
      <c r="Q1102" s="1049"/>
      <c r="R1102" s="1049"/>
      <c r="S1102" s="1049"/>
      <c r="T1102" s="1049"/>
      <c r="U1102" s="1049"/>
      <c r="V1102" s="1049"/>
      <c r="W1102" s="1049"/>
      <c r="X1102" s="1049"/>
      <c r="Y1102" s="1049"/>
      <c r="Z1102" s="1049"/>
      <c r="AA1102" s="1049"/>
      <c r="AB1102" s="1049"/>
      <c r="AC1102" s="1049"/>
      <c r="AD1102" s="1049"/>
      <c r="AE1102" s="1049"/>
      <c r="AF1102" s="1049"/>
      <c r="AG1102" s="1049"/>
      <c r="AH1102" s="1049"/>
      <c r="AI1102" s="1049"/>
      <c r="AJ1102" s="1049"/>
      <c r="AK1102" s="1049"/>
    </row>
    <row r="1103" spans="1:45" ht="13" customHeight="1">
      <c r="A1103" s="1367" t="s">
        <v>807</v>
      </c>
      <c r="B1103" s="1367"/>
      <c r="C1103" s="1575">
        <v>11</v>
      </c>
      <c r="D1103" s="1575"/>
      <c r="E1103" s="1787" t="s">
        <v>1748</v>
      </c>
      <c r="F1103" s="1787"/>
      <c r="G1103" s="1787"/>
      <c r="H1103" s="1787"/>
      <c r="I1103" s="1787"/>
      <c r="J1103" s="1787"/>
      <c r="K1103" s="1787"/>
      <c r="L1103" s="1787"/>
      <c r="M1103" s="1787"/>
      <c r="N1103" s="1787"/>
      <c r="O1103" s="1787"/>
      <c r="P1103" s="1787"/>
      <c r="Q1103" s="1787"/>
      <c r="R1103" s="1787"/>
      <c r="S1103" s="1787"/>
      <c r="T1103" s="1787"/>
      <c r="U1103" s="1787"/>
      <c r="V1103" s="1787"/>
      <c r="W1103" s="1787"/>
      <c r="X1103" s="1787"/>
      <c r="Y1103" s="1787"/>
      <c r="Z1103" s="1787"/>
      <c r="AA1103" s="1787"/>
      <c r="AB1103" s="1787"/>
      <c r="AC1103" s="1787"/>
      <c r="AD1103" s="1787"/>
      <c r="AE1103" s="1787"/>
      <c r="AF1103" s="1787"/>
      <c r="AG1103" s="1787"/>
      <c r="AH1103" s="1787"/>
      <c r="AI1103" s="1787"/>
      <c r="AJ1103" s="1787"/>
      <c r="AK1103" s="1787"/>
      <c r="AL1103" s="1787"/>
      <c r="AM1103" s="1787"/>
      <c r="AN1103" s="1787"/>
      <c r="AO1103" s="1787"/>
      <c r="AP1103" s="1787"/>
      <c r="AQ1103" s="1787"/>
      <c r="AR1103" s="1787"/>
    </row>
    <row r="1104" spans="1:45" ht="13" customHeight="1">
      <c r="A1104" s="1"/>
      <c r="B1104" s="1"/>
      <c r="C1104" s="1202"/>
      <c r="D1104" s="1049"/>
      <c r="E1104" s="1787"/>
      <c r="F1104" s="1787"/>
      <c r="G1104" s="1787"/>
      <c r="H1104" s="1787"/>
      <c r="I1104" s="1787"/>
      <c r="J1104" s="1787"/>
      <c r="K1104" s="1787"/>
      <c r="L1104" s="1787"/>
      <c r="M1104" s="1787"/>
      <c r="N1104" s="1787"/>
      <c r="O1104" s="1787"/>
      <c r="P1104" s="1787"/>
      <c r="Q1104" s="1787"/>
      <c r="R1104" s="1787"/>
      <c r="S1104" s="1787"/>
      <c r="T1104" s="1787"/>
      <c r="U1104" s="1787"/>
      <c r="V1104" s="1787"/>
      <c r="W1104" s="1787"/>
      <c r="X1104" s="1787"/>
      <c r="Y1104" s="1787"/>
      <c r="Z1104" s="1787"/>
      <c r="AA1104" s="1787"/>
      <c r="AB1104" s="1787"/>
      <c r="AC1104" s="1787"/>
      <c r="AD1104" s="1787"/>
      <c r="AE1104" s="1787"/>
      <c r="AF1104" s="1787"/>
      <c r="AG1104" s="1787"/>
      <c r="AH1104" s="1787"/>
      <c r="AI1104" s="1787"/>
      <c r="AJ1104" s="1787"/>
      <c r="AK1104" s="1787"/>
      <c r="AL1104" s="1787"/>
      <c r="AM1104" s="1787"/>
      <c r="AN1104" s="1787"/>
      <c r="AO1104" s="1787"/>
      <c r="AP1104" s="1787"/>
      <c r="AQ1104" s="1787"/>
      <c r="AR1104" s="1787"/>
    </row>
    <row r="1105" spans="1:37" ht="13" customHeight="1">
      <c r="A1105" s="1"/>
      <c r="B1105" s="1"/>
      <c r="C1105" s="1202"/>
      <c r="D1105" s="1049"/>
      <c r="E1105" s="1049"/>
      <c r="F1105" s="1049"/>
      <c r="G1105" s="1049"/>
      <c r="H1105" s="1049"/>
      <c r="I1105" s="1049"/>
      <c r="J1105" s="1049"/>
      <c r="K1105" s="1049"/>
      <c r="L1105" s="1049"/>
      <c r="M1105" s="1049"/>
      <c r="N1105" s="1049"/>
      <c r="O1105" s="1049"/>
      <c r="P1105" s="1049"/>
      <c r="Q1105" s="1049"/>
      <c r="R1105" s="1049"/>
      <c r="S1105" s="1049"/>
      <c r="T1105" s="1049"/>
      <c r="U1105" s="1049"/>
      <c r="V1105" s="1049"/>
      <c r="W1105" s="1049"/>
      <c r="X1105" s="1049"/>
      <c r="Y1105" s="1049"/>
      <c r="Z1105" s="1049"/>
      <c r="AA1105" s="1049"/>
      <c r="AB1105" s="1049"/>
      <c r="AC1105" s="1049"/>
      <c r="AD1105" s="1049"/>
      <c r="AE1105" s="1049"/>
      <c r="AF1105" s="1049"/>
      <c r="AG1105" s="1049"/>
      <c r="AH1105" s="1049"/>
      <c r="AI1105" s="1049"/>
      <c r="AJ1105" s="1049"/>
      <c r="AK1105" s="1049"/>
    </row>
    <row r="1106" spans="1:37" ht="13" hidden="1" customHeight="1">
      <c r="A1106" s="1"/>
      <c r="B1106" s="1"/>
      <c r="C1106" s="1202"/>
      <c r="D1106" s="1049"/>
      <c r="E1106" s="1049"/>
      <c r="F1106" s="1049"/>
      <c r="G1106" s="1049"/>
      <c r="H1106" s="1049"/>
      <c r="I1106" s="1049"/>
      <c r="J1106" s="1049"/>
      <c r="K1106" s="1049"/>
      <c r="L1106" s="1049"/>
      <c r="M1106" s="1049"/>
      <c r="N1106" s="1049"/>
      <c r="O1106" s="1049"/>
      <c r="P1106" s="1049"/>
      <c r="Q1106" s="1049"/>
      <c r="R1106" s="1049"/>
      <c r="S1106" s="1049"/>
      <c r="T1106" s="1049"/>
      <c r="U1106" s="1049"/>
      <c r="V1106" s="1049"/>
      <c r="W1106" s="1049"/>
      <c r="X1106" s="1049"/>
      <c r="Y1106" s="1049"/>
      <c r="Z1106" s="1049"/>
      <c r="AA1106" s="1049"/>
      <c r="AB1106" s="1049"/>
      <c r="AC1106" s="1049"/>
      <c r="AD1106" s="1049"/>
      <c r="AE1106" s="1049"/>
      <c r="AF1106" s="1049"/>
      <c r="AG1106" s="1049"/>
      <c r="AH1106" s="1049"/>
      <c r="AI1106" s="1049"/>
      <c r="AJ1106" s="1049"/>
      <c r="AK1106" s="1049"/>
    </row>
    <row r="1107" spans="1:37" ht="13" hidden="1" customHeight="1">
      <c r="A1107" s="1"/>
      <c r="B1107" s="1"/>
      <c r="C1107" s="1202"/>
      <c r="D1107" s="1049"/>
      <c r="E1107" s="1049"/>
      <c r="F1107" s="1049"/>
      <c r="G1107" s="1049"/>
      <c r="H1107" s="1049"/>
      <c r="I1107" s="1049"/>
      <c r="J1107" s="1049"/>
      <c r="K1107" s="1049"/>
      <c r="L1107" s="1049"/>
      <c r="M1107" s="1049"/>
      <c r="N1107" s="1049"/>
      <c r="O1107" s="1049"/>
      <c r="P1107" s="1049"/>
      <c r="Q1107" s="1049"/>
      <c r="R1107" s="1049"/>
      <c r="S1107" s="1049"/>
      <c r="T1107" s="1049"/>
      <c r="U1107" s="1049"/>
      <c r="V1107" s="1049"/>
      <c r="W1107" s="1049"/>
      <c r="X1107" s="1049"/>
      <c r="Y1107" s="1049"/>
      <c r="Z1107" s="1049"/>
      <c r="AA1107" s="1049"/>
      <c r="AB1107" s="1049"/>
      <c r="AC1107" s="1049"/>
      <c r="AD1107" s="1049"/>
      <c r="AE1107" s="1049"/>
      <c r="AF1107" s="1049"/>
      <c r="AG1107" s="1049"/>
      <c r="AH1107" s="1049"/>
      <c r="AI1107" s="1049"/>
      <c r="AJ1107" s="1049"/>
      <c r="AK1107" s="1049"/>
    </row>
    <row r="1108" spans="1:37" ht="13" hidden="1" customHeight="1">
      <c r="A1108" s="1"/>
      <c r="B1108" s="1"/>
      <c r="C1108" s="1202"/>
      <c r="D1108" s="1049"/>
      <c r="E1108" s="1049"/>
      <c r="F1108" s="1049"/>
      <c r="G1108" s="1049"/>
      <c r="H1108" s="1049"/>
      <c r="I1108" s="1049"/>
      <c r="J1108" s="1049"/>
      <c r="K1108" s="1049"/>
      <c r="L1108" s="1049"/>
      <c r="M1108" s="1049"/>
      <c r="N1108" s="1049"/>
      <c r="O1108" s="1049"/>
      <c r="P1108" s="1049"/>
      <c r="Q1108" s="1049"/>
      <c r="R1108" s="1049"/>
      <c r="S1108" s="1049"/>
      <c r="T1108" s="1049"/>
      <c r="U1108" s="1049"/>
      <c r="V1108" s="1049"/>
      <c r="W1108" s="1049"/>
      <c r="X1108" s="1049"/>
      <c r="Y1108" s="1049"/>
      <c r="Z1108" s="1049"/>
      <c r="AA1108" s="1049"/>
      <c r="AB1108" s="1049"/>
      <c r="AC1108" s="1049"/>
      <c r="AD1108" s="1049"/>
      <c r="AE1108" s="1049"/>
      <c r="AF1108" s="1049"/>
      <c r="AG1108" s="1049"/>
      <c r="AH1108" s="1049"/>
      <c r="AI1108" s="1049"/>
      <c r="AJ1108" s="1049"/>
      <c r="AK1108" s="1049"/>
    </row>
    <row r="1109" spans="1:37" ht="13" hidden="1" customHeight="1">
      <c r="A1109" s="1"/>
      <c r="B1109" s="1"/>
      <c r="C1109" s="1202"/>
      <c r="D1109" s="1049"/>
      <c r="E1109" s="1049"/>
      <c r="F1109" s="1049"/>
      <c r="G1109" s="1049"/>
      <c r="H1109" s="1049"/>
      <c r="I1109" s="1049"/>
      <c r="J1109" s="1049"/>
      <c r="K1109" s="1049"/>
      <c r="L1109" s="1049"/>
      <c r="M1109" s="1049"/>
      <c r="N1109" s="1049"/>
      <c r="O1109" s="1049"/>
      <c r="P1109" s="1049"/>
      <c r="Q1109" s="1049"/>
      <c r="R1109" s="1049"/>
      <c r="S1109" s="1049"/>
      <c r="T1109" s="1049"/>
      <c r="U1109" s="1049"/>
      <c r="V1109" s="1049"/>
      <c r="W1109" s="1049"/>
      <c r="X1109" s="1049"/>
      <c r="Y1109" s="1049"/>
      <c r="Z1109" s="1049"/>
      <c r="AA1109" s="1049"/>
      <c r="AB1109" s="1049"/>
      <c r="AC1109" s="1049"/>
      <c r="AD1109" s="1049"/>
      <c r="AE1109" s="1049"/>
      <c r="AF1109" s="1049"/>
      <c r="AG1109" s="1049"/>
      <c r="AH1109" s="1049"/>
      <c r="AI1109" s="1049"/>
      <c r="AJ1109" s="1049"/>
      <c r="AK1109" s="1049"/>
    </row>
    <row r="1110" spans="1:37" ht="13" hidden="1" customHeight="1">
      <c r="A1110" s="1"/>
      <c r="B1110" s="1"/>
      <c r="C1110" s="1202"/>
      <c r="D1110" s="1049"/>
      <c r="E1110" s="1049"/>
      <c r="F1110" s="1049"/>
      <c r="G1110" s="1049"/>
      <c r="H1110" s="1049"/>
      <c r="I1110" s="1049"/>
      <c r="J1110" s="1049"/>
      <c r="K1110" s="1049"/>
      <c r="L1110" s="1049"/>
      <c r="M1110" s="1049"/>
      <c r="N1110" s="1049"/>
      <c r="O1110" s="1049"/>
      <c r="P1110" s="1049"/>
      <c r="Q1110" s="1049"/>
      <c r="R1110" s="1049"/>
      <c r="S1110" s="1049"/>
      <c r="T1110" s="1049"/>
      <c r="U1110" s="1049"/>
      <c r="V1110" s="1049"/>
      <c r="W1110" s="1049"/>
      <c r="X1110" s="1049"/>
      <c r="Y1110" s="1049"/>
      <c r="Z1110" s="1049"/>
      <c r="AA1110" s="1049"/>
      <c r="AB1110" s="1049"/>
      <c r="AC1110" s="1049"/>
      <c r="AD1110" s="1049"/>
      <c r="AE1110" s="1049"/>
      <c r="AF1110" s="1049"/>
      <c r="AG1110" s="1049"/>
      <c r="AH1110" s="1049"/>
      <c r="AI1110" s="1049"/>
      <c r="AJ1110" s="1049"/>
      <c r="AK1110" s="1049"/>
    </row>
    <row r="1111" spans="1:37" ht="13" hidden="1" customHeight="1">
      <c r="A1111" s="1"/>
      <c r="B1111" s="1"/>
      <c r="C1111" s="1202"/>
      <c r="D1111" s="1049"/>
      <c r="E1111" s="1049"/>
      <c r="F1111" s="1049"/>
      <c r="G1111" s="1049"/>
      <c r="H1111" s="1049"/>
      <c r="I1111" s="1049"/>
      <c r="J1111" s="1049"/>
      <c r="K1111" s="1049"/>
      <c r="L1111" s="1049"/>
      <c r="M1111" s="1049"/>
      <c r="N1111" s="1049"/>
      <c r="O1111" s="1049"/>
      <c r="P1111" s="1049"/>
      <c r="Q1111" s="1049"/>
      <c r="R1111" s="1049"/>
      <c r="S1111" s="1049"/>
      <c r="T1111" s="1049"/>
      <c r="U1111" s="1049"/>
      <c r="V1111" s="1049"/>
      <c r="W1111" s="1049"/>
      <c r="X1111" s="1049"/>
      <c r="Y1111" s="1049"/>
      <c r="Z1111" s="1049"/>
      <c r="AA1111" s="1049"/>
      <c r="AB1111" s="1049"/>
      <c r="AC1111" s="1049"/>
      <c r="AD1111" s="1049"/>
      <c r="AE1111" s="1049"/>
      <c r="AF1111" s="1049"/>
      <c r="AG1111" s="1049"/>
      <c r="AH1111" s="1049"/>
      <c r="AI1111" s="1049"/>
      <c r="AJ1111" s="1049"/>
      <c r="AK1111" s="1049"/>
    </row>
    <row r="1112" spans="1:37" ht="13" hidden="1" customHeight="1">
      <c r="A1112" s="1"/>
      <c r="B1112" s="1"/>
      <c r="C1112" s="1202"/>
      <c r="D1112" s="1049"/>
      <c r="E1112" s="1049"/>
      <c r="F1112" s="1049"/>
      <c r="G1112" s="1049"/>
      <c r="H1112" s="1049"/>
      <c r="I1112" s="1049"/>
      <c r="J1112" s="1049"/>
      <c r="K1112" s="1049"/>
      <c r="L1112" s="1049"/>
      <c r="M1112" s="1049"/>
      <c r="N1112" s="1049"/>
      <c r="O1112" s="1049"/>
      <c r="P1112" s="1049"/>
      <c r="Q1112" s="1049"/>
      <c r="R1112" s="1049"/>
      <c r="S1112" s="1049"/>
      <c r="T1112" s="1049"/>
      <c r="U1112" s="1049"/>
      <c r="V1112" s="1049"/>
      <c r="W1112" s="1049"/>
      <c r="X1112" s="1049"/>
      <c r="Y1112" s="1049"/>
      <c r="Z1112" s="1049"/>
      <c r="AA1112" s="1049"/>
      <c r="AB1112" s="1049"/>
      <c r="AC1112" s="1049"/>
      <c r="AD1112" s="1049"/>
      <c r="AE1112" s="1049"/>
      <c r="AF1112" s="1049"/>
      <c r="AG1112" s="1049"/>
      <c r="AH1112" s="1049"/>
      <c r="AI1112" s="1049"/>
      <c r="AJ1112" s="1049"/>
      <c r="AK1112" s="1049"/>
    </row>
    <row r="1113" spans="1:37" ht="13" hidden="1" customHeight="1">
      <c r="A1113" s="1"/>
      <c r="B1113" s="1"/>
      <c r="C1113" s="1202"/>
      <c r="D1113" s="1049"/>
      <c r="E1113" s="1049"/>
      <c r="F1113" s="1049"/>
      <c r="G1113" s="1049"/>
      <c r="H1113" s="1049"/>
      <c r="I1113" s="1049"/>
      <c r="J1113" s="1049"/>
      <c r="K1113" s="1049"/>
      <c r="L1113" s="1049"/>
      <c r="M1113" s="1049"/>
      <c r="N1113" s="1049"/>
      <c r="O1113" s="1049"/>
      <c r="P1113" s="1049"/>
      <c r="Q1113" s="1049"/>
      <c r="R1113" s="1049"/>
      <c r="S1113" s="1049"/>
      <c r="T1113" s="1049"/>
      <c r="U1113" s="1049"/>
      <c r="V1113" s="1049"/>
      <c r="W1113" s="1049"/>
      <c r="X1113" s="1049"/>
      <c r="Y1113" s="1049"/>
      <c r="Z1113" s="1049"/>
      <c r="AA1113" s="1049"/>
      <c r="AB1113" s="1049"/>
      <c r="AC1113" s="1049"/>
      <c r="AD1113" s="1049"/>
      <c r="AE1113" s="1049"/>
      <c r="AF1113" s="1049"/>
      <c r="AG1113" s="1049"/>
      <c r="AH1113" s="1049"/>
      <c r="AI1113" s="1049"/>
      <c r="AJ1113" s="1049"/>
      <c r="AK1113" s="1049"/>
    </row>
    <row r="1114" spans="1:37" ht="13" hidden="1" customHeight="1">
      <c r="A1114" s="1"/>
      <c r="B1114" s="1"/>
      <c r="C1114" s="1202"/>
      <c r="D1114" s="1049"/>
      <c r="E1114" s="1049"/>
      <c r="F1114" s="1049"/>
      <c r="G1114" s="1049"/>
      <c r="H1114" s="1049"/>
      <c r="I1114" s="1049"/>
      <c r="J1114" s="1049"/>
      <c r="K1114" s="1049"/>
      <c r="L1114" s="1049"/>
      <c r="M1114" s="1049"/>
      <c r="N1114" s="1049"/>
      <c r="O1114" s="1049"/>
      <c r="P1114" s="1049"/>
      <c r="Q1114" s="1049"/>
      <c r="R1114" s="1049"/>
      <c r="S1114" s="1049"/>
      <c r="T1114" s="1049"/>
      <c r="U1114" s="1049"/>
      <c r="V1114" s="1049"/>
      <c r="W1114" s="1049"/>
      <c r="X1114" s="1049"/>
      <c r="Y1114" s="1049"/>
      <c r="Z1114" s="1049"/>
      <c r="AA1114" s="1049"/>
      <c r="AB1114" s="1049"/>
      <c r="AC1114" s="1049"/>
      <c r="AD1114" s="1049"/>
      <c r="AE1114" s="1049"/>
      <c r="AF1114" s="1049"/>
      <c r="AG1114" s="1049"/>
      <c r="AH1114" s="1049"/>
      <c r="AI1114" s="1049"/>
      <c r="AJ1114" s="1049"/>
      <c r="AK1114" s="1049"/>
    </row>
    <row r="1115" spans="1:37" ht="13" hidden="1" customHeight="1">
      <c r="A1115" s="1"/>
      <c r="B1115" s="1"/>
      <c r="C1115" s="1202"/>
      <c r="D1115" s="1049"/>
      <c r="E1115" s="1049"/>
      <c r="F1115" s="1049"/>
      <c r="G1115" s="1049"/>
      <c r="H1115" s="1049"/>
      <c r="I1115" s="1049"/>
      <c r="J1115" s="1049"/>
      <c r="K1115" s="1049"/>
      <c r="L1115" s="1049"/>
      <c r="M1115" s="1049"/>
      <c r="N1115" s="1049"/>
      <c r="O1115" s="1049"/>
      <c r="P1115" s="1049"/>
      <c r="Q1115" s="1049"/>
      <c r="R1115" s="1049"/>
      <c r="S1115" s="1049"/>
      <c r="T1115" s="1049"/>
      <c r="U1115" s="1049"/>
      <c r="V1115" s="1049"/>
      <c r="W1115" s="1049"/>
      <c r="X1115" s="1049"/>
      <c r="Y1115" s="1049"/>
      <c r="Z1115" s="1049"/>
      <c r="AA1115" s="1049"/>
      <c r="AB1115" s="1049"/>
      <c r="AC1115" s="1049"/>
      <c r="AD1115" s="1049"/>
      <c r="AE1115" s="1049"/>
      <c r="AF1115" s="1049"/>
      <c r="AG1115" s="1049"/>
      <c r="AH1115" s="1049"/>
      <c r="AI1115" s="1049"/>
      <c r="AJ1115" s="1049"/>
      <c r="AK1115" s="1049"/>
    </row>
    <row r="1116" spans="1:37" ht="13" hidden="1" customHeight="1">
      <c r="A1116" s="1"/>
      <c r="B1116" s="1"/>
      <c r="C1116" s="1202"/>
      <c r="D1116" s="1049"/>
      <c r="E1116" s="1049"/>
      <c r="F1116" s="1049"/>
      <c r="G1116" s="1049"/>
      <c r="H1116" s="1049"/>
      <c r="I1116" s="1049"/>
      <c r="J1116" s="1049"/>
      <c r="K1116" s="1049"/>
      <c r="L1116" s="1049"/>
      <c r="M1116" s="1049"/>
      <c r="N1116" s="1049"/>
      <c r="O1116" s="1049"/>
      <c r="P1116" s="1049"/>
      <c r="Q1116" s="1049"/>
      <c r="R1116" s="1049"/>
      <c r="S1116" s="1049"/>
      <c r="T1116" s="1049"/>
      <c r="U1116" s="1049"/>
      <c r="V1116" s="1049"/>
      <c r="W1116" s="1049"/>
      <c r="X1116" s="1049"/>
      <c r="Y1116" s="1049"/>
      <c r="Z1116" s="1049"/>
      <c r="AA1116" s="1049"/>
      <c r="AB1116" s="1049"/>
      <c r="AC1116" s="1049"/>
      <c r="AD1116" s="1049"/>
      <c r="AE1116" s="1049"/>
      <c r="AF1116" s="1049"/>
      <c r="AG1116" s="1049"/>
      <c r="AH1116" s="1049"/>
      <c r="AI1116" s="1049"/>
      <c r="AJ1116" s="1049"/>
      <c r="AK1116" s="1049"/>
    </row>
    <row r="1117" spans="1:37" ht="13" hidden="1" customHeight="1">
      <c r="A1117" s="1"/>
      <c r="B1117" s="1"/>
      <c r="C1117" s="1202"/>
      <c r="D1117" s="1049"/>
      <c r="E1117" s="1049"/>
      <c r="F1117" s="1049"/>
      <c r="G1117" s="1049"/>
      <c r="H1117" s="1049"/>
      <c r="I1117" s="1049"/>
      <c r="J1117" s="1049"/>
      <c r="K1117" s="1049"/>
      <c r="L1117" s="1049"/>
      <c r="M1117" s="1049"/>
      <c r="N1117" s="1049"/>
      <c r="O1117" s="1049"/>
      <c r="P1117" s="1049"/>
      <c r="Q1117" s="1049"/>
      <c r="R1117" s="1049"/>
      <c r="S1117" s="1049"/>
      <c r="T1117" s="1049"/>
      <c r="U1117" s="1049"/>
      <c r="V1117" s="1049"/>
      <c r="W1117" s="1049"/>
      <c r="X1117" s="1049"/>
      <c r="Y1117" s="1049"/>
      <c r="Z1117" s="1049"/>
      <c r="AA1117" s="1049"/>
      <c r="AB1117" s="1049"/>
      <c r="AC1117" s="1049"/>
      <c r="AD1117" s="1049"/>
      <c r="AE1117" s="1049"/>
      <c r="AF1117" s="1049"/>
      <c r="AG1117" s="1049"/>
      <c r="AH1117" s="1049"/>
      <c r="AI1117" s="1049"/>
      <c r="AJ1117" s="1049"/>
      <c r="AK1117" s="1049"/>
    </row>
    <row r="1118" spans="1:37" ht="13" hidden="1" customHeight="1">
      <c r="A1118" s="1"/>
      <c r="B1118" s="1"/>
      <c r="C1118" s="1202"/>
      <c r="D1118" s="1049"/>
      <c r="E1118" s="1049"/>
      <c r="F1118" s="1049"/>
      <c r="G1118" s="1049"/>
      <c r="H1118" s="1049"/>
      <c r="I1118" s="1049"/>
      <c r="J1118" s="1049"/>
      <c r="K1118" s="1049"/>
      <c r="L1118" s="1049"/>
      <c r="M1118" s="1049"/>
      <c r="N1118" s="1049"/>
      <c r="O1118" s="1049"/>
      <c r="P1118" s="1049"/>
      <c r="Q1118" s="1049"/>
      <c r="R1118" s="1049"/>
      <c r="S1118" s="1049"/>
      <c r="T1118" s="1049"/>
      <c r="U1118" s="1049"/>
      <c r="V1118" s="1049"/>
      <c r="W1118" s="1049"/>
      <c r="X1118" s="1049"/>
      <c r="Y1118" s="1049"/>
      <c r="Z1118" s="1049"/>
      <c r="AA1118" s="1049"/>
      <c r="AB1118" s="1049"/>
      <c r="AC1118" s="1049"/>
      <c r="AD1118" s="1049"/>
      <c r="AE1118" s="1049"/>
      <c r="AF1118" s="1049"/>
      <c r="AG1118" s="1049"/>
      <c r="AH1118" s="1049"/>
      <c r="AI1118" s="1049"/>
      <c r="AJ1118" s="1049"/>
      <c r="AK1118" s="1049"/>
    </row>
    <row r="1119" spans="1:37" ht="13" hidden="1" customHeight="1">
      <c r="A1119" s="1"/>
      <c r="B1119" s="1"/>
      <c r="C1119" s="1202"/>
      <c r="D1119" s="1049"/>
      <c r="E1119" s="1049"/>
      <c r="F1119" s="1049"/>
      <c r="G1119" s="1049"/>
      <c r="H1119" s="1049"/>
      <c r="I1119" s="1049"/>
      <c r="J1119" s="1049"/>
      <c r="K1119" s="1049"/>
      <c r="L1119" s="1049"/>
      <c r="M1119" s="1049"/>
      <c r="N1119" s="1049"/>
      <c r="O1119" s="1049"/>
      <c r="P1119" s="1049"/>
      <c r="Q1119" s="1049"/>
      <c r="R1119" s="1049"/>
      <c r="S1119" s="1049"/>
      <c r="T1119" s="1049"/>
      <c r="U1119" s="1049"/>
      <c r="V1119" s="1049"/>
      <c r="W1119" s="1049"/>
      <c r="X1119" s="1049"/>
      <c r="Y1119" s="1049"/>
      <c r="Z1119" s="1049"/>
      <c r="AA1119" s="1049"/>
      <c r="AB1119" s="1049"/>
      <c r="AC1119" s="1049"/>
      <c r="AD1119" s="1049"/>
      <c r="AE1119" s="1049"/>
      <c r="AF1119" s="1049"/>
      <c r="AG1119" s="1049"/>
      <c r="AH1119" s="1049"/>
      <c r="AI1119" s="1049"/>
      <c r="AJ1119" s="1049"/>
      <c r="AK1119" s="1049"/>
    </row>
    <row r="1120" spans="1:37" ht="13" hidden="1" customHeight="1">
      <c r="A1120" s="1"/>
      <c r="B1120" s="1"/>
      <c r="C1120" s="1202"/>
      <c r="D1120" s="1049"/>
      <c r="E1120" s="1049"/>
      <c r="F1120" s="1049"/>
      <c r="G1120" s="1049"/>
      <c r="H1120" s="1049"/>
      <c r="I1120" s="1049"/>
      <c r="J1120" s="1049"/>
      <c r="K1120" s="1049"/>
      <c r="L1120" s="1049"/>
      <c r="M1120" s="1049"/>
      <c r="N1120" s="1049"/>
      <c r="O1120" s="1049"/>
      <c r="P1120" s="1049"/>
      <c r="Q1120" s="1049"/>
      <c r="R1120" s="1049"/>
      <c r="S1120" s="1049"/>
      <c r="T1120" s="1049"/>
      <c r="U1120" s="1049"/>
      <c r="V1120" s="1049"/>
      <c r="W1120" s="1049"/>
      <c r="X1120" s="1049"/>
      <c r="Y1120" s="1049"/>
      <c r="Z1120" s="1049"/>
      <c r="AA1120" s="1049"/>
      <c r="AB1120" s="1049"/>
      <c r="AC1120" s="1049"/>
      <c r="AD1120" s="1049"/>
      <c r="AE1120" s="1049"/>
      <c r="AF1120" s="1049"/>
      <c r="AG1120" s="1049"/>
      <c r="AH1120" s="1049"/>
      <c r="AI1120" s="1049"/>
      <c r="AJ1120" s="1049"/>
      <c r="AK1120" s="1049"/>
    </row>
    <row r="1121" spans="1:37" ht="13" hidden="1" customHeight="1">
      <c r="A1121" s="1"/>
      <c r="B1121" s="1"/>
      <c r="C1121" s="1202"/>
      <c r="D1121" s="1049"/>
      <c r="E1121" s="1049"/>
      <c r="F1121" s="1049"/>
      <c r="G1121" s="1049"/>
      <c r="H1121" s="1049"/>
      <c r="I1121" s="1049"/>
      <c r="J1121" s="1049"/>
      <c r="K1121" s="1049"/>
      <c r="L1121" s="1049"/>
      <c r="M1121" s="1049"/>
      <c r="N1121" s="1049"/>
      <c r="O1121" s="1049"/>
      <c r="P1121" s="1049"/>
      <c r="Q1121" s="1049"/>
      <c r="R1121" s="1049"/>
      <c r="S1121" s="1049"/>
      <c r="T1121" s="1049"/>
      <c r="U1121" s="1049"/>
      <c r="V1121" s="1049"/>
      <c r="W1121" s="1049"/>
      <c r="X1121" s="1049"/>
      <c r="Y1121" s="1049"/>
      <c r="Z1121" s="1049"/>
      <c r="AA1121" s="1049"/>
      <c r="AB1121" s="1049"/>
      <c r="AC1121" s="1049"/>
      <c r="AD1121" s="1049"/>
      <c r="AE1121" s="1049"/>
      <c r="AF1121" s="1049"/>
      <c r="AG1121" s="1049"/>
      <c r="AH1121" s="1049"/>
      <c r="AI1121" s="1049"/>
      <c r="AJ1121" s="1049"/>
      <c r="AK1121" s="1049"/>
    </row>
    <row r="1122" spans="1:37" ht="13" hidden="1" customHeight="1">
      <c r="A1122" s="1"/>
      <c r="B1122" s="1"/>
      <c r="C1122" s="1202"/>
      <c r="D1122" s="1049"/>
      <c r="E1122" s="1049"/>
      <c r="F1122" s="1049"/>
      <c r="G1122" s="1049"/>
      <c r="H1122" s="1049"/>
      <c r="I1122" s="1049"/>
      <c r="J1122" s="1049"/>
      <c r="K1122" s="1049"/>
      <c r="L1122" s="1049"/>
      <c r="M1122" s="1049"/>
      <c r="N1122" s="1049"/>
      <c r="O1122" s="1049"/>
      <c r="P1122" s="1049"/>
      <c r="Q1122" s="1049"/>
      <c r="R1122" s="1049"/>
      <c r="S1122" s="1049"/>
      <c r="T1122" s="1049"/>
      <c r="U1122" s="1049"/>
      <c r="V1122" s="1049"/>
      <c r="W1122" s="1049"/>
      <c r="X1122" s="1049"/>
      <c r="Y1122" s="1049"/>
      <c r="Z1122" s="1049"/>
      <c r="AA1122" s="1049"/>
      <c r="AB1122" s="1049"/>
      <c r="AC1122" s="1049"/>
      <c r="AD1122" s="1049"/>
      <c r="AE1122" s="1049"/>
      <c r="AF1122" s="1049"/>
      <c r="AG1122" s="1049"/>
      <c r="AH1122" s="1049"/>
      <c r="AI1122" s="1049"/>
      <c r="AJ1122" s="1049"/>
      <c r="AK1122" s="1049"/>
    </row>
    <row r="1123" spans="1:37" ht="0" hidden="1" customHeight="1">
      <c r="A1123" s="1"/>
      <c r="B1123" s="1"/>
      <c r="C1123" s="1202"/>
      <c r="D1123" s="1049"/>
      <c r="E1123" s="1049"/>
      <c r="F1123" s="1049"/>
      <c r="G1123" s="1049"/>
      <c r="H1123" s="1049"/>
      <c r="I1123" s="1049"/>
      <c r="J1123" s="1049"/>
      <c r="K1123" s="1049"/>
      <c r="L1123" s="1049"/>
      <c r="M1123" s="1049"/>
      <c r="N1123" s="1049"/>
      <c r="O1123" s="1049"/>
      <c r="P1123" s="1049"/>
      <c r="Q1123" s="1049"/>
      <c r="R1123" s="1049"/>
      <c r="S1123" s="1049"/>
      <c r="T1123" s="1049"/>
      <c r="U1123" s="1049"/>
      <c r="V1123" s="1049"/>
      <c r="W1123" s="1049"/>
      <c r="X1123" s="1049"/>
      <c r="Y1123" s="1049"/>
      <c r="Z1123" s="1049"/>
      <c r="AA1123" s="1049"/>
      <c r="AB1123" s="1049"/>
      <c r="AC1123" s="1049"/>
      <c r="AD1123" s="1049"/>
      <c r="AE1123" s="1049"/>
      <c r="AF1123" s="1049"/>
      <c r="AG1123" s="1049"/>
      <c r="AH1123" s="1049"/>
      <c r="AI1123" s="1049"/>
      <c r="AJ1123" s="1049"/>
      <c r="AK1123" s="1049"/>
    </row>
    <row r="1124" spans="1:37" ht="0" hidden="1" customHeight="1">
      <c r="A1124" s="84"/>
      <c r="B1124" s="21"/>
      <c r="C1124" s="1202"/>
      <c r="D1124" s="1049"/>
      <c r="E1124" s="1049"/>
      <c r="F1124" s="1049"/>
      <c r="G1124" s="1049"/>
      <c r="H1124" s="1049"/>
      <c r="I1124" s="1049"/>
      <c r="J1124" s="1049"/>
      <c r="K1124" s="1049"/>
      <c r="L1124" s="1049"/>
      <c r="M1124" s="1049"/>
      <c r="N1124" s="1049"/>
      <c r="O1124" s="1049"/>
      <c r="P1124" s="1049"/>
      <c r="Q1124" s="1049"/>
      <c r="R1124" s="1049"/>
      <c r="S1124" s="1049"/>
      <c r="T1124" s="1049"/>
      <c r="U1124" s="1049"/>
      <c r="V1124" s="1049"/>
      <c r="W1124" s="1049"/>
      <c r="X1124" s="1049"/>
      <c r="Y1124" s="1049"/>
      <c r="Z1124" s="1049"/>
      <c r="AA1124" s="1049"/>
      <c r="AB1124" s="1049"/>
      <c r="AC1124" s="1049"/>
      <c r="AD1124" s="1049"/>
      <c r="AE1124" s="1049"/>
      <c r="AF1124" s="1049"/>
      <c r="AG1124" s="1049"/>
      <c r="AH1124" s="1049"/>
      <c r="AI1124" s="1049"/>
      <c r="AJ1124" s="1049"/>
      <c r="AK1124" s="1049"/>
    </row>
    <row r="1125" spans="1:37" ht="0" hidden="1" customHeight="1">
      <c r="A1125" s="1367" t="s">
        <v>807</v>
      </c>
      <c r="B1125" s="1367"/>
      <c r="C1125" s="1202">
        <v>9</v>
      </c>
      <c r="D1125" s="1221" t="s">
        <v>1749</v>
      </c>
      <c r="E1125" s="1221"/>
      <c r="F1125" s="1221"/>
      <c r="G1125" s="1221"/>
      <c r="H1125" s="1221"/>
      <c r="I1125" s="1221"/>
      <c r="J1125" s="1221"/>
      <c r="K1125" s="1221"/>
      <c r="L1125" s="1221"/>
      <c r="M1125" s="1221"/>
      <c r="N1125" s="1221"/>
      <c r="O1125" s="1221"/>
      <c r="P1125" s="1221"/>
      <c r="Q1125" s="1221"/>
      <c r="R1125" s="1221"/>
      <c r="S1125" s="1221"/>
      <c r="T1125" s="1221"/>
      <c r="U1125" s="1221"/>
      <c r="V1125" s="1221"/>
      <c r="W1125" s="1221"/>
      <c r="X1125" s="1221"/>
      <c r="Y1125" s="1221"/>
      <c r="Z1125" s="1221"/>
      <c r="AA1125" s="1221"/>
      <c r="AB1125" s="1221"/>
      <c r="AC1125" s="1221"/>
      <c r="AD1125" s="1221"/>
      <c r="AE1125" s="1221"/>
      <c r="AF1125" s="1221"/>
      <c r="AG1125" s="1221"/>
      <c r="AH1125" s="1221"/>
      <c r="AI1125" s="1221"/>
      <c r="AJ1125" s="1221"/>
      <c r="AK1125" s="1221"/>
    </row>
    <row r="1126" spans="1:37" ht="0" hidden="1" customHeight="1">
      <c r="A1126" s="84"/>
      <c r="B1126" s="21"/>
      <c r="C1126" s="1202"/>
      <c r="D1126" s="1221"/>
      <c r="E1126" s="1221"/>
      <c r="F1126" s="1221"/>
      <c r="G1126" s="1221"/>
      <c r="H1126" s="1221"/>
      <c r="I1126" s="1221"/>
      <c r="J1126" s="1221"/>
      <c r="K1126" s="1221"/>
      <c r="L1126" s="1221"/>
      <c r="M1126" s="1221"/>
      <c r="N1126" s="1221"/>
      <c r="O1126" s="1221"/>
      <c r="P1126" s="1221"/>
      <c r="Q1126" s="1221"/>
      <c r="R1126" s="1221"/>
      <c r="S1126" s="1221"/>
      <c r="T1126" s="1221"/>
      <c r="U1126" s="1221"/>
      <c r="V1126" s="1221"/>
      <c r="W1126" s="1221"/>
      <c r="X1126" s="1221"/>
      <c r="Y1126" s="1221"/>
      <c r="Z1126" s="1221"/>
      <c r="AA1126" s="1221"/>
      <c r="AB1126" s="1221"/>
      <c r="AC1126" s="1221"/>
      <c r="AD1126" s="1221"/>
      <c r="AE1126" s="1221"/>
      <c r="AF1126" s="1221"/>
      <c r="AG1126" s="1221"/>
      <c r="AH1126" s="1221"/>
      <c r="AI1126" s="1221"/>
      <c r="AJ1126" s="1221"/>
      <c r="AK1126" s="1221"/>
    </row>
    <row r="1127" spans="1:37" ht="0" hidden="1" customHeight="1">
      <c r="D1127" s="1221"/>
      <c r="E1127" s="1221"/>
      <c r="F1127" s="1221"/>
      <c r="G1127" s="1221"/>
      <c r="H1127" s="1221"/>
      <c r="I1127" s="1221"/>
      <c r="J1127" s="1221"/>
      <c r="K1127" s="1221"/>
      <c r="L1127" s="1221"/>
      <c r="M1127" s="1221"/>
      <c r="N1127" s="1221"/>
      <c r="O1127" s="1221"/>
      <c r="P1127" s="1221"/>
      <c r="Q1127" s="1221"/>
      <c r="R1127" s="1221"/>
      <c r="S1127" s="1221"/>
      <c r="T1127" s="1221"/>
      <c r="U1127" s="1221"/>
      <c r="V1127" s="1221"/>
      <c r="W1127" s="1221"/>
      <c r="X1127" s="1221"/>
      <c r="Y1127" s="1221"/>
      <c r="Z1127" s="1221"/>
      <c r="AA1127" s="1221"/>
      <c r="AB1127" s="1221"/>
      <c r="AC1127" s="1221"/>
      <c r="AD1127" s="1221"/>
      <c r="AE1127" s="1221"/>
      <c r="AF1127" s="1221"/>
      <c r="AG1127" s="1221"/>
      <c r="AH1127" s="1221"/>
      <c r="AI1127" s="1221"/>
      <c r="AJ1127" s="1221"/>
      <c r="AK1127" s="1221"/>
    </row>
    <row r="1137" ht="15" hidden="1" customHeight="1"/>
    <row r="2017" ht="10"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selection activeCell="S99" sqref="S99"/>
    </sheetView>
  </sheetViews>
  <sheetFormatPr defaultColWidth="0" defaultRowHeight="11.5" zeroHeight="1"/>
  <cols>
    <col min="1" max="1" width="35.6328125" style="128" customWidth="1"/>
    <col min="2" max="12" width="12.1796875" style="112" customWidth="1"/>
    <col min="13" max="17" width="11.36328125" style="112" customWidth="1"/>
    <col min="18" max="18" width="12.6328125" style="112" customWidth="1"/>
    <col min="19" max="20" width="12.1796875" style="112" customWidth="1"/>
    <col min="21" max="21" width="0.36328125" style="114" customWidth="1"/>
    <col min="22" max="16383" width="8.81640625" style="112" hidden="1"/>
    <col min="16384" max="16384" width="0.1796875" style="112" customWidth="1"/>
  </cols>
  <sheetData>
    <row r="1" spans="1:21" s="78" customFormat="1" ht="13.5">
      <c r="A1" s="117" t="s">
        <v>1750</v>
      </c>
      <c r="B1" s="91"/>
      <c r="C1" s="91"/>
      <c r="D1" s="91"/>
      <c r="E1" s="92"/>
      <c r="F1" s="1794" t="s">
        <v>1751</v>
      </c>
      <c r="G1" s="1795"/>
      <c r="H1" s="1795"/>
      <c r="I1" s="1795"/>
      <c r="J1" s="1795"/>
      <c r="K1" s="1795"/>
      <c r="L1" s="1795"/>
      <c r="M1" s="1795"/>
      <c r="N1" s="1795"/>
      <c r="O1" s="1795"/>
      <c r="P1" s="1795"/>
      <c r="Q1" s="1795"/>
      <c r="R1" s="1796"/>
      <c r="S1" s="80"/>
      <c r="T1" s="79"/>
      <c r="U1" s="81"/>
    </row>
    <row r="2" spans="1:21" s="101" customFormat="1" ht="71.25" customHeight="1">
      <c r="A2" s="100"/>
      <c r="B2" s="101" t="s">
        <v>1752</v>
      </c>
      <c r="C2" s="101" t="s">
        <v>1753</v>
      </c>
      <c r="D2" s="101" t="s">
        <v>1754</v>
      </c>
      <c r="E2" s="101" t="s">
        <v>1755</v>
      </c>
      <c r="F2" s="102" t="str">
        <f>Application!B627&amp;Application!C627</f>
        <v>1)US Bank Permanent Loan</v>
      </c>
      <c r="G2" s="102" t="str">
        <f>Application!B628&amp;Application!C628</f>
        <v>2)Seller Carryback Loan</v>
      </c>
      <c r="H2" s="102" t="str">
        <f>Application!B629&amp;Application!C629</f>
        <v>3)Assumed HCD MHP</v>
      </c>
      <c r="I2" s="102" t="str">
        <f>Application!B630&amp;Application!C630</f>
        <v>4)Assumed County HOME loan</v>
      </c>
      <c r="J2" s="102" t="str">
        <f>Application!B631&amp;Application!C631</f>
        <v>5)Income from Operations</v>
      </c>
      <c r="K2" s="102" t="str">
        <f>Application!B632&amp;Application!C632</f>
        <v>6)Deferred Developer Fee</v>
      </c>
      <c r="L2" s="102" t="str">
        <f>Application!B633&amp;Application!C633</f>
        <v>7)Existing Reserves</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1756</v>
      </c>
      <c r="S2" s="101" t="s">
        <v>1757</v>
      </c>
      <c r="T2" s="101" t="s">
        <v>1758</v>
      </c>
      <c r="U2" s="103"/>
    </row>
    <row r="3" spans="1:21" s="105" customFormat="1" ht="12">
      <c r="A3" s="104" t="s">
        <v>1759</v>
      </c>
      <c r="B3" s="1203"/>
      <c r="C3" s="1203"/>
      <c r="D3" s="1203"/>
      <c r="E3" s="1203"/>
      <c r="F3" s="1203"/>
      <c r="G3" s="1203"/>
      <c r="H3" s="1203"/>
      <c r="I3" s="1203"/>
      <c r="J3" s="1203"/>
      <c r="K3" s="1203"/>
      <c r="L3" s="1203"/>
      <c r="M3" s="1203"/>
      <c r="N3" s="1203"/>
      <c r="O3" s="1203"/>
      <c r="P3" s="1203"/>
      <c r="Q3" s="1203"/>
      <c r="R3" s="1203"/>
      <c r="S3" s="1203"/>
      <c r="T3" s="1203"/>
      <c r="U3" s="1204"/>
    </row>
    <row r="4" spans="1:21" s="105" customFormat="1">
      <c r="A4" s="194" t="s">
        <v>1760</v>
      </c>
      <c r="B4" s="244">
        <f>SUM(C4+D4)</f>
        <v>643000</v>
      </c>
      <c r="C4" s="872">
        <v>643000</v>
      </c>
      <c r="D4" s="872"/>
      <c r="E4" s="872"/>
      <c r="F4" s="872"/>
      <c r="G4" s="872">
        <f>+C4</f>
        <v>643000</v>
      </c>
      <c r="H4" s="872"/>
      <c r="I4" s="872"/>
      <c r="J4" s="872"/>
      <c r="K4" s="872"/>
      <c r="L4" s="872"/>
      <c r="M4" s="872"/>
      <c r="N4" s="872"/>
      <c r="O4" s="872"/>
      <c r="P4" s="872"/>
      <c r="Q4" s="872"/>
      <c r="R4" s="415">
        <f>SUM(E4:Q4)</f>
        <v>643000</v>
      </c>
      <c r="S4" s="1205"/>
      <c r="T4" s="1205"/>
      <c r="U4" s="1204"/>
    </row>
    <row r="5" spans="1:21" s="105" customFormat="1">
      <c r="A5" s="194" t="s">
        <v>688</v>
      </c>
      <c r="B5" s="244">
        <f>SUM(C5+D5)</f>
        <v>0</v>
      </c>
      <c r="C5" s="872"/>
      <c r="D5" s="872"/>
      <c r="E5" s="872"/>
      <c r="F5" s="872"/>
      <c r="G5" s="872"/>
      <c r="H5" s="872"/>
      <c r="I5" s="872"/>
      <c r="J5" s="872"/>
      <c r="K5" s="872"/>
      <c r="L5" s="872"/>
      <c r="M5" s="872"/>
      <c r="N5" s="872"/>
      <c r="O5" s="872"/>
      <c r="P5" s="872"/>
      <c r="Q5" s="872"/>
      <c r="R5" s="415">
        <f>SUM(E5:Q5)</f>
        <v>0</v>
      </c>
      <c r="S5" s="1205"/>
      <c r="T5" s="1205"/>
      <c r="U5" s="1204"/>
    </row>
    <row r="6" spans="1:21" s="105" customFormat="1">
      <c r="A6" s="194" t="s">
        <v>1761</v>
      </c>
      <c r="B6" s="244">
        <f>SUM(C6+D6)</f>
        <v>0</v>
      </c>
      <c r="C6" s="872"/>
      <c r="D6" s="872"/>
      <c r="E6" s="872"/>
      <c r="F6" s="872"/>
      <c r="G6" s="872"/>
      <c r="H6" s="872"/>
      <c r="I6" s="872"/>
      <c r="J6" s="872"/>
      <c r="K6" s="872"/>
      <c r="L6" s="872"/>
      <c r="M6" s="872"/>
      <c r="N6" s="872"/>
      <c r="O6" s="872"/>
      <c r="P6" s="872"/>
      <c r="Q6" s="872"/>
      <c r="R6" s="415">
        <f>SUM(E6:Q6)</f>
        <v>0</v>
      </c>
      <c r="S6" s="1205"/>
      <c r="T6" s="1205"/>
      <c r="U6" s="1204"/>
    </row>
    <row r="7" spans="1:21" s="105" customFormat="1">
      <c r="A7" s="194" t="s">
        <v>1762</v>
      </c>
      <c r="B7" s="244">
        <f>SUM(C7+D7)</f>
        <v>0</v>
      </c>
      <c r="C7" s="872"/>
      <c r="D7" s="872"/>
      <c r="E7" s="872"/>
      <c r="F7" s="872"/>
      <c r="G7" s="872"/>
      <c r="H7" s="872"/>
      <c r="I7" s="872"/>
      <c r="J7" s="872"/>
      <c r="K7" s="872"/>
      <c r="L7" s="872"/>
      <c r="M7" s="872"/>
      <c r="N7" s="872"/>
      <c r="O7" s="872"/>
      <c r="P7" s="872"/>
      <c r="Q7" s="872"/>
      <c r="R7" s="415">
        <f>SUM(E7:Q7)</f>
        <v>0</v>
      </c>
      <c r="S7" s="1205"/>
      <c r="T7" s="1205"/>
      <c r="U7" s="1204"/>
    </row>
    <row r="8" spans="1:21" s="105" customFormat="1">
      <c r="A8" s="106" t="s">
        <v>1763</v>
      </c>
      <c r="B8" s="244">
        <f>SUM(C8:D8)</f>
        <v>643000</v>
      </c>
      <c r="C8" s="244">
        <f t="shared" ref="C8:Q8" si="0">SUM(C4:C7)</f>
        <v>643000</v>
      </c>
      <c r="D8" s="244">
        <f t="shared" si="0"/>
        <v>0</v>
      </c>
      <c r="E8" s="244">
        <f t="shared" si="0"/>
        <v>0</v>
      </c>
      <c r="F8" s="244">
        <f t="shared" si="0"/>
        <v>0</v>
      </c>
      <c r="G8" s="244">
        <f t="shared" si="0"/>
        <v>643000</v>
      </c>
      <c r="H8" s="244">
        <f t="shared" si="0"/>
        <v>0</v>
      </c>
      <c r="I8" s="244">
        <f t="shared" si="0"/>
        <v>0</v>
      </c>
      <c r="J8" s="244">
        <f t="shared" si="0"/>
        <v>0</v>
      </c>
      <c r="K8" s="244">
        <f t="shared" si="0"/>
        <v>0</v>
      </c>
      <c r="L8" s="244">
        <f t="shared" si="0"/>
        <v>0</v>
      </c>
      <c r="M8" s="244">
        <f t="shared" si="0"/>
        <v>0</v>
      </c>
      <c r="N8" s="244">
        <f t="shared" si="0"/>
        <v>0</v>
      </c>
      <c r="O8" s="244">
        <f t="shared" si="0"/>
        <v>0</v>
      </c>
      <c r="P8" s="244"/>
      <c r="Q8" s="244">
        <f t="shared" si="0"/>
        <v>0</v>
      </c>
      <c r="R8" s="244">
        <f>SUM(R4:R7)</f>
        <v>643000</v>
      </c>
      <c r="S8" s="1205"/>
      <c r="T8" s="1205"/>
      <c r="U8" s="1204"/>
    </row>
    <row r="9" spans="1:21" s="105" customFormat="1">
      <c r="A9" s="194" t="s">
        <v>1764</v>
      </c>
      <c r="B9" s="244">
        <f>SUM(C9+D9)</f>
        <v>26357000</v>
      </c>
      <c r="C9" s="872">
        <v>26357000</v>
      </c>
      <c r="D9" s="872"/>
      <c r="E9" s="872">
        <f>+C9-SUM(F9:L9)</f>
        <v>4394558</v>
      </c>
      <c r="F9" s="872"/>
      <c r="G9" s="872">
        <f>+G108-G4</f>
        <v>9603570</v>
      </c>
      <c r="H9" s="872">
        <f>+H108</f>
        <v>9993700</v>
      </c>
      <c r="I9" s="872">
        <f>+I108</f>
        <v>2365172</v>
      </c>
      <c r="J9" s="872"/>
      <c r="K9" s="872"/>
      <c r="L9" s="872"/>
      <c r="M9" s="872"/>
      <c r="N9" s="872"/>
      <c r="O9" s="872"/>
      <c r="P9" s="872"/>
      <c r="Q9" s="872"/>
      <c r="R9" s="415">
        <f>SUM(E9:Q9)</f>
        <v>26357000</v>
      </c>
      <c r="S9" s="1205"/>
      <c r="T9" s="872">
        <f>+R9</f>
        <v>26357000</v>
      </c>
      <c r="U9" s="1204"/>
    </row>
    <row r="10" spans="1:21" s="105" customFormat="1">
      <c r="A10" s="194" t="s">
        <v>1765</v>
      </c>
      <c r="B10" s="244">
        <f>SUM(C10+D10)</f>
        <v>0</v>
      </c>
      <c r="C10" s="872"/>
      <c r="D10" s="872"/>
      <c r="E10" s="872"/>
      <c r="F10" s="872"/>
      <c r="G10" s="872"/>
      <c r="H10" s="872"/>
      <c r="I10" s="872"/>
      <c r="J10" s="872"/>
      <c r="K10" s="872"/>
      <c r="L10" s="872"/>
      <c r="M10" s="872"/>
      <c r="N10" s="872"/>
      <c r="O10" s="872"/>
      <c r="P10" s="872"/>
      <c r="Q10" s="872"/>
      <c r="R10" s="415">
        <f>SUM(E10:Q10)</f>
        <v>0</v>
      </c>
      <c r="S10" s="872"/>
      <c r="T10" s="872"/>
      <c r="U10" s="1204"/>
    </row>
    <row r="11" spans="1:21" s="105" customFormat="1">
      <c r="A11" s="106" t="s">
        <v>1766</v>
      </c>
      <c r="B11" s="244">
        <f>SUM(C11:D11)</f>
        <v>26357000</v>
      </c>
      <c r="C11" s="244">
        <f t="shared" ref="C11:Q11" si="1">SUM(C9:C10)</f>
        <v>26357000</v>
      </c>
      <c r="D11" s="244">
        <f t="shared" si="1"/>
        <v>0</v>
      </c>
      <c r="E11" s="244">
        <f t="shared" si="1"/>
        <v>4394558</v>
      </c>
      <c r="F11" s="244">
        <f t="shared" si="1"/>
        <v>0</v>
      </c>
      <c r="G11" s="244">
        <f t="shared" si="1"/>
        <v>9603570</v>
      </c>
      <c r="H11" s="244">
        <f t="shared" si="1"/>
        <v>9993700</v>
      </c>
      <c r="I11" s="244">
        <f t="shared" si="1"/>
        <v>2365172</v>
      </c>
      <c r="J11" s="244">
        <f t="shared" si="1"/>
        <v>0</v>
      </c>
      <c r="K11" s="244">
        <f t="shared" si="1"/>
        <v>0</v>
      </c>
      <c r="L11" s="244">
        <f t="shared" si="1"/>
        <v>0</v>
      </c>
      <c r="M11" s="244">
        <f t="shared" si="1"/>
        <v>0</v>
      </c>
      <c r="N11" s="244">
        <f t="shared" si="1"/>
        <v>0</v>
      </c>
      <c r="O11" s="244">
        <f t="shared" si="1"/>
        <v>0</v>
      </c>
      <c r="P11" s="244"/>
      <c r="Q11" s="244">
        <f t="shared" si="1"/>
        <v>0</v>
      </c>
      <c r="R11" s="244">
        <f>SUM(R9:R10)</f>
        <v>26357000</v>
      </c>
      <c r="S11" s="1205"/>
      <c r="T11" s="107">
        <f>SUM(T9:T10)</f>
        <v>26357000</v>
      </c>
      <c r="U11" s="1204"/>
    </row>
    <row r="12" spans="1:21" s="105" customFormat="1">
      <c r="A12" s="106" t="s">
        <v>1767</v>
      </c>
      <c r="B12" s="244">
        <f t="shared" ref="B12:Q12" si="2">SUM(B8+B11)</f>
        <v>27000000</v>
      </c>
      <c r="C12" s="244">
        <f t="shared" si="2"/>
        <v>27000000</v>
      </c>
      <c r="D12" s="244">
        <f t="shared" si="2"/>
        <v>0</v>
      </c>
      <c r="E12" s="244">
        <f t="shared" si="2"/>
        <v>4394558</v>
      </c>
      <c r="F12" s="244">
        <f t="shared" si="2"/>
        <v>0</v>
      </c>
      <c r="G12" s="244">
        <f t="shared" si="2"/>
        <v>10246570</v>
      </c>
      <c r="H12" s="244">
        <f t="shared" si="2"/>
        <v>9993700</v>
      </c>
      <c r="I12" s="244">
        <f t="shared" si="2"/>
        <v>2365172</v>
      </c>
      <c r="J12" s="244">
        <f t="shared" si="2"/>
        <v>0</v>
      </c>
      <c r="K12" s="244">
        <f t="shared" si="2"/>
        <v>0</v>
      </c>
      <c r="L12" s="244">
        <f t="shared" si="2"/>
        <v>0</v>
      </c>
      <c r="M12" s="244">
        <f t="shared" si="2"/>
        <v>0</v>
      </c>
      <c r="N12" s="244">
        <f t="shared" si="2"/>
        <v>0</v>
      </c>
      <c r="O12" s="244">
        <f t="shared" si="2"/>
        <v>0</v>
      </c>
      <c r="P12" s="244"/>
      <c r="Q12" s="244">
        <f t="shared" si="2"/>
        <v>0</v>
      </c>
      <c r="R12" s="244">
        <f>SUM(R8+R11)</f>
        <v>27000000</v>
      </c>
      <c r="S12" s="1205"/>
      <c r="T12" s="1205"/>
      <c r="U12" s="1204"/>
    </row>
    <row r="13" spans="1:21" s="105" customFormat="1">
      <c r="A13" s="196" t="s">
        <v>1768</v>
      </c>
      <c r="B13" s="244">
        <f>SUM(C13+D13)</f>
        <v>56206</v>
      </c>
      <c r="C13" s="872">
        <f>25548+30658</f>
        <v>56206</v>
      </c>
      <c r="D13" s="872"/>
      <c r="E13" s="872">
        <f>+C13</f>
        <v>56206</v>
      </c>
      <c r="F13" s="872"/>
      <c r="G13" s="872"/>
      <c r="H13" s="872"/>
      <c r="I13" s="872"/>
      <c r="J13" s="872"/>
      <c r="K13" s="872"/>
      <c r="L13" s="872"/>
      <c r="M13" s="872"/>
      <c r="N13" s="872"/>
      <c r="O13" s="872"/>
      <c r="P13" s="872"/>
      <c r="Q13" s="872"/>
      <c r="R13" s="415">
        <f>SUM(E13:Q13)</f>
        <v>56206</v>
      </c>
      <c r="S13" s="872"/>
      <c r="T13" s="872">
        <f>24940+29928-1</f>
        <v>54867</v>
      </c>
      <c r="U13" s="1204"/>
    </row>
    <row r="14" spans="1:21" s="105" customFormat="1" ht="23">
      <c r="A14" s="197" t="s">
        <v>1769</v>
      </c>
      <c r="B14" s="244">
        <f>SUM(C14+D14)</f>
        <v>0</v>
      </c>
      <c r="C14" s="872"/>
      <c r="D14" s="872"/>
      <c r="E14" s="872"/>
      <c r="F14" s="872"/>
      <c r="G14" s="872"/>
      <c r="H14" s="872"/>
      <c r="I14" s="872"/>
      <c r="J14" s="872"/>
      <c r="K14" s="872"/>
      <c r="L14" s="872"/>
      <c r="M14" s="872"/>
      <c r="N14" s="872"/>
      <c r="O14" s="872"/>
      <c r="P14" s="872"/>
      <c r="Q14" s="872"/>
      <c r="R14" s="415">
        <f>SUM(E14:Q14)</f>
        <v>0</v>
      </c>
      <c r="S14" s="872"/>
      <c r="T14" s="872"/>
      <c r="U14" s="1204"/>
    </row>
    <row r="15" spans="1:21" s="105" customFormat="1">
      <c r="A15" s="197" t="s">
        <v>1770</v>
      </c>
      <c r="B15" s="244">
        <f>SUM(C15+D15)</f>
        <v>0</v>
      </c>
      <c r="C15" s="872"/>
      <c r="D15" s="872"/>
      <c r="E15" s="872"/>
      <c r="F15" s="872"/>
      <c r="G15" s="872"/>
      <c r="H15" s="872"/>
      <c r="I15" s="872"/>
      <c r="J15" s="872"/>
      <c r="K15" s="872"/>
      <c r="L15" s="872"/>
      <c r="M15" s="872"/>
      <c r="N15" s="872"/>
      <c r="O15" s="872"/>
      <c r="P15" s="872"/>
      <c r="Q15" s="872"/>
      <c r="R15" s="415">
        <f>SUM(E15:Q15)</f>
        <v>0</v>
      </c>
      <c r="S15" s="1205"/>
      <c r="T15" s="1205"/>
      <c r="U15" s="1204"/>
    </row>
    <row r="16" spans="1:21" s="105" customFormat="1" ht="12">
      <c r="A16" s="104" t="s">
        <v>1771</v>
      </c>
      <c r="B16" s="1203"/>
      <c r="C16" s="1203"/>
      <c r="D16" s="1203"/>
      <c r="E16" s="245"/>
      <c r="F16" s="245"/>
      <c r="G16" s="245"/>
      <c r="H16" s="245"/>
      <c r="I16" s="245"/>
      <c r="J16" s="245"/>
      <c r="K16" s="245"/>
      <c r="L16" s="245"/>
      <c r="M16" s="245"/>
      <c r="N16" s="245"/>
      <c r="O16" s="245"/>
      <c r="P16" s="245"/>
      <c r="Q16" s="245"/>
      <c r="R16" s="245"/>
      <c r="S16" s="1203"/>
      <c r="T16" s="1203"/>
      <c r="U16" s="1204"/>
    </row>
    <row r="17" spans="1:21" s="105" customFormat="1">
      <c r="A17" s="194" t="s">
        <v>1772</v>
      </c>
      <c r="B17" s="244">
        <f t="shared" ref="B17:B26" si="3">SUM(C17+D17)</f>
        <v>319333</v>
      </c>
      <c r="C17" s="872">
        <v>319333</v>
      </c>
      <c r="D17" s="872"/>
      <c r="E17" s="872">
        <f>+C17</f>
        <v>319333</v>
      </c>
      <c r="F17" s="872"/>
      <c r="G17" s="872"/>
      <c r="H17" s="872"/>
      <c r="I17" s="872"/>
      <c r="J17" s="872"/>
      <c r="K17" s="872"/>
      <c r="L17" s="872"/>
      <c r="M17" s="872"/>
      <c r="N17" s="872"/>
      <c r="O17" s="872"/>
      <c r="P17" s="872"/>
      <c r="Q17" s="872"/>
      <c r="R17" s="415">
        <f>SUM(E17:Q17)</f>
        <v>319333</v>
      </c>
      <c r="S17" s="872">
        <f>+R17</f>
        <v>319333</v>
      </c>
      <c r="T17" s="872"/>
      <c r="U17" s="1204"/>
    </row>
    <row r="18" spans="1:21" s="105" customFormat="1">
      <c r="A18" s="194" t="s">
        <v>1773</v>
      </c>
      <c r="B18" s="244">
        <f t="shared" si="3"/>
        <v>12856797</v>
      </c>
      <c r="C18" s="872">
        <v>12856797</v>
      </c>
      <c r="D18" s="872"/>
      <c r="E18" s="872">
        <f>+C18-SUM(F18:L18)</f>
        <v>3147231</v>
      </c>
      <c r="F18" s="872">
        <f>+F108</f>
        <v>8664000</v>
      </c>
      <c r="G18" s="872"/>
      <c r="H18" s="872"/>
      <c r="I18" s="872"/>
      <c r="J18" s="872">
        <f>+J108</f>
        <v>882875</v>
      </c>
      <c r="K18" s="872"/>
      <c r="L18" s="872">
        <f>+L108-L75-L76</f>
        <v>162691</v>
      </c>
      <c r="M18" s="872"/>
      <c r="N18" s="872"/>
      <c r="O18" s="872"/>
      <c r="P18" s="872"/>
      <c r="Q18" s="872"/>
      <c r="R18" s="415">
        <f>SUM(E18:Q18)</f>
        <v>12856797</v>
      </c>
      <c r="S18" s="872">
        <f>+R18</f>
        <v>12856797</v>
      </c>
      <c r="T18" s="872"/>
      <c r="U18" s="1204"/>
    </row>
    <row r="19" spans="1:21" s="105" customFormat="1">
      <c r="A19" s="194" t="s">
        <v>1774</v>
      </c>
      <c r="B19" s="244">
        <f t="shared" si="3"/>
        <v>845952</v>
      </c>
      <c r="C19" s="872">
        <v>845952</v>
      </c>
      <c r="D19" s="872"/>
      <c r="E19" s="872">
        <f>+C19</f>
        <v>845952</v>
      </c>
      <c r="F19" s="872"/>
      <c r="G19" s="872"/>
      <c r="H19" s="872"/>
      <c r="I19" s="872"/>
      <c r="J19" s="872"/>
      <c r="K19" s="872"/>
      <c r="L19" s="872"/>
      <c r="M19" s="872"/>
      <c r="N19" s="872"/>
      <c r="O19" s="872"/>
      <c r="P19" s="872"/>
      <c r="Q19" s="872"/>
      <c r="R19" s="415">
        <f>SUM(E19:Q19)</f>
        <v>845952</v>
      </c>
      <c r="S19" s="872">
        <f>+R19</f>
        <v>845952</v>
      </c>
      <c r="T19" s="872"/>
      <c r="U19" s="1204"/>
    </row>
    <row r="20" spans="1:21" s="105" customFormat="1">
      <c r="A20" s="194" t="s">
        <v>1775</v>
      </c>
      <c r="B20" s="244">
        <f t="shared" si="3"/>
        <v>500783</v>
      </c>
      <c r="C20" s="872">
        <f>1001566/2</f>
        <v>500783</v>
      </c>
      <c r="D20" s="872"/>
      <c r="E20" s="872">
        <f>+C20</f>
        <v>500783</v>
      </c>
      <c r="F20" s="872"/>
      <c r="G20" s="872"/>
      <c r="H20" s="872"/>
      <c r="I20" s="872"/>
      <c r="J20" s="872"/>
      <c r="K20" s="872"/>
      <c r="L20" s="872"/>
      <c r="M20" s="872"/>
      <c r="N20" s="872"/>
      <c r="O20" s="872"/>
      <c r="P20" s="872"/>
      <c r="Q20" s="872"/>
      <c r="R20" s="415">
        <f t="shared" ref="R20:R27" si="4">SUM(E20:Q20)</f>
        <v>500783</v>
      </c>
      <c r="S20" s="872">
        <f>+R20</f>
        <v>500783</v>
      </c>
      <c r="T20" s="872"/>
      <c r="U20" s="1204"/>
    </row>
    <row r="21" spans="1:21" s="105" customFormat="1">
      <c r="A21" s="194" t="s">
        <v>1776</v>
      </c>
      <c r="B21" s="244">
        <f t="shared" si="3"/>
        <v>500783</v>
      </c>
      <c r="C21" s="872">
        <f>+C20</f>
        <v>500783</v>
      </c>
      <c r="D21" s="872"/>
      <c r="E21" s="872">
        <f>+C21</f>
        <v>500783</v>
      </c>
      <c r="F21" s="872"/>
      <c r="G21" s="872"/>
      <c r="H21" s="872"/>
      <c r="I21" s="872"/>
      <c r="J21" s="872"/>
      <c r="K21" s="872"/>
      <c r="L21" s="872"/>
      <c r="M21" s="872"/>
      <c r="N21" s="872"/>
      <c r="O21" s="872"/>
      <c r="P21" s="872"/>
      <c r="Q21" s="872"/>
      <c r="R21" s="415">
        <f t="shared" si="4"/>
        <v>500783</v>
      </c>
      <c r="S21" s="872">
        <f>+R21</f>
        <v>500783</v>
      </c>
      <c r="T21" s="872"/>
      <c r="U21" s="1204"/>
    </row>
    <row r="22" spans="1:21" s="105" customFormat="1">
      <c r="A22" s="194" t="s">
        <v>1777</v>
      </c>
      <c r="B22" s="244">
        <f t="shared" si="3"/>
        <v>0</v>
      </c>
      <c r="C22" s="872"/>
      <c r="D22" s="872"/>
      <c r="E22" s="872"/>
      <c r="F22" s="872"/>
      <c r="G22" s="872"/>
      <c r="H22" s="872"/>
      <c r="I22" s="872"/>
      <c r="J22" s="872"/>
      <c r="K22" s="872"/>
      <c r="L22" s="872"/>
      <c r="M22" s="872"/>
      <c r="N22" s="872"/>
      <c r="O22" s="872"/>
      <c r="P22" s="872"/>
      <c r="Q22" s="872"/>
      <c r="R22" s="415">
        <f t="shared" si="4"/>
        <v>0</v>
      </c>
      <c r="S22" s="872"/>
      <c r="T22" s="872"/>
      <c r="U22" s="1204"/>
    </row>
    <row r="23" spans="1:21" s="105" customFormat="1">
      <c r="A23" s="194" t="s">
        <v>1778</v>
      </c>
      <c r="B23" s="244">
        <f t="shared" si="3"/>
        <v>105914</v>
      </c>
      <c r="C23" s="872">
        <v>105914</v>
      </c>
      <c r="D23" s="872"/>
      <c r="E23" s="872">
        <f>+C23</f>
        <v>105914</v>
      </c>
      <c r="F23" s="872"/>
      <c r="G23" s="872"/>
      <c r="H23" s="872"/>
      <c r="I23" s="872"/>
      <c r="J23" s="872"/>
      <c r="K23" s="872"/>
      <c r="L23" s="872"/>
      <c r="M23" s="872"/>
      <c r="N23" s="872"/>
      <c r="O23" s="872"/>
      <c r="P23" s="872"/>
      <c r="Q23" s="872"/>
      <c r="R23" s="415">
        <f t="shared" si="4"/>
        <v>105914</v>
      </c>
      <c r="S23" s="872">
        <f>+R23</f>
        <v>105914</v>
      </c>
      <c r="T23" s="872"/>
      <c r="U23" s="1204"/>
    </row>
    <row r="24" spans="1:21" s="105" customFormat="1">
      <c r="A24" s="408" t="s">
        <v>1779</v>
      </c>
      <c r="B24" s="244">
        <f t="shared" si="3"/>
        <v>120000</v>
      </c>
      <c r="C24" s="872">
        <v>120000</v>
      </c>
      <c r="D24" s="872"/>
      <c r="E24" s="872">
        <f>+C24</f>
        <v>120000</v>
      </c>
      <c r="F24" s="872"/>
      <c r="G24" s="872"/>
      <c r="H24" s="872"/>
      <c r="I24" s="872"/>
      <c r="J24" s="872"/>
      <c r="K24" s="872"/>
      <c r="L24" s="872"/>
      <c r="M24" s="872"/>
      <c r="N24" s="872"/>
      <c r="O24" s="872"/>
      <c r="P24" s="872"/>
      <c r="Q24" s="872"/>
      <c r="R24" s="415">
        <f t="shared" si="4"/>
        <v>120000</v>
      </c>
      <c r="S24" s="872">
        <f>+R24</f>
        <v>120000</v>
      </c>
      <c r="T24" s="872"/>
      <c r="U24" s="1204"/>
    </row>
    <row r="25" spans="1:21" s="105" customFormat="1">
      <c r="A25" s="1037" t="s">
        <v>2757</v>
      </c>
      <c r="B25" s="244">
        <f t="shared" si="3"/>
        <v>100000</v>
      </c>
      <c r="C25" s="872">
        <v>100000</v>
      </c>
      <c r="D25" s="872"/>
      <c r="E25" s="872">
        <f>+C25</f>
        <v>100000</v>
      </c>
      <c r="F25" s="872"/>
      <c r="G25" s="872"/>
      <c r="H25" s="872"/>
      <c r="I25" s="872"/>
      <c r="J25" s="872"/>
      <c r="K25" s="872"/>
      <c r="L25" s="872"/>
      <c r="M25" s="872"/>
      <c r="N25" s="872"/>
      <c r="O25" s="872"/>
      <c r="P25" s="872"/>
      <c r="Q25" s="872"/>
      <c r="R25" s="415">
        <f t="shared" si="4"/>
        <v>100000</v>
      </c>
      <c r="S25" s="872">
        <f>+R25</f>
        <v>100000</v>
      </c>
      <c r="T25" s="872"/>
      <c r="U25" s="1204"/>
    </row>
    <row r="26" spans="1:21" s="105" customFormat="1">
      <c r="A26" s="106" t="s">
        <v>1781</v>
      </c>
      <c r="B26" s="244">
        <f t="shared" si="3"/>
        <v>15349562</v>
      </c>
      <c r="C26" s="244">
        <f>SUM(C17:C25)</f>
        <v>15349562</v>
      </c>
      <c r="D26" s="244">
        <f t="shared" ref="D26:Q26" si="5">SUM(D17:D25)</f>
        <v>0</v>
      </c>
      <c r="E26" s="244">
        <f t="shared" si="5"/>
        <v>5639996</v>
      </c>
      <c r="F26" s="244">
        <f t="shared" si="5"/>
        <v>8664000</v>
      </c>
      <c r="G26" s="244">
        <f t="shared" si="5"/>
        <v>0</v>
      </c>
      <c r="H26" s="244">
        <f t="shared" si="5"/>
        <v>0</v>
      </c>
      <c r="I26" s="244">
        <f t="shared" si="5"/>
        <v>0</v>
      </c>
      <c r="J26" s="244">
        <f t="shared" si="5"/>
        <v>882875</v>
      </c>
      <c r="K26" s="244">
        <f t="shared" si="5"/>
        <v>0</v>
      </c>
      <c r="L26" s="244">
        <f t="shared" si="5"/>
        <v>162691</v>
      </c>
      <c r="M26" s="244">
        <f t="shared" si="5"/>
        <v>0</v>
      </c>
      <c r="N26" s="244">
        <f t="shared" si="5"/>
        <v>0</v>
      </c>
      <c r="O26" s="244">
        <f t="shared" si="5"/>
        <v>0</v>
      </c>
      <c r="P26" s="244">
        <f t="shared" si="5"/>
        <v>0</v>
      </c>
      <c r="Q26" s="244">
        <f t="shared" si="5"/>
        <v>0</v>
      </c>
      <c r="R26" s="244">
        <f>SUM(R17:R25)</f>
        <v>15349562</v>
      </c>
      <c r="S26" s="107">
        <f>SUM(S17:S25)</f>
        <v>15349562</v>
      </c>
      <c r="T26" s="107">
        <f>SUM(T17:T25)</f>
        <v>0</v>
      </c>
      <c r="U26" s="1204"/>
    </row>
    <row r="27" spans="1:21" s="105" customFormat="1">
      <c r="A27" s="106" t="s">
        <v>1782</v>
      </c>
      <c r="B27" s="244">
        <f>SUM(C27:D27)</f>
        <v>1295000</v>
      </c>
      <c r="C27" s="872">
        <v>1295000</v>
      </c>
      <c r="D27" s="872"/>
      <c r="E27" s="872">
        <f>+C27</f>
        <v>1295000</v>
      </c>
      <c r="F27" s="872"/>
      <c r="G27" s="872"/>
      <c r="H27" s="872"/>
      <c r="I27" s="872"/>
      <c r="J27" s="872"/>
      <c r="K27" s="872"/>
      <c r="L27" s="872"/>
      <c r="M27" s="872"/>
      <c r="N27" s="872"/>
      <c r="O27" s="872"/>
      <c r="P27" s="872"/>
      <c r="Q27" s="872"/>
      <c r="R27" s="415">
        <f t="shared" si="4"/>
        <v>1295000</v>
      </c>
      <c r="S27" s="872">
        <f>+R27</f>
        <v>1295000</v>
      </c>
      <c r="T27" s="872"/>
      <c r="U27" s="1204"/>
    </row>
    <row r="28" spans="1:21" s="105" customFormat="1" ht="12">
      <c r="A28" s="104" t="s">
        <v>1783</v>
      </c>
      <c r="B28" s="1203"/>
      <c r="C28" s="1203"/>
      <c r="D28" s="1203"/>
      <c r="E28" s="245"/>
      <c r="F28" s="245"/>
      <c r="G28" s="245"/>
      <c r="H28" s="245"/>
      <c r="I28" s="245"/>
      <c r="J28" s="245"/>
      <c r="K28" s="245"/>
      <c r="L28" s="245"/>
      <c r="M28" s="245"/>
      <c r="N28" s="245"/>
      <c r="O28" s="245"/>
      <c r="P28" s="245"/>
      <c r="Q28" s="245"/>
      <c r="R28" s="245"/>
      <c r="S28" s="1203"/>
      <c r="T28" s="1203"/>
      <c r="U28" s="1204"/>
    </row>
    <row r="29" spans="1:21" s="105" customFormat="1">
      <c r="A29" s="194" t="s">
        <v>1772</v>
      </c>
      <c r="B29" s="244">
        <f t="shared" ref="B29:B38" si="6">SUM(C29+D29)</f>
        <v>0</v>
      </c>
      <c r="C29" s="872"/>
      <c r="D29" s="872"/>
      <c r="E29" s="872"/>
      <c r="F29" s="872"/>
      <c r="G29" s="872"/>
      <c r="H29" s="872"/>
      <c r="I29" s="872"/>
      <c r="J29" s="872"/>
      <c r="K29" s="872"/>
      <c r="L29" s="872"/>
      <c r="M29" s="872"/>
      <c r="N29" s="872"/>
      <c r="O29" s="872"/>
      <c r="P29" s="872"/>
      <c r="Q29" s="872"/>
      <c r="R29" s="415">
        <f t="shared" ref="R29:R37" si="7">SUM(E29:Q29)</f>
        <v>0</v>
      </c>
      <c r="S29" s="872"/>
      <c r="T29" s="872"/>
      <c r="U29" s="1204"/>
    </row>
    <row r="30" spans="1:21" s="105" customFormat="1">
      <c r="A30" s="194" t="s">
        <v>1773</v>
      </c>
      <c r="B30" s="244">
        <f t="shared" si="6"/>
        <v>0</v>
      </c>
      <c r="C30" s="872"/>
      <c r="D30" s="872"/>
      <c r="E30" s="872"/>
      <c r="F30" s="872"/>
      <c r="G30" s="872"/>
      <c r="H30" s="872"/>
      <c r="I30" s="872"/>
      <c r="J30" s="872"/>
      <c r="K30" s="872"/>
      <c r="L30" s="872"/>
      <c r="M30" s="872"/>
      <c r="N30" s="872"/>
      <c r="O30" s="872"/>
      <c r="P30" s="872"/>
      <c r="Q30" s="872"/>
      <c r="R30" s="415">
        <f t="shared" si="7"/>
        <v>0</v>
      </c>
      <c r="S30" s="872"/>
      <c r="T30" s="872"/>
      <c r="U30" s="1204"/>
    </row>
    <row r="31" spans="1:21" s="105" customFormat="1">
      <c r="A31" s="194" t="s">
        <v>1774</v>
      </c>
      <c r="B31" s="244">
        <f t="shared" si="6"/>
        <v>0</v>
      </c>
      <c r="C31" s="872"/>
      <c r="D31" s="872"/>
      <c r="E31" s="872"/>
      <c r="F31" s="872"/>
      <c r="G31" s="872"/>
      <c r="H31" s="872"/>
      <c r="I31" s="872"/>
      <c r="J31" s="872"/>
      <c r="K31" s="872"/>
      <c r="L31" s="872"/>
      <c r="M31" s="872"/>
      <c r="N31" s="872"/>
      <c r="O31" s="872"/>
      <c r="P31" s="872"/>
      <c r="Q31" s="872"/>
      <c r="R31" s="415">
        <f t="shared" si="7"/>
        <v>0</v>
      </c>
      <c r="S31" s="872"/>
      <c r="T31" s="872"/>
      <c r="U31" s="1204"/>
    </row>
    <row r="32" spans="1:21" s="105" customFormat="1">
      <c r="A32" s="194" t="s">
        <v>1775</v>
      </c>
      <c r="B32" s="244">
        <f t="shared" si="6"/>
        <v>0</v>
      </c>
      <c r="C32" s="872"/>
      <c r="D32" s="872"/>
      <c r="E32" s="872"/>
      <c r="F32" s="872"/>
      <c r="G32" s="872"/>
      <c r="H32" s="872"/>
      <c r="I32" s="872"/>
      <c r="J32" s="872"/>
      <c r="K32" s="872"/>
      <c r="L32" s="872"/>
      <c r="M32" s="872"/>
      <c r="N32" s="872"/>
      <c r="O32" s="872"/>
      <c r="P32" s="872"/>
      <c r="Q32" s="872"/>
      <c r="R32" s="415">
        <f t="shared" si="7"/>
        <v>0</v>
      </c>
      <c r="S32" s="872"/>
      <c r="T32" s="872"/>
      <c r="U32" s="1204"/>
    </row>
    <row r="33" spans="1:21" s="105" customFormat="1">
      <c r="A33" s="194" t="s">
        <v>1776</v>
      </c>
      <c r="B33" s="244">
        <f t="shared" si="6"/>
        <v>0</v>
      </c>
      <c r="C33" s="872"/>
      <c r="D33" s="872"/>
      <c r="E33" s="872"/>
      <c r="F33" s="872"/>
      <c r="G33" s="872"/>
      <c r="H33" s="872"/>
      <c r="I33" s="872"/>
      <c r="J33" s="872"/>
      <c r="K33" s="872"/>
      <c r="L33" s="872"/>
      <c r="M33" s="872"/>
      <c r="N33" s="872"/>
      <c r="O33" s="872"/>
      <c r="P33" s="872"/>
      <c r="Q33" s="872"/>
      <c r="R33" s="415">
        <f t="shared" si="7"/>
        <v>0</v>
      </c>
      <c r="S33" s="872"/>
      <c r="T33" s="872"/>
      <c r="U33" s="1204"/>
    </row>
    <row r="34" spans="1:21" s="105" customFormat="1">
      <c r="A34" s="194" t="s">
        <v>1777</v>
      </c>
      <c r="B34" s="244">
        <f t="shared" si="6"/>
        <v>0</v>
      </c>
      <c r="C34" s="872"/>
      <c r="D34" s="872"/>
      <c r="E34" s="872"/>
      <c r="F34" s="872"/>
      <c r="G34" s="872"/>
      <c r="H34" s="872"/>
      <c r="I34" s="872"/>
      <c r="J34" s="872"/>
      <c r="K34" s="872"/>
      <c r="L34" s="872"/>
      <c r="M34" s="872"/>
      <c r="N34" s="872"/>
      <c r="O34" s="872"/>
      <c r="P34" s="872"/>
      <c r="Q34" s="872"/>
      <c r="R34" s="415">
        <f t="shared" si="7"/>
        <v>0</v>
      </c>
      <c r="S34" s="872"/>
      <c r="T34" s="872"/>
      <c r="U34" s="1204"/>
    </row>
    <row r="35" spans="1:21" s="105" customFormat="1">
      <c r="A35" s="194" t="s">
        <v>1778</v>
      </c>
      <c r="B35" s="244">
        <f t="shared" si="6"/>
        <v>0</v>
      </c>
      <c r="C35" s="872"/>
      <c r="D35" s="872"/>
      <c r="E35" s="872"/>
      <c r="F35" s="872"/>
      <c r="G35" s="872"/>
      <c r="H35" s="872"/>
      <c r="I35" s="872"/>
      <c r="J35" s="872"/>
      <c r="K35" s="872"/>
      <c r="L35" s="872"/>
      <c r="M35" s="872"/>
      <c r="N35" s="872"/>
      <c r="O35" s="872"/>
      <c r="P35" s="872"/>
      <c r="Q35" s="872"/>
      <c r="R35" s="415">
        <f t="shared" si="7"/>
        <v>0</v>
      </c>
      <c r="S35" s="872"/>
      <c r="T35" s="872"/>
      <c r="U35" s="1204"/>
    </row>
    <row r="36" spans="1:21" s="105" customFormat="1">
      <c r="A36" s="194" t="s">
        <v>1779</v>
      </c>
      <c r="B36" s="244">
        <f t="shared" si="6"/>
        <v>0</v>
      </c>
      <c r="C36" s="872"/>
      <c r="D36" s="872"/>
      <c r="E36" s="872"/>
      <c r="F36" s="872"/>
      <c r="G36" s="872"/>
      <c r="H36" s="872"/>
      <c r="I36" s="872"/>
      <c r="J36" s="872"/>
      <c r="K36" s="872"/>
      <c r="L36" s="872"/>
      <c r="M36" s="872"/>
      <c r="N36" s="872"/>
      <c r="O36" s="872"/>
      <c r="P36" s="872"/>
      <c r="Q36" s="872"/>
      <c r="R36" s="415">
        <f t="shared" si="7"/>
        <v>0</v>
      </c>
      <c r="S36" s="872"/>
      <c r="T36" s="872"/>
      <c r="U36" s="1204"/>
    </row>
    <row r="37" spans="1:21" s="105" customFormat="1">
      <c r="A37" s="1037" t="s">
        <v>1780</v>
      </c>
      <c r="B37" s="244">
        <f t="shared" si="6"/>
        <v>0</v>
      </c>
      <c r="C37" s="872"/>
      <c r="D37" s="872"/>
      <c r="E37" s="872"/>
      <c r="F37" s="872"/>
      <c r="G37" s="872"/>
      <c r="H37" s="872"/>
      <c r="I37" s="872"/>
      <c r="J37" s="872"/>
      <c r="K37" s="872"/>
      <c r="L37" s="872"/>
      <c r="M37" s="872"/>
      <c r="N37" s="872"/>
      <c r="O37" s="872"/>
      <c r="P37" s="872"/>
      <c r="Q37" s="872"/>
      <c r="R37" s="415">
        <f t="shared" si="7"/>
        <v>0</v>
      </c>
      <c r="S37" s="872"/>
      <c r="T37" s="872"/>
      <c r="U37" s="1204"/>
    </row>
    <row r="38" spans="1:21" s="105" customFormat="1">
      <c r="A38" s="106" t="s">
        <v>1784</v>
      </c>
      <c r="B38" s="244">
        <f t="shared" si="6"/>
        <v>0</v>
      </c>
      <c r="C38" s="244">
        <f>SUM(C29:C37)</f>
        <v>0</v>
      </c>
      <c r="D38" s="244">
        <f t="shared" ref="D38:Q38" si="8">SUM(D29:D37)</f>
        <v>0</v>
      </c>
      <c r="E38" s="244">
        <f t="shared" si="8"/>
        <v>0</v>
      </c>
      <c r="F38" s="244">
        <f t="shared" si="8"/>
        <v>0</v>
      </c>
      <c r="G38" s="244">
        <f t="shared" si="8"/>
        <v>0</v>
      </c>
      <c r="H38" s="244">
        <f t="shared" si="8"/>
        <v>0</v>
      </c>
      <c r="I38" s="244">
        <f t="shared" si="8"/>
        <v>0</v>
      </c>
      <c r="J38" s="244">
        <f t="shared" si="8"/>
        <v>0</v>
      </c>
      <c r="K38" s="244">
        <f t="shared" si="8"/>
        <v>0</v>
      </c>
      <c r="L38" s="244">
        <f t="shared" si="8"/>
        <v>0</v>
      </c>
      <c r="M38" s="244">
        <f t="shared" si="8"/>
        <v>0</v>
      </c>
      <c r="N38" s="244">
        <f t="shared" si="8"/>
        <v>0</v>
      </c>
      <c r="O38" s="244">
        <f t="shared" si="8"/>
        <v>0</v>
      </c>
      <c r="P38" s="244">
        <f t="shared" si="8"/>
        <v>0</v>
      </c>
      <c r="Q38" s="244">
        <f t="shared" si="8"/>
        <v>0</v>
      </c>
      <c r="R38" s="244">
        <f>SUM(R29:R37)</f>
        <v>0</v>
      </c>
      <c r="S38" s="107">
        <f>SUM(S29:S37)</f>
        <v>0</v>
      </c>
      <c r="T38" s="107">
        <f>SUM(T29:T37)</f>
        <v>0</v>
      </c>
      <c r="U38" s="1204"/>
    </row>
    <row r="39" spans="1:21" s="105" customFormat="1" ht="12">
      <c r="A39" s="104" t="s">
        <v>1785</v>
      </c>
      <c r="B39" s="1203"/>
      <c r="C39" s="1203"/>
      <c r="D39" s="1203"/>
      <c r="E39" s="245"/>
      <c r="F39" s="245"/>
      <c r="G39" s="245"/>
      <c r="H39" s="245"/>
      <c r="I39" s="245"/>
      <c r="J39" s="245"/>
      <c r="K39" s="245"/>
      <c r="L39" s="245"/>
      <c r="M39" s="245"/>
      <c r="N39" s="245"/>
      <c r="O39" s="245"/>
      <c r="P39" s="245"/>
      <c r="Q39" s="245"/>
      <c r="R39" s="245"/>
      <c r="S39" s="1203"/>
      <c r="T39" s="1203"/>
      <c r="U39" s="1204"/>
    </row>
    <row r="40" spans="1:21" s="105" customFormat="1">
      <c r="A40" s="194" t="s">
        <v>1786</v>
      </c>
      <c r="B40" s="244">
        <f>SUM(C40+D40)</f>
        <v>1242323</v>
      </c>
      <c r="C40" s="872">
        <v>1242323</v>
      </c>
      <c r="D40" s="872"/>
      <c r="E40" s="872">
        <f>+C40</f>
        <v>1242323</v>
      </c>
      <c r="F40" s="872"/>
      <c r="G40" s="872"/>
      <c r="H40" s="872"/>
      <c r="I40" s="872"/>
      <c r="J40" s="872"/>
      <c r="K40" s="872"/>
      <c r="L40" s="872"/>
      <c r="M40" s="872"/>
      <c r="N40" s="872"/>
      <c r="O40" s="872"/>
      <c r="P40" s="872"/>
      <c r="Q40" s="872"/>
      <c r="R40" s="415">
        <f>SUM(E40:Q40)</f>
        <v>1242323</v>
      </c>
      <c r="S40" s="872">
        <f>+R40</f>
        <v>1242323</v>
      </c>
      <c r="T40" s="872"/>
      <c r="U40" s="1204"/>
    </row>
    <row r="41" spans="1:21" s="105" customFormat="1">
      <c r="A41" s="194" t="s">
        <v>1787</v>
      </c>
      <c r="B41" s="244">
        <f>SUM(C41+D41)</f>
        <v>0</v>
      </c>
      <c r="C41" s="872"/>
      <c r="D41" s="872"/>
      <c r="E41" s="872"/>
      <c r="F41" s="872"/>
      <c r="G41" s="872"/>
      <c r="H41" s="872"/>
      <c r="I41" s="872"/>
      <c r="J41" s="872"/>
      <c r="K41" s="872"/>
      <c r="L41" s="872"/>
      <c r="M41" s="872"/>
      <c r="N41" s="872"/>
      <c r="O41" s="872"/>
      <c r="P41" s="872"/>
      <c r="Q41" s="872"/>
      <c r="R41" s="415">
        <f>SUM(E41:Q41)</f>
        <v>0</v>
      </c>
      <c r="S41" s="872"/>
      <c r="T41" s="872"/>
      <c r="U41" s="1204"/>
    </row>
    <row r="42" spans="1:21" s="105" customFormat="1">
      <c r="A42" s="106" t="s">
        <v>1788</v>
      </c>
      <c r="B42" s="244">
        <f>SUM(C42:D42)</f>
        <v>1242323</v>
      </c>
      <c r="C42" s="244">
        <f>SUM(C39:C41)</f>
        <v>1242323</v>
      </c>
      <c r="D42" s="244">
        <f>SUM(D39:D41)</f>
        <v>0</v>
      </c>
      <c r="E42" s="244">
        <f t="shared" ref="E42:T42" si="9">SUM(E40:E41)</f>
        <v>1242323</v>
      </c>
      <c r="F42" s="244">
        <f t="shared" si="9"/>
        <v>0</v>
      </c>
      <c r="G42" s="244">
        <f t="shared" si="9"/>
        <v>0</v>
      </c>
      <c r="H42" s="244">
        <f t="shared" si="9"/>
        <v>0</v>
      </c>
      <c r="I42" s="244">
        <f t="shared" si="9"/>
        <v>0</v>
      </c>
      <c r="J42" s="244">
        <f t="shared" si="9"/>
        <v>0</v>
      </c>
      <c r="K42" s="244">
        <f t="shared" si="9"/>
        <v>0</v>
      </c>
      <c r="L42" s="244">
        <f t="shared" si="9"/>
        <v>0</v>
      </c>
      <c r="M42" s="244">
        <f t="shared" si="9"/>
        <v>0</v>
      </c>
      <c r="N42" s="244">
        <f t="shared" si="9"/>
        <v>0</v>
      </c>
      <c r="O42" s="244">
        <f t="shared" si="9"/>
        <v>0</v>
      </c>
      <c r="P42" s="244">
        <f t="shared" si="9"/>
        <v>0</v>
      </c>
      <c r="Q42" s="244">
        <f t="shared" si="9"/>
        <v>0</v>
      </c>
      <c r="R42" s="244">
        <f>SUM(R40:R41)</f>
        <v>1242323</v>
      </c>
      <c r="S42" s="107">
        <f t="shared" si="9"/>
        <v>1242323</v>
      </c>
      <c r="T42" s="107">
        <f t="shared" si="9"/>
        <v>0</v>
      </c>
      <c r="U42" s="1204"/>
    </row>
    <row r="43" spans="1:21" s="105" customFormat="1">
      <c r="A43" s="106" t="s">
        <v>1789</v>
      </c>
      <c r="B43" s="244">
        <f>SUM(C43:D43)</f>
        <v>50000</v>
      </c>
      <c r="C43" s="872">
        <f>30000+3000+17000</f>
        <v>50000</v>
      </c>
      <c r="D43" s="872"/>
      <c r="E43" s="872">
        <f>+C43</f>
        <v>50000</v>
      </c>
      <c r="F43" s="872"/>
      <c r="G43" s="872"/>
      <c r="H43" s="872"/>
      <c r="I43" s="872"/>
      <c r="J43" s="872"/>
      <c r="K43" s="872"/>
      <c r="L43" s="872"/>
      <c r="M43" s="872"/>
      <c r="N43" s="872"/>
      <c r="O43" s="872"/>
      <c r="P43" s="872"/>
      <c r="Q43" s="872"/>
      <c r="R43" s="415">
        <f>SUM(E43:Q43)</f>
        <v>50000</v>
      </c>
      <c r="S43" s="872">
        <f>+R43</f>
        <v>50000</v>
      </c>
      <c r="T43" s="872"/>
      <c r="U43" s="1204"/>
    </row>
    <row r="44" spans="1:21" s="105" customFormat="1" ht="12">
      <c r="A44" s="104" t="s">
        <v>1790</v>
      </c>
      <c r="B44" s="1203"/>
      <c r="C44" s="1203"/>
      <c r="D44" s="1203"/>
      <c r="E44" s="245"/>
      <c r="F44" s="245"/>
      <c r="G44" s="245"/>
      <c r="H44" s="245"/>
      <c r="I44" s="245"/>
      <c r="J44" s="245"/>
      <c r="K44" s="245"/>
      <c r="L44" s="245"/>
      <c r="M44" s="245"/>
      <c r="N44" s="245"/>
      <c r="O44" s="245"/>
      <c r="P44" s="245"/>
      <c r="Q44" s="245"/>
      <c r="R44" s="245"/>
      <c r="S44" s="1203"/>
      <c r="T44" s="1203"/>
      <c r="U44" s="1204"/>
    </row>
    <row r="45" spans="1:21" s="105" customFormat="1">
      <c r="A45" s="194" t="s">
        <v>1791</v>
      </c>
      <c r="B45" s="244">
        <f t="shared" ref="B45:B53" si="10">SUM(C45+D45)</f>
        <v>2326802</v>
      </c>
      <c r="C45" s="872">
        <f>1727622+599182-2</f>
        <v>2326802</v>
      </c>
      <c r="D45" s="872"/>
      <c r="E45" s="872">
        <f t="shared" ref="E45:E52" si="11">+C45</f>
        <v>2326802</v>
      </c>
      <c r="F45" s="872"/>
      <c r="G45" s="872"/>
      <c r="H45" s="872"/>
      <c r="I45" s="872"/>
      <c r="J45" s="872"/>
      <c r="K45" s="872"/>
      <c r="L45" s="872"/>
      <c r="M45" s="872"/>
      <c r="N45" s="872"/>
      <c r="O45" s="872"/>
      <c r="P45" s="872"/>
      <c r="Q45" s="872"/>
      <c r="R45" s="415">
        <f t="shared" ref="R45:R53" si="12">SUM(E45:Q45)</f>
        <v>2326802</v>
      </c>
      <c r="S45" s="872">
        <f>1118841+213197+1</f>
        <v>1332039</v>
      </c>
      <c r="T45" s="872"/>
      <c r="U45" s="1204"/>
    </row>
    <row r="46" spans="1:21" s="105" customFormat="1">
      <c r="A46" s="194" t="s">
        <v>1792</v>
      </c>
      <c r="B46" s="244">
        <f t="shared" si="10"/>
        <v>204404</v>
      </c>
      <c r="C46" s="872">
        <v>204404</v>
      </c>
      <c r="D46" s="872"/>
      <c r="E46" s="872">
        <f t="shared" si="11"/>
        <v>204404</v>
      </c>
      <c r="F46" s="872"/>
      <c r="G46" s="872"/>
      <c r="H46" s="872"/>
      <c r="I46" s="872"/>
      <c r="J46" s="872"/>
      <c r="K46" s="872"/>
      <c r="L46" s="872"/>
      <c r="M46" s="872"/>
      <c r="N46" s="872"/>
      <c r="O46" s="872"/>
      <c r="P46" s="872"/>
      <c r="Q46" s="872"/>
      <c r="R46" s="415">
        <f t="shared" si="12"/>
        <v>204404</v>
      </c>
      <c r="S46" s="872">
        <v>117016</v>
      </c>
      <c r="T46" s="872"/>
      <c r="U46" s="1204"/>
    </row>
    <row r="47" spans="1:21" s="105" customFormat="1">
      <c r="A47" s="1206" t="s">
        <v>1793</v>
      </c>
      <c r="B47" s="244">
        <f t="shared" si="10"/>
        <v>25000</v>
      </c>
      <c r="C47" s="872">
        <v>25000</v>
      </c>
      <c r="D47" s="872"/>
      <c r="E47" s="872">
        <f t="shared" si="11"/>
        <v>25000</v>
      </c>
      <c r="F47" s="872"/>
      <c r="G47" s="872"/>
      <c r="H47" s="872"/>
      <c r="I47" s="872"/>
      <c r="J47" s="872"/>
      <c r="K47" s="872"/>
      <c r="L47" s="872"/>
      <c r="M47" s="872"/>
      <c r="N47" s="872"/>
      <c r="O47" s="872"/>
      <c r="P47" s="872"/>
      <c r="Q47" s="872"/>
      <c r="R47" s="415">
        <f t="shared" si="12"/>
        <v>25000</v>
      </c>
      <c r="S47" s="872">
        <v>14312</v>
      </c>
      <c r="T47" s="872"/>
      <c r="U47" s="1204"/>
    </row>
    <row r="48" spans="1:21" s="105" customFormat="1">
      <c r="A48" s="194" t="s">
        <v>1794</v>
      </c>
      <c r="B48" s="244">
        <f t="shared" si="10"/>
        <v>80092</v>
      </c>
      <c r="C48" s="872">
        <v>80092</v>
      </c>
      <c r="D48" s="872"/>
      <c r="E48" s="872">
        <f t="shared" si="11"/>
        <v>80092</v>
      </c>
      <c r="F48" s="872"/>
      <c r="G48" s="872"/>
      <c r="H48" s="872"/>
      <c r="I48" s="872"/>
      <c r="J48" s="872"/>
      <c r="K48" s="872"/>
      <c r="L48" s="872"/>
      <c r="M48" s="872"/>
      <c r="N48" s="872"/>
      <c r="O48" s="872"/>
      <c r="P48" s="872"/>
      <c r="Q48" s="872"/>
      <c r="R48" s="415">
        <f t="shared" si="12"/>
        <v>80092</v>
      </c>
      <c r="S48" s="872">
        <f>+R48</f>
        <v>80092</v>
      </c>
      <c r="T48" s="872"/>
      <c r="U48" s="1204"/>
    </row>
    <row r="49" spans="1:21" s="105" customFormat="1">
      <c r="A49" s="194" t="s">
        <v>1795</v>
      </c>
      <c r="B49" s="244">
        <f t="shared" si="10"/>
        <v>213435</v>
      </c>
      <c r="C49" s="872">
        <v>213435</v>
      </c>
      <c r="D49" s="872"/>
      <c r="E49" s="872">
        <f t="shared" si="11"/>
        <v>213435</v>
      </c>
      <c r="F49" s="872"/>
      <c r="G49" s="872"/>
      <c r="H49" s="872"/>
      <c r="I49" s="872"/>
      <c r="J49" s="872"/>
      <c r="K49" s="872"/>
      <c r="L49" s="872"/>
      <c r="M49" s="872"/>
      <c r="N49" s="872"/>
      <c r="O49" s="872"/>
      <c r="P49" s="872"/>
      <c r="Q49" s="872"/>
      <c r="R49" s="415">
        <f t="shared" si="12"/>
        <v>213435</v>
      </c>
      <c r="S49" s="872">
        <f>7631+4109+2935+6003+3200+747+433</f>
        <v>25058</v>
      </c>
      <c r="T49" s="872"/>
      <c r="U49" s="1204"/>
    </row>
    <row r="50" spans="1:21" s="105" customFormat="1">
      <c r="A50" s="194" t="s">
        <v>1796</v>
      </c>
      <c r="B50" s="244">
        <f t="shared" si="10"/>
        <v>100000</v>
      </c>
      <c r="C50" s="872">
        <v>100000</v>
      </c>
      <c r="D50" s="872"/>
      <c r="E50" s="872">
        <f t="shared" si="11"/>
        <v>100000</v>
      </c>
      <c r="F50" s="872"/>
      <c r="G50" s="872"/>
      <c r="H50" s="872"/>
      <c r="I50" s="872"/>
      <c r="J50" s="872"/>
      <c r="K50" s="872"/>
      <c r="L50" s="872"/>
      <c r="M50" s="872"/>
      <c r="N50" s="872"/>
      <c r="O50" s="872"/>
      <c r="P50" s="872"/>
      <c r="Q50" s="872"/>
      <c r="R50" s="415">
        <f t="shared" si="12"/>
        <v>100000</v>
      </c>
      <c r="S50" s="872">
        <f>+R50</f>
        <v>100000</v>
      </c>
      <c r="T50" s="872"/>
      <c r="U50" s="1204"/>
    </row>
    <row r="51" spans="1:21" s="105" customFormat="1">
      <c r="A51" s="194" t="s">
        <v>1797</v>
      </c>
      <c r="B51" s="244">
        <f t="shared" si="10"/>
        <v>5000</v>
      </c>
      <c r="C51" s="872">
        <v>5000</v>
      </c>
      <c r="D51" s="872"/>
      <c r="E51" s="872">
        <f t="shared" si="11"/>
        <v>5000</v>
      </c>
      <c r="F51" s="872"/>
      <c r="G51" s="872"/>
      <c r="H51" s="872"/>
      <c r="I51" s="872"/>
      <c r="J51" s="872"/>
      <c r="K51" s="872"/>
      <c r="L51" s="872"/>
      <c r="M51" s="872"/>
      <c r="N51" s="872"/>
      <c r="O51" s="872"/>
      <c r="P51" s="872"/>
      <c r="Q51" s="872"/>
      <c r="R51" s="415">
        <f t="shared" si="12"/>
        <v>5000</v>
      </c>
      <c r="S51" s="872">
        <f>+R51</f>
        <v>5000</v>
      </c>
      <c r="T51" s="872"/>
      <c r="U51" s="1204"/>
    </row>
    <row r="52" spans="1:21" s="105" customFormat="1">
      <c r="A52" s="194" t="s">
        <v>1798</v>
      </c>
      <c r="B52" s="244">
        <f t="shared" si="10"/>
        <v>298158</v>
      </c>
      <c r="C52" s="872">
        <v>298158</v>
      </c>
      <c r="D52" s="872"/>
      <c r="E52" s="872">
        <f t="shared" si="11"/>
        <v>298158</v>
      </c>
      <c r="F52" s="872"/>
      <c r="G52" s="872"/>
      <c r="H52" s="872"/>
      <c r="I52" s="872"/>
      <c r="J52" s="872"/>
      <c r="K52" s="872"/>
      <c r="L52" s="872"/>
      <c r="M52" s="872"/>
      <c r="N52" s="872"/>
      <c r="O52" s="872"/>
      <c r="P52" s="872"/>
      <c r="Q52" s="872"/>
      <c r="R52" s="415">
        <f t="shared" si="12"/>
        <v>298158</v>
      </c>
      <c r="S52" s="872">
        <f>+R52</f>
        <v>298158</v>
      </c>
      <c r="T52" s="872"/>
      <c r="U52" s="1204"/>
    </row>
    <row r="53" spans="1:21" s="105" customFormat="1">
      <c r="A53" s="1037" t="s">
        <v>1780</v>
      </c>
      <c r="B53" s="244">
        <f t="shared" si="10"/>
        <v>0</v>
      </c>
      <c r="C53" s="872"/>
      <c r="D53" s="872"/>
      <c r="E53" s="872"/>
      <c r="F53" s="872"/>
      <c r="G53" s="872"/>
      <c r="H53" s="872"/>
      <c r="I53" s="872"/>
      <c r="J53" s="872"/>
      <c r="K53" s="872"/>
      <c r="L53" s="872"/>
      <c r="M53" s="872"/>
      <c r="N53" s="872"/>
      <c r="O53" s="872"/>
      <c r="P53" s="872"/>
      <c r="Q53" s="872"/>
      <c r="R53" s="415">
        <f t="shared" si="12"/>
        <v>0</v>
      </c>
      <c r="S53" s="872"/>
      <c r="T53" s="872"/>
      <c r="U53" s="1204"/>
    </row>
    <row r="54" spans="1:21" s="109" customFormat="1">
      <c r="A54" s="106" t="s">
        <v>1799</v>
      </c>
      <c r="B54" s="107">
        <f>SUM(C54:D54)</f>
        <v>3252891</v>
      </c>
      <c r="C54" s="107">
        <f t="shared" ref="C54:T54" si="13">SUM(C45:C53)</f>
        <v>3252891</v>
      </c>
      <c r="D54" s="107">
        <f t="shared" si="13"/>
        <v>0</v>
      </c>
      <c r="E54" s="107">
        <f t="shared" si="13"/>
        <v>3252891</v>
      </c>
      <c r="F54" s="107">
        <f t="shared" si="13"/>
        <v>0</v>
      </c>
      <c r="G54" s="107">
        <f t="shared" si="13"/>
        <v>0</v>
      </c>
      <c r="H54" s="107">
        <f t="shared" si="13"/>
        <v>0</v>
      </c>
      <c r="I54" s="107">
        <f t="shared" si="13"/>
        <v>0</v>
      </c>
      <c r="J54" s="107">
        <f t="shared" si="13"/>
        <v>0</v>
      </c>
      <c r="K54" s="107">
        <f t="shared" si="13"/>
        <v>0</v>
      </c>
      <c r="L54" s="107">
        <f t="shared" si="13"/>
        <v>0</v>
      </c>
      <c r="M54" s="107">
        <f t="shared" si="13"/>
        <v>0</v>
      </c>
      <c r="N54" s="107">
        <f t="shared" si="13"/>
        <v>0</v>
      </c>
      <c r="O54" s="107">
        <f t="shared" si="13"/>
        <v>0</v>
      </c>
      <c r="P54" s="107">
        <f t="shared" si="13"/>
        <v>0</v>
      </c>
      <c r="Q54" s="107">
        <f t="shared" si="13"/>
        <v>0</v>
      </c>
      <c r="R54" s="244">
        <f t="shared" si="13"/>
        <v>3252891</v>
      </c>
      <c r="S54" s="107">
        <f t="shared" si="13"/>
        <v>1971675</v>
      </c>
      <c r="T54" s="107">
        <f t="shared" si="13"/>
        <v>0</v>
      </c>
      <c r="U54" s="108"/>
    </row>
    <row r="55" spans="1:21" s="105" customFormat="1" ht="12">
      <c r="A55" s="104" t="s">
        <v>1355</v>
      </c>
      <c r="B55" s="1203"/>
      <c r="C55" s="1203"/>
      <c r="D55" s="1203"/>
      <c r="E55" s="245"/>
      <c r="F55" s="245"/>
      <c r="G55" s="245"/>
      <c r="H55" s="245"/>
      <c r="I55" s="245"/>
      <c r="J55" s="245"/>
      <c r="K55" s="245"/>
      <c r="L55" s="245"/>
      <c r="M55" s="245"/>
      <c r="N55" s="245"/>
      <c r="O55" s="245"/>
      <c r="P55" s="245"/>
      <c r="Q55" s="245"/>
      <c r="R55" s="245"/>
      <c r="S55" s="1203"/>
      <c r="T55" s="1203"/>
      <c r="U55" s="1204"/>
    </row>
    <row r="56" spans="1:21" s="105" customFormat="1">
      <c r="A56" s="194" t="s">
        <v>1800</v>
      </c>
      <c r="B56" s="244">
        <f t="shared" ref="B56:B61" si="14">SUM(C56+D56)</f>
        <v>86640</v>
      </c>
      <c r="C56" s="872">
        <v>86640</v>
      </c>
      <c r="D56" s="872"/>
      <c r="E56" s="872">
        <f>+C56</f>
        <v>86640</v>
      </c>
      <c r="F56" s="872"/>
      <c r="G56" s="872"/>
      <c r="H56" s="872"/>
      <c r="I56" s="872"/>
      <c r="J56" s="872"/>
      <c r="K56" s="872"/>
      <c r="L56" s="872"/>
      <c r="M56" s="872"/>
      <c r="N56" s="872"/>
      <c r="O56" s="872"/>
      <c r="P56" s="872"/>
      <c r="Q56" s="872"/>
      <c r="R56" s="415">
        <f t="shared" ref="R56:R61" si="15">SUM(E56:Q56)</f>
        <v>86640</v>
      </c>
      <c r="S56" s="1205"/>
      <c r="T56" s="1205"/>
      <c r="U56" s="1204"/>
    </row>
    <row r="57" spans="1:21" s="130" customFormat="1">
      <c r="A57" s="1206" t="s">
        <v>1793</v>
      </c>
      <c r="B57" s="1207">
        <f t="shared" si="14"/>
        <v>10000</v>
      </c>
      <c r="C57" s="1208">
        <v>10000</v>
      </c>
      <c r="D57" s="1208"/>
      <c r="E57" s="1208">
        <f>+C57</f>
        <v>10000</v>
      </c>
      <c r="F57" s="1208"/>
      <c r="G57" s="1208"/>
      <c r="H57" s="1208"/>
      <c r="I57" s="1208"/>
      <c r="J57" s="1208"/>
      <c r="K57" s="1208"/>
      <c r="L57" s="1208"/>
      <c r="M57" s="1208"/>
      <c r="N57" s="1208"/>
      <c r="O57" s="1208"/>
      <c r="P57" s="1208"/>
      <c r="Q57" s="1208"/>
      <c r="R57" s="415">
        <f t="shared" si="15"/>
        <v>10000</v>
      </c>
      <c r="S57" s="1209"/>
      <c r="T57" s="1209"/>
      <c r="U57" s="1210"/>
    </row>
    <row r="58" spans="1:21" s="105" customFormat="1">
      <c r="A58" s="194" t="s">
        <v>1796</v>
      </c>
      <c r="B58" s="244">
        <f t="shared" si="14"/>
        <v>0</v>
      </c>
      <c r="C58" s="872"/>
      <c r="D58" s="872"/>
      <c r="E58" s="872"/>
      <c r="F58" s="872"/>
      <c r="G58" s="872"/>
      <c r="H58" s="872"/>
      <c r="I58" s="872"/>
      <c r="J58" s="872"/>
      <c r="K58" s="872"/>
      <c r="L58" s="872"/>
      <c r="M58" s="872"/>
      <c r="N58" s="872"/>
      <c r="O58" s="872"/>
      <c r="P58" s="872"/>
      <c r="Q58" s="872"/>
      <c r="R58" s="415">
        <f t="shared" si="15"/>
        <v>0</v>
      </c>
      <c r="S58" s="1205"/>
      <c r="T58" s="1205"/>
      <c r="U58" s="1204"/>
    </row>
    <row r="59" spans="1:21" s="105" customFormat="1">
      <c r="A59" s="194" t="s">
        <v>1797</v>
      </c>
      <c r="B59" s="244">
        <f t="shared" si="14"/>
        <v>0</v>
      </c>
      <c r="C59" s="872"/>
      <c r="D59" s="872"/>
      <c r="E59" s="872"/>
      <c r="F59" s="872"/>
      <c r="G59" s="872"/>
      <c r="H59" s="872"/>
      <c r="I59" s="872"/>
      <c r="J59" s="872"/>
      <c r="K59" s="872"/>
      <c r="L59" s="872"/>
      <c r="M59" s="872"/>
      <c r="N59" s="872"/>
      <c r="O59" s="872"/>
      <c r="P59" s="872"/>
      <c r="Q59" s="872"/>
      <c r="R59" s="415">
        <f t="shared" si="15"/>
        <v>0</v>
      </c>
      <c r="S59" s="1205"/>
      <c r="T59" s="1205"/>
      <c r="U59" s="1204"/>
    </row>
    <row r="60" spans="1:21" s="105" customFormat="1">
      <c r="A60" s="194" t="s">
        <v>1798</v>
      </c>
      <c r="B60" s="244">
        <f t="shared" si="14"/>
        <v>0</v>
      </c>
      <c r="C60" s="872"/>
      <c r="D60" s="872"/>
      <c r="E60" s="872"/>
      <c r="F60" s="872"/>
      <c r="G60" s="872"/>
      <c r="H60" s="872"/>
      <c r="I60" s="872"/>
      <c r="J60" s="872"/>
      <c r="K60" s="872"/>
      <c r="L60" s="872"/>
      <c r="M60" s="872"/>
      <c r="N60" s="872"/>
      <c r="O60" s="872"/>
      <c r="P60" s="872"/>
      <c r="Q60" s="872"/>
      <c r="R60" s="415">
        <f t="shared" si="15"/>
        <v>0</v>
      </c>
      <c r="S60" s="1205"/>
      <c r="T60" s="1205"/>
      <c r="U60" s="1204"/>
    </row>
    <row r="61" spans="1:21" s="105" customFormat="1">
      <c r="A61" s="1037" t="s">
        <v>1780</v>
      </c>
      <c r="B61" s="244">
        <f t="shared" si="14"/>
        <v>0</v>
      </c>
      <c r="C61" s="872"/>
      <c r="D61" s="872"/>
      <c r="E61" s="872"/>
      <c r="F61" s="872"/>
      <c r="G61" s="872"/>
      <c r="H61" s="872"/>
      <c r="I61" s="872"/>
      <c r="J61" s="872"/>
      <c r="K61" s="872"/>
      <c r="L61" s="872"/>
      <c r="M61" s="872"/>
      <c r="N61" s="872"/>
      <c r="O61" s="872"/>
      <c r="P61" s="872"/>
      <c r="Q61" s="872"/>
      <c r="R61" s="415">
        <f t="shared" si="15"/>
        <v>0</v>
      </c>
      <c r="S61" s="1205"/>
      <c r="T61" s="1205"/>
      <c r="U61" s="1204"/>
    </row>
    <row r="62" spans="1:21" s="105" customFormat="1" ht="13.75" customHeight="1">
      <c r="A62" s="106" t="s">
        <v>1801</v>
      </c>
      <c r="B62" s="244">
        <f>SUM(C62:D62)</f>
        <v>96640</v>
      </c>
      <c r="C62" s="244">
        <f t="shared" ref="C62:R62" si="16">SUM(C56:C61)</f>
        <v>96640</v>
      </c>
      <c r="D62" s="244">
        <f t="shared" si="16"/>
        <v>0</v>
      </c>
      <c r="E62" s="244">
        <f t="shared" si="16"/>
        <v>96640</v>
      </c>
      <c r="F62" s="244">
        <f t="shared" si="16"/>
        <v>0</v>
      </c>
      <c r="G62" s="244">
        <f t="shared" si="16"/>
        <v>0</v>
      </c>
      <c r="H62" s="244">
        <f t="shared" si="16"/>
        <v>0</v>
      </c>
      <c r="I62" s="244">
        <f t="shared" si="16"/>
        <v>0</v>
      </c>
      <c r="J62" s="244">
        <f t="shared" si="16"/>
        <v>0</v>
      </c>
      <c r="K62" s="244">
        <f t="shared" si="16"/>
        <v>0</v>
      </c>
      <c r="L62" s="244">
        <f t="shared" si="16"/>
        <v>0</v>
      </c>
      <c r="M62" s="244">
        <f t="shared" si="16"/>
        <v>0</v>
      </c>
      <c r="N62" s="244">
        <f t="shared" si="16"/>
        <v>0</v>
      </c>
      <c r="O62" s="244">
        <f t="shared" si="16"/>
        <v>0</v>
      </c>
      <c r="P62" s="244">
        <f t="shared" si="16"/>
        <v>0</v>
      </c>
      <c r="Q62" s="244">
        <f t="shared" si="16"/>
        <v>0</v>
      </c>
      <c r="R62" s="244">
        <f t="shared" si="16"/>
        <v>96640</v>
      </c>
      <c r="S62" s="1205"/>
      <c r="T62" s="1205"/>
      <c r="U62" s="1204"/>
    </row>
    <row r="63" spans="1:21" s="105" customFormat="1">
      <c r="A63" s="110" t="s">
        <v>1802</v>
      </c>
      <c r="B63" s="244">
        <f t="shared" ref="B63:R63" si="17">SUM(B8+B11+B13+B14+B15+B26+B27+B38+B42+B43+B54+B62)</f>
        <v>48342622</v>
      </c>
      <c r="C63" s="244">
        <f t="shared" si="17"/>
        <v>48342622</v>
      </c>
      <c r="D63" s="244">
        <f t="shared" si="17"/>
        <v>0</v>
      </c>
      <c r="E63" s="244">
        <f t="shared" si="17"/>
        <v>16027614</v>
      </c>
      <c r="F63" s="244">
        <f t="shared" si="17"/>
        <v>8664000</v>
      </c>
      <c r="G63" s="244">
        <f t="shared" si="17"/>
        <v>10246570</v>
      </c>
      <c r="H63" s="244">
        <f t="shared" si="17"/>
        <v>9993700</v>
      </c>
      <c r="I63" s="244">
        <f t="shared" si="17"/>
        <v>2365172</v>
      </c>
      <c r="J63" s="244">
        <f t="shared" si="17"/>
        <v>882875</v>
      </c>
      <c r="K63" s="244">
        <f t="shared" si="17"/>
        <v>0</v>
      </c>
      <c r="L63" s="244">
        <f t="shared" si="17"/>
        <v>162691</v>
      </c>
      <c r="M63" s="244">
        <f t="shared" si="17"/>
        <v>0</v>
      </c>
      <c r="N63" s="244">
        <f t="shared" si="17"/>
        <v>0</v>
      </c>
      <c r="O63" s="244">
        <f t="shared" si="17"/>
        <v>0</v>
      </c>
      <c r="P63" s="244">
        <f t="shared" si="17"/>
        <v>0</v>
      </c>
      <c r="Q63" s="244">
        <f t="shared" si="17"/>
        <v>0</v>
      </c>
      <c r="R63" s="244">
        <f t="shared" si="17"/>
        <v>48342622</v>
      </c>
      <c r="S63" s="244">
        <f>SUM(S10+S13+S14+S15+S26+S27+S38+S42+S43+S54)</f>
        <v>19908560</v>
      </c>
      <c r="T63" s="244">
        <f>SUM(T11+T13+T14+T15+T26+T27+T38+T42+T43+T54)</f>
        <v>26411867</v>
      </c>
      <c r="U63" s="1204"/>
    </row>
    <row r="64" spans="1:21" s="105" customFormat="1" ht="24">
      <c r="A64" s="104" t="s">
        <v>1803</v>
      </c>
      <c r="B64" s="1203"/>
      <c r="C64" s="1203"/>
      <c r="D64" s="1203"/>
      <c r="E64" s="245"/>
      <c r="F64" s="245"/>
      <c r="G64" s="245"/>
      <c r="H64" s="245"/>
      <c r="I64" s="245"/>
      <c r="J64" s="245"/>
      <c r="K64" s="245"/>
      <c r="L64" s="245"/>
      <c r="M64" s="245"/>
      <c r="N64" s="245"/>
      <c r="O64" s="245"/>
      <c r="P64" s="245"/>
      <c r="Q64" s="245"/>
      <c r="R64" s="245"/>
      <c r="S64" s="1203"/>
      <c r="T64" s="1203"/>
      <c r="U64" s="1204"/>
    </row>
    <row r="65" spans="1:21" s="105" customFormat="1">
      <c r="A65" s="194" t="s">
        <v>1804</v>
      </c>
      <c r="B65" s="244">
        <f>SUM(C65+D65)</f>
        <v>60000</v>
      </c>
      <c r="C65" s="872">
        <f>45000+15000</f>
        <v>60000</v>
      </c>
      <c r="D65" s="872"/>
      <c r="E65" s="872">
        <f>+C65</f>
        <v>60000</v>
      </c>
      <c r="F65" s="872"/>
      <c r="G65" s="872"/>
      <c r="H65" s="872"/>
      <c r="I65" s="872"/>
      <c r="J65" s="872"/>
      <c r="K65" s="872"/>
      <c r="L65" s="872"/>
      <c r="M65" s="872"/>
      <c r="N65" s="872"/>
      <c r="O65" s="872"/>
      <c r="P65" s="872"/>
      <c r="Q65" s="872"/>
      <c r="R65" s="415">
        <f>SUM(E65:Q65)</f>
        <v>60000</v>
      </c>
      <c r="S65" s="872">
        <v>25761</v>
      </c>
      <c r="T65" s="872"/>
      <c r="U65" s="1204"/>
    </row>
    <row r="66" spans="1:21" s="105" customFormat="1" ht="24" customHeight="1">
      <c r="A66" s="194" t="s">
        <v>1805</v>
      </c>
      <c r="B66" s="244">
        <f>SUM(C66+D66)</f>
        <v>0</v>
      </c>
      <c r="C66" s="872"/>
      <c r="D66" s="872"/>
      <c r="E66" s="872"/>
      <c r="F66" s="872"/>
      <c r="G66" s="872"/>
      <c r="H66" s="872"/>
      <c r="I66" s="872"/>
      <c r="J66" s="872"/>
      <c r="K66" s="872"/>
      <c r="L66" s="872"/>
      <c r="M66" s="872"/>
      <c r="N66" s="872"/>
      <c r="O66" s="872"/>
      <c r="P66" s="872"/>
      <c r="Q66" s="872"/>
      <c r="R66" s="415">
        <f>SUM(E66:Q66)</f>
        <v>0</v>
      </c>
      <c r="S66" s="872"/>
      <c r="T66" s="872"/>
      <c r="U66" s="1204"/>
    </row>
    <row r="67" spans="1:21" s="105" customFormat="1" ht="24" customHeight="1">
      <c r="A67" s="194" t="s">
        <v>1806</v>
      </c>
      <c r="B67" s="244">
        <f>SUM(C67+D67)</f>
        <v>0</v>
      </c>
      <c r="C67" s="872"/>
      <c r="D67" s="872"/>
      <c r="E67" s="872"/>
      <c r="F67" s="872"/>
      <c r="G67" s="872"/>
      <c r="H67" s="872"/>
      <c r="I67" s="872"/>
      <c r="J67" s="872"/>
      <c r="K67" s="872"/>
      <c r="L67" s="872"/>
      <c r="M67" s="872"/>
      <c r="N67" s="872"/>
      <c r="O67" s="872"/>
      <c r="P67" s="872"/>
      <c r="Q67" s="872"/>
      <c r="R67" s="415">
        <f>SUM(E67:Q67)</f>
        <v>0</v>
      </c>
      <c r="S67" s="872"/>
      <c r="T67" s="872"/>
      <c r="U67" s="1204"/>
    </row>
    <row r="68" spans="1:21" s="105" customFormat="1" ht="12" customHeight="1">
      <c r="A68" s="194" t="s">
        <v>1807</v>
      </c>
      <c r="B68" s="244">
        <f>SUM(C68+D68)</f>
        <v>0</v>
      </c>
      <c r="C68" s="872"/>
      <c r="D68" s="872"/>
      <c r="E68" s="872"/>
      <c r="F68" s="872"/>
      <c r="G68" s="872"/>
      <c r="H68" s="872"/>
      <c r="I68" s="872"/>
      <c r="J68" s="872"/>
      <c r="K68" s="872"/>
      <c r="L68" s="872"/>
      <c r="M68" s="872"/>
      <c r="N68" s="872"/>
      <c r="O68" s="872"/>
      <c r="P68" s="872"/>
      <c r="Q68" s="872"/>
      <c r="R68" s="415">
        <f>SUM(E68:Q68)</f>
        <v>0</v>
      </c>
      <c r="S68" s="872"/>
      <c r="T68" s="872"/>
      <c r="U68" s="1204"/>
    </row>
    <row r="69" spans="1:21" s="105" customFormat="1">
      <c r="A69" s="1037" t="s">
        <v>2758</v>
      </c>
      <c r="B69" s="244">
        <f>SUM(C69+D69)</f>
        <v>160000</v>
      </c>
      <c r="C69" s="872">
        <v>160000</v>
      </c>
      <c r="D69" s="872"/>
      <c r="E69" s="872">
        <f>+C69</f>
        <v>160000</v>
      </c>
      <c r="F69" s="872"/>
      <c r="G69" s="872"/>
      <c r="H69" s="872"/>
      <c r="I69" s="872"/>
      <c r="J69" s="872"/>
      <c r="K69" s="872"/>
      <c r="L69" s="872"/>
      <c r="M69" s="872"/>
      <c r="N69" s="872"/>
      <c r="O69" s="872"/>
      <c r="P69" s="872"/>
      <c r="Q69" s="872"/>
      <c r="R69" s="415">
        <f>SUM(E69:Q69)</f>
        <v>160000</v>
      </c>
      <c r="S69" s="872">
        <v>145000</v>
      </c>
      <c r="T69" s="872"/>
      <c r="U69" s="1204"/>
    </row>
    <row r="70" spans="1:21" s="105" customFormat="1">
      <c r="A70" s="106" t="s">
        <v>1808</v>
      </c>
      <c r="B70" s="244">
        <f>SUM(C70:D70)</f>
        <v>220000</v>
      </c>
      <c r="C70" s="244">
        <f>SUM(C65:C69)</f>
        <v>220000</v>
      </c>
      <c r="D70" s="244">
        <f>SUM(D65:D69)</f>
        <v>0</v>
      </c>
      <c r="E70" s="244">
        <f t="shared" ref="E70:T70" si="18">SUM(E65:E69)</f>
        <v>220000</v>
      </c>
      <c r="F70" s="244">
        <f t="shared" si="18"/>
        <v>0</v>
      </c>
      <c r="G70" s="244">
        <f t="shared" si="18"/>
        <v>0</v>
      </c>
      <c r="H70" s="244">
        <f t="shared" si="18"/>
        <v>0</v>
      </c>
      <c r="I70" s="244">
        <f t="shared" si="18"/>
        <v>0</v>
      </c>
      <c r="J70" s="244">
        <f t="shared" si="18"/>
        <v>0</v>
      </c>
      <c r="K70" s="244">
        <f t="shared" si="18"/>
        <v>0</v>
      </c>
      <c r="L70" s="244">
        <f t="shared" si="18"/>
        <v>0</v>
      </c>
      <c r="M70" s="244">
        <f t="shared" si="18"/>
        <v>0</v>
      </c>
      <c r="N70" s="244">
        <f t="shared" si="18"/>
        <v>0</v>
      </c>
      <c r="O70" s="244">
        <f t="shared" si="18"/>
        <v>0</v>
      </c>
      <c r="P70" s="244">
        <f t="shared" si="18"/>
        <v>0</v>
      </c>
      <c r="Q70" s="244">
        <f t="shared" si="18"/>
        <v>0</v>
      </c>
      <c r="R70" s="244">
        <f t="shared" si="18"/>
        <v>220000</v>
      </c>
      <c r="S70" s="107">
        <f t="shared" si="18"/>
        <v>170761</v>
      </c>
      <c r="T70" s="107">
        <f t="shared" si="18"/>
        <v>0</v>
      </c>
      <c r="U70" s="1204"/>
    </row>
    <row r="71" spans="1:21" s="105" customFormat="1" ht="12">
      <c r="A71" s="104" t="s">
        <v>1809</v>
      </c>
      <c r="B71" s="245"/>
      <c r="C71" s="245"/>
      <c r="D71" s="245"/>
      <c r="E71" s="245"/>
      <c r="F71" s="245"/>
      <c r="G71" s="245"/>
      <c r="H71" s="245"/>
      <c r="I71" s="245"/>
      <c r="J71" s="245"/>
      <c r="K71" s="245"/>
      <c r="L71" s="245"/>
      <c r="M71" s="245"/>
      <c r="N71" s="245"/>
      <c r="O71" s="245"/>
      <c r="P71" s="245"/>
      <c r="Q71" s="245"/>
      <c r="R71" s="245"/>
      <c r="S71" s="245"/>
      <c r="T71" s="245"/>
      <c r="U71" s="1204"/>
    </row>
    <row r="72" spans="1:21" s="105" customFormat="1">
      <c r="A72" s="194" t="s">
        <v>1810</v>
      </c>
      <c r="B72" s="244">
        <f>SUM(C72+D72)</f>
        <v>0</v>
      </c>
      <c r="C72" s="872"/>
      <c r="D72" s="872"/>
      <c r="E72" s="872"/>
      <c r="F72" s="872"/>
      <c r="G72" s="872"/>
      <c r="H72" s="872"/>
      <c r="I72" s="872"/>
      <c r="J72" s="872"/>
      <c r="K72" s="872"/>
      <c r="L72" s="872"/>
      <c r="M72" s="872"/>
      <c r="N72" s="872"/>
      <c r="O72" s="872"/>
      <c r="P72" s="872"/>
      <c r="Q72" s="872"/>
      <c r="R72" s="415">
        <f>SUM(E72:Q72)</f>
        <v>0</v>
      </c>
      <c r="S72" s="1205"/>
      <c r="T72" s="1205"/>
      <c r="U72" s="1204"/>
    </row>
    <row r="73" spans="1:21" s="105" customFormat="1">
      <c r="A73" s="194" t="s">
        <v>1811</v>
      </c>
      <c r="B73" s="244">
        <f>SUM(C73+D73)</f>
        <v>0</v>
      </c>
      <c r="C73" s="872"/>
      <c r="D73" s="872"/>
      <c r="E73" s="872"/>
      <c r="F73" s="872"/>
      <c r="G73" s="872"/>
      <c r="H73" s="872"/>
      <c r="I73" s="872"/>
      <c r="J73" s="872"/>
      <c r="K73" s="872"/>
      <c r="L73" s="872"/>
      <c r="M73" s="872"/>
      <c r="N73" s="872"/>
      <c r="O73" s="872"/>
      <c r="P73" s="872"/>
      <c r="Q73" s="872"/>
      <c r="R73" s="415">
        <f>SUM(E73:Q73)</f>
        <v>0</v>
      </c>
      <c r="S73" s="1205"/>
      <c r="T73" s="1205"/>
      <c r="U73" s="1204"/>
    </row>
    <row r="74" spans="1:21" s="105" customFormat="1">
      <c r="A74" s="351" t="s">
        <v>1812</v>
      </c>
      <c r="B74" s="244">
        <f>SUM(C74+D74)</f>
        <v>0</v>
      </c>
      <c r="C74" s="872"/>
      <c r="D74" s="872"/>
      <c r="E74" s="872"/>
      <c r="F74" s="872"/>
      <c r="G74" s="872"/>
      <c r="H74" s="872"/>
      <c r="I74" s="872"/>
      <c r="J74" s="872"/>
      <c r="K74" s="872"/>
      <c r="L74" s="872"/>
      <c r="M74" s="872"/>
      <c r="N74" s="872"/>
      <c r="O74" s="872"/>
      <c r="P74" s="872"/>
      <c r="Q74" s="872"/>
      <c r="R74" s="415">
        <f>SUM(E74:Q74)</f>
        <v>0</v>
      </c>
      <c r="S74" s="1205"/>
      <c r="T74" s="1205"/>
      <c r="U74" s="1204"/>
    </row>
    <row r="75" spans="1:21" s="105" customFormat="1">
      <c r="A75" s="194" t="s">
        <v>1813</v>
      </c>
      <c r="B75" s="244">
        <f>SUM(C75+D75)</f>
        <v>429068</v>
      </c>
      <c r="C75" s="872">
        <f>+ROUND(Application!AC886,0)</f>
        <v>429068</v>
      </c>
      <c r="D75" s="872"/>
      <c r="E75" s="872"/>
      <c r="F75" s="872"/>
      <c r="G75" s="872"/>
      <c r="H75" s="872"/>
      <c r="I75" s="872"/>
      <c r="J75" s="872"/>
      <c r="K75" s="872"/>
      <c r="L75" s="872">
        <f>+C75</f>
        <v>429068</v>
      </c>
      <c r="M75" s="872"/>
      <c r="N75" s="872"/>
      <c r="O75" s="872"/>
      <c r="P75" s="872"/>
      <c r="Q75" s="872"/>
      <c r="R75" s="415">
        <f>SUM(E75:Q75)</f>
        <v>429068</v>
      </c>
      <c r="S75" s="1205"/>
      <c r="T75" s="1205"/>
      <c r="U75" s="1204"/>
    </row>
    <row r="76" spans="1:21" s="105" customFormat="1">
      <c r="A76" s="1037" t="s">
        <v>2759</v>
      </c>
      <c r="B76" s="244">
        <f>SUM(C76+D76)</f>
        <v>121387</v>
      </c>
      <c r="C76" s="872">
        <v>121387</v>
      </c>
      <c r="D76" s="872"/>
      <c r="E76" s="872"/>
      <c r="F76" s="872"/>
      <c r="G76" s="872"/>
      <c r="H76" s="872"/>
      <c r="I76" s="872"/>
      <c r="J76" s="872"/>
      <c r="K76" s="872"/>
      <c r="L76" s="872">
        <f>+C76</f>
        <v>121387</v>
      </c>
      <c r="M76" s="872"/>
      <c r="N76" s="872"/>
      <c r="O76" s="872"/>
      <c r="P76" s="872"/>
      <c r="Q76" s="872"/>
      <c r="R76" s="415">
        <f>SUM(E76:Q76)</f>
        <v>121387</v>
      </c>
      <c r="S76" s="1205"/>
      <c r="T76" s="1205"/>
      <c r="U76" s="1204"/>
    </row>
    <row r="77" spans="1:21" s="105" customFormat="1">
      <c r="A77" s="106" t="s">
        <v>1814</v>
      </c>
      <c r="B77" s="244">
        <f>SUM(C77:D77)</f>
        <v>550455</v>
      </c>
      <c r="C77" s="244">
        <f>SUM(C72:C76)</f>
        <v>550455</v>
      </c>
      <c r="D77" s="244">
        <f>SUM(D72:D76)</f>
        <v>0</v>
      </c>
      <c r="E77" s="244">
        <f t="shared" ref="E77:Q77" si="19">SUM(E72:E76)</f>
        <v>0</v>
      </c>
      <c r="F77" s="244">
        <f t="shared" si="19"/>
        <v>0</v>
      </c>
      <c r="G77" s="244">
        <f t="shared" si="19"/>
        <v>0</v>
      </c>
      <c r="H77" s="244">
        <f t="shared" si="19"/>
        <v>0</v>
      </c>
      <c r="I77" s="244">
        <f t="shared" si="19"/>
        <v>0</v>
      </c>
      <c r="J77" s="244">
        <f t="shared" si="19"/>
        <v>0</v>
      </c>
      <c r="K77" s="244">
        <f t="shared" si="19"/>
        <v>0</v>
      </c>
      <c r="L77" s="244">
        <f t="shared" si="19"/>
        <v>550455</v>
      </c>
      <c r="M77" s="244">
        <f t="shared" si="19"/>
        <v>0</v>
      </c>
      <c r="N77" s="244">
        <f t="shared" si="19"/>
        <v>0</v>
      </c>
      <c r="O77" s="244">
        <f t="shared" si="19"/>
        <v>0</v>
      </c>
      <c r="P77" s="244">
        <f t="shared" si="19"/>
        <v>0</v>
      </c>
      <c r="Q77" s="244">
        <f t="shared" si="19"/>
        <v>0</v>
      </c>
      <c r="R77" s="244">
        <f>SUM(R72:R76)</f>
        <v>550455</v>
      </c>
      <c r="S77" s="1205"/>
      <c r="T77" s="1205"/>
      <c r="U77" s="1204"/>
    </row>
    <row r="78" spans="1:21" s="105" customFormat="1" ht="12">
      <c r="A78" s="104" t="s">
        <v>1815</v>
      </c>
      <c r="B78" s="245"/>
      <c r="C78" s="245"/>
      <c r="D78" s="245"/>
      <c r="E78" s="245"/>
      <c r="F78" s="245"/>
      <c r="G78" s="245"/>
      <c r="H78" s="245"/>
      <c r="I78" s="245"/>
      <c r="J78" s="245"/>
      <c r="K78" s="245"/>
      <c r="L78" s="245"/>
      <c r="M78" s="245"/>
      <c r="N78" s="245"/>
      <c r="O78" s="245"/>
      <c r="P78" s="245"/>
      <c r="Q78" s="245"/>
      <c r="R78" s="245"/>
      <c r="S78" s="245"/>
      <c r="T78" s="245"/>
      <c r="U78" s="1204"/>
    </row>
    <row r="79" spans="1:21" s="105" customFormat="1">
      <c r="A79" s="194" t="s">
        <v>1816</v>
      </c>
      <c r="B79" s="244">
        <f>SUM(C79:D79)</f>
        <v>2296448</v>
      </c>
      <c r="C79" s="872">
        <v>2296448</v>
      </c>
      <c r="D79" s="872"/>
      <c r="E79" s="872">
        <f>+C79</f>
        <v>2296448</v>
      </c>
      <c r="F79" s="872"/>
      <c r="G79" s="872"/>
      <c r="H79" s="872"/>
      <c r="I79" s="872"/>
      <c r="J79" s="872"/>
      <c r="K79" s="872"/>
      <c r="L79" s="872"/>
      <c r="M79" s="872"/>
      <c r="N79" s="872"/>
      <c r="O79" s="872"/>
      <c r="P79" s="872"/>
      <c r="Q79" s="872"/>
      <c r="R79" s="415">
        <f>SUM(E79:Q79)</f>
        <v>2296448</v>
      </c>
      <c r="S79" s="872">
        <f>+R79</f>
        <v>2296448</v>
      </c>
      <c r="T79" s="872"/>
      <c r="U79" s="1204"/>
    </row>
    <row r="80" spans="1:21" s="105" customFormat="1">
      <c r="A80" s="194" t="s">
        <v>1817</v>
      </c>
      <c r="B80" s="244">
        <f>SUM(C80:D80)</f>
        <v>318834</v>
      </c>
      <c r="C80" s="872">
        <v>318834</v>
      </c>
      <c r="D80" s="872"/>
      <c r="E80" s="872">
        <f>+C80</f>
        <v>318834</v>
      </c>
      <c r="F80" s="872"/>
      <c r="G80" s="872"/>
      <c r="H80" s="872"/>
      <c r="I80" s="872"/>
      <c r="J80" s="872"/>
      <c r="K80" s="872"/>
      <c r="L80" s="872"/>
      <c r="M80" s="872"/>
      <c r="N80" s="872"/>
      <c r="O80" s="872"/>
      <c r="P80" s="872"/>
      <c r="Q80" s="872"/>
      <c r="R80" s="415">
        <f>SUM(E80:Q80)</f>
        <v>318834</v>
      </c>
      <c r="S80" s="872">
        <f>+R80</f>
        <v>318834</v>
      </c>
      <c r="T80" s="872"/>
      <c r="U80" s="1204"/>
    </row>
    <row r="81" spans="1:21" s="105" customFormat="1">
      <c r="A81" s="106" t="s">
        <v>1818</v>
      </c>
      <c r="B81" s="244">
        <f>SUM(C81:D81)</f>
        <v>2615282</v>
      </c>
      <c r="C81" s="1211">
        <f>SUM(C79:C80)</f>
        <v>2615282</v>
      </c>
      <c r="D81" s="1211">
        <f t="shared" ref="D81:T81" si="20">SUM(D79:D80)</f>
        <v>0</v>
      </c>
      <c r="E81" s="1211">
        <f t="shared" si="20"/>
        <v>2615282</v>
      </c>
      <c r="F81" s="1211">
        <f t="shared" si="20"/>
        <v>0</v>
      </c>
      <c r="G81" s="1211">
        <f t="shared" si="20"/>
        <v>0</v>
      </c>
      <c r="H81" s="1211">
        <f t="shared" si="20"/>
        <v>0</v>
      </c>
      <c r="I81" s="1211">
        <f t="shared" si="20"/>
        <v>0</v>
      </c>
      <c r="J81" s="1211">
        <f t="shared" si="20"/>
        <v>0</v>
      </c>
      <c r="K81" s="1211">
        <f t="shared" si="20"/>
        <v>0</v>
      </c>
      <c r="L81" s="1211">
        <f t="shared" si="20"/>
        <v>0</v>
      </c>
      <c r="M81" s="1211">
        <f t="shared" si="20"/>
        <v>0</v>
      </c>
      <c r="N81" s="1211">
        <f t="shared" si="20"/>
        <v>0</v>
      </c>
      <c r="O81" s="1211">
        <f t="shared" si="20"/>
        <v>0</v>
      </c>
      <c r="P81" s="1211">
        <f t="shared" si="20"/>
        <v>0</v>
      </c>
      <c r="Q81" s="1211">
        <f t="shared" si="20"/>
        <v>0</v>
      </c>
      <c r="R81" s="1211">
        <f t="shared" si="20"/>
        <v>2615282</v>
      </c>
      <c r="S81" s="1211">
        <f t="shared" si="20"/>
        <v>2615282</v>
      </c>
      <c r="T81" s="1211">
        <f t="shared" si="20"/>
        <v>0</v>
      </c>
      <c r="U81" s="1204"/>
    </row>
    <row r="82" spans="1:21" s="105" customFormat="1" ht="12">
      <c r="A82" s="104" t="s">
        <v>1819</v>
      </c>
      <c r="B82" s="245"/>
      <c r="C82" s="245"/>
      <c r="D82" s="245"/>
      <c r="E82" s="245"/>
      <c r="F82" s="245"/>
      <c r="G82" s="245"/>
      <c r="H82" s="245"/>
      <c r="I82" s="245"/>
      <c r="J82" s="245"/>
      <c r="K82" s="245"/>
      <c r="L82" s="245"/>
      <c r="M82" s="245"/>
      <c r="N82" s="245"/>
      <c r="O82" s="245"/>
      <c r="P82" s="245"/>
      <c r="Q82" s="245"/>
      <c r="R82" s="245"/>
      <c r="S82" s="245"/>
      <c r="T82" s="245"/>
      <c r="U82" s="1204"/>
    </row>
    <row r="83" spans="1:21" s="105" customFormat="1" ht="13.75" customHeight="1">
      <c r="A83" s="194" t="s">
        <v>1820</v>
      </c>
      <c r="B83" s="244">
        <f t="shared" ref="B83:B95" si="21">SUM(C83+D83)</f>
        <v>81757</v>
      </c>
      <c r="C83" s="872">
        <v>81757</v>
      </c>
      <c r="D83" s="872"/>
      <c r="E83" s="872">
        <f>+C83</f>
        <v>81757</v>
      </c>
      <c r="F83" s="872"/>
      <c r="G83" s="872"/>
      <c r="H83" s="872"/>
      <c r="I83" s="872"/>
      <c r="J83" s="872"/>
      <c r="K83" s="872"/>
      <c r="L83" s="872"/>
      <c r="M83" s="872"/>
      <c r="N83" s="872"/>
      <c r="O83" s="872"/>
      <c r="P83" s="872"/>
      <c r="Q83" s="872"/>
      <c r="R83" s="415">
        <f t="shared" ref="R83:R95" si="22">SUM(E83:Q83)</f>
        <v>81757</v>
      </c>
      <c r="S83" s="1205"/>
      <c r="T83" s="1205"/>
      <c r="U83" s="1204"/>
    </row>
    <row r="84" spans="1:21" s="105" customFormat="1">
      <c r="A84" s="194" t="s">
        <v>1821</v>
      </c>
      <c r="B84" s="244">
        <f t="shared" si="21"/>
        <v>30000</v>
      </c>
      <c r="C84" s="872">
        <v>30000</v>
      </c>
      <c r="D84" s="872"/>
      <c r="E84" s="872">
        <f>+C84</f>
        <v>30000</v>
      </c>
      <c r="F84" s="872"/>
      <c r="G84" s="872"/>
      <c r="H84" s="872"/>
      <c r="I84" s="872"/>
      <c r="J84" s="872"/>
      <c r="K84" s="872"/>
      <c r="L84" s="872"/>
      <c r="M84" s="872"/>
      <c r="N84" s="872"/>
      <c r="O84" s="872"/>
      <c r="P84" s="872"/>
      <c r="Q84" s="872"/>
      <c r="R84" s="415">
        <f t="shared" si="22"/>
        <v>30000</v>
      </c>
      <c r="S84" s="872">
        <f>+R84</f>
        <v>30000</v>
      </c>
      <c r="T84" s="872"/>
      <c r="U84" s="1204"/>
    </row>
    <row r="85" spans="1:21" s="105" customFormat="1">
      <c r="A85" s="194" t="s">
        <v>1822</v>
      </c>
      <c r="B85" s="244">
        <f t="shared" si="21"/>
        <v>0</v>
      </c>
      <c r="C85" s="872"/>
      <c r="D85" s="872"/>
      <c r="E85" s="872"/>
      <c r="F85" s="872"/>
      <c r="G85" s="872"/>
      <c r="H85" s="872"/>
      <c r="I85" s="872"/>
      <c r="J85" s="872"/>
      <c r="K85" s="872"/>
      <c r="L85" s="872"/>
      <c r="M85" s="872"/>
      <c r="N85" s="872"/>
      <c r="O85" s="872"/>
      <c r="P85" s="872"/>
      <c r="Q85" s="872"/>
      <c r="R85" s="415">
        <f t="shared" si="22"/>
        <v>0</v>
      </c>
      <c r="S85" s="872"/>
      <c r="T85" s="872"/>
      <c r="U85" s="1204"/>
    </row>
    <row r="86" spans="1:21" s="105" customFormat="1">
      <c r="A86" s="194" t="s">
        <v>1823</v>
      </c>
      <c r="B86" s="244">
        <f t="shared" si="21"/>
        <v>0</v>
      </c>
      <c r="C86" s="872"/>
      <c r="D86" s="872"/>
      <c r="E86" s="872"/>
      <c r="F86" s="872"/>
      <c r="G86" s="872"/>
      <c r="H86" s="872"/>
      <c r="I86" s="872"/>
      <c r="J86" s="872"/>
      <c r="K86" s="872"/>
      <c r="L86" s="872"/>
      <c r="M86" s="872"/>
      <c r="N86" s="872"/>
      <c r="O86" s="872"/>
      <c r="P86" s="872"/>
      <c r="Q86" s="872"/>
      <c r="R86" s="415">
        <f t="shared" si="22"/>
        <v>0</v>
      </c>
      <c r="S86" s="872"/>
      <c r="T86" s="872"/>
      <c r="U86" s="1204"/>
    </row>
    <row r="87" spans="1:21" s="105" customFormat="1">
      <c r="A87" s="194" t="s">
        <v>1824</v>
      </c>
      <c r="B87" s="244">
        <f t="shared" si="21"/>
        <v>0</v>
      </c>
      <c r="C87" s="872"/>
      <c r="D87" s="872"/>
      <c r="E87" s="872"/>
      <c r="F87" s="872"/>
      <c r="G87" s="872"/>
      <c r="H87" s="872"/>
      <c r="I87" s="872"/>
      <c r="J87" s="872"/>
      <c r="K87" s="872"/>
      <c r="L87" s="872"/>
      <c r="M87" s="872"/>
      <c r="N87" s="872"/>
      <c r="O87" s="872"/>
      <c r="P87" s="872"/>
      <c r="Q87" s="872"/>
      <c r="R87" s="415">
        <f t="shared" si="22"/>
        <v>0</v>
      </c>
      <c r="S87" s="872"/>
      <c r="T87" s="872"/>
      <c r="U87" s="1204"/>
    </row>
    <row r="88" spans="1:21" s="105" customFormat="1">
      <c r="A88" s="194" t="s">
        <v>1825</v>
      </c>
      <c r="B88" s="244">
        <f t="shared" si="21"/>
        <v>17000</v>
      </c>
      <c r="C88" s="872">
        <v>17000</v>
      </c>
      <c r="D88" s="872"/>
      <c r="E88" s="872">
        <f>+C88</f>
        <v>17000</v>
      </c>
      <c r="F88" s="872"/>
      <c r="G88" s="872"/>
      <c r="H88" s="872"/>
      <c r="I88" s="872"/>
      <c r="J88" s="872"/>
      <c r="K88" s="872"/>
      <c r="L88" s="872"/>
      <c r="M88" s="872"/>
      <c r="N88" s="872"/>
      <c r="O88" s="872"/>
      <c r="P88" s="872"/>
      <c r="Q88" s="872"/>
      <c r="R88" s="415">
        <f t="shared" si="22"/>
        <v>17000</v>
      </c>
      <c r="S88" s="1205"/>
      <c r="T88" s="1205"/>
      <c r="U88" s="1204"/>
    </row>
    <row r="89" spans="1:21" s="105" customFormat="1">
      <c r="A89" s="194" t="s">
        <v>1826</v>
      </c>
      <c r="B89" s="244">
        <f t="shared" si="21"/>
        <v>100000</v>
      </c>
      <c r="C89" s="872">
        <v>100000</v>
      </c>
      <c r="D89" s="872"/>
      <c r="E89" s="872">
        <f>+C89</f>
        <v>100000</v>
      </c>
      <c r="F89" s="872"/>
      <c r="G89" s="872"/>
      <c r="H89" s="872"/>
      <c r="I89" s="872"/>
      <c r="J89" s="872"/>
      <c r="K89" s="872"/>
      <c r="L89" s="872"/>
      <c r="M89" s="872"/>
      <c r="N89" s="872"/>
      <c r="O89" s="872"/>
      <c r="P89" s="872"/>
      <c r="Q89" s="872"/>
      <c r="R89" s="415">
        <f t="shared" si="22"/>
        <v>100000</v>
      </c>
      <c r="S89" s="872">
        <f>+R89</f>
        <v>100000</v>
      </c>
      <c r="T89" s="872"/>
      <c r="U89" s="1204"/>
    </row>
    <row r="90" spans="1:21" s="105" customFormat="1">
      <c r="A90" s="194" t="s">
        <v>1827</v>
      </c>
      <c r="B90" s="244">
        <f t="shared" si="21"/>
        <v>15000</v>
      </c>
      <c r="C90" s="872">
        <v>15000</v>
      </c>
      <c r="D90" s="872"/>
      <c r="E90" s="872">
        <f>+C90</f>
        <v>15000</v>
      </c>
      <c r="F90" s="872"/>
      <c r="G90" s="872"/>
      <c r="H90" s="872"/>
      <c r="I90" s="872"/>
      <c r="J90" s="872"/>
      <c r="K90" s="872"/>
      <c r="L90" s="872"/>
      <c r="M90" s="872"/>
      <c r="N90" s="872"/>
      <c r="O90" s="872"/>
      <c r="P90" s="872"/>
      <c r="Q90" s="872"/>
      <c r="R90" s="415">
        <f t="shared" si="22"/>
        <v>15000</v>
      </c>
      <c r="S90" s="872"/>
      <c r="T90" s="872"/>
      <c r="U90" s="1204"/>
    </row>
    <row r="91" spans="1:21" s="105" customFormat="1">
      <c r="A91" s="194" t="s">
        <v>1828</v>
      </c>
      <c r="B91" s="244">
        <f t="shared" si="21"/>
        <v>0</v>
      </c>
      <c r="C91" s="872"/>
      <c r="D91" s="872"/>
      <c r="E91" s="872"/>
      <c r="F91" s="872"/>
      <c r="G91" s="872"/>
      <c r="H91" s="872"/>
      <c r="I91" s="872"/>
      <c r="J91" s="872"/>
      <c r="K91" s="872"/>
      <c r="L91" s="872"/>
      <c r="M91" s="872"/>
      <c r="N91" s="872"/>
      <c r="O91" s="872"/>
      <c r="P91" s="872"/>
      <c r="Q91" s="872"/>
      <c r="R91" s="415">
        <f t="shared" si="22"/>
        <v>0</v>
      </c>
      <c r="S91" s="872"/>
      <c r="T91" s="872"/>
      <c r="U91" s="1204"/>
    </row>
    <row r="92" spans="1:21" s="105" customFormat="1">
      <c r="A92" s="194" t="s">
        <v>1829</v>
      </c>
      <c r="B92" s="244">
        <f t="shared" si="21"/>
        <v>25000</v>
      </c>
      <c r="C92" s="872">
        <v>25000</v>
      </c>
      <c r="D92" s="872"/>
      <c r="E92" s="872">
        <f>+C92</f>
        <v>25000</v>
      </c>
      <c r="F92" s="872"/>
      <c r="G92" s="872"/>
      <c r="H92" s="872"/>
      <c r="I92" s="872"/>
      <c r="J92" s="872"/>
      <c r="K92" s="872"/>
      <c r="L92" s="872"/>
      <c r="M92" s="872"/>
      <c r="N92" s="872"/>
      <c r="O92" s="872"/>
      <c r="P92" s="872"/>
      <c r="Q92" s="872"/>
      <c r="R92" s="415">
        <f t="shared" si="22"/>
        <v>25000</v>
      </c>
      <c r="S92" s="872">
        <f>+R92</f>
        <v>25000</v>
      </c>
      <c r="T92" s="872"/>
      <c r="U92" s="1204"/>
    </row>
    <row r="93" spans="1:21" s="105" customFormat="1">
      <c r="A93" s="1037" t="s">
        <v>1780</v>
      </c>
      <c r="B93" s="244">
        <f t="shared" si="21"/>
        <v>0</v>
      </c>
      <c r="C93" s="872"/>
      <c r="D93" s="872"/>
      <c r="E93" s="872"/>
      <c r="F93" s="872"/>
      <c r="G93" s="872"/>
      <c r="H93" s="872"/>
      <c r="I93" s="872"/>
      <c r="J93" s="872"/>
      <c r="K93" s="872"/>
      <c r="L93" s="872"/>
      <c r="M93" s="872"/>
      <c r="N93" s="872"/>
      <c r="O93" s="872"/>
      <c r="P93" s="872"/>
      <c r="Q93" s="872"/>
      <c r="R93" s="415">
        <f t="shared" si="22"/>
        <v>0</v>
      </c>
      <c r="S93" s="872"/>
      <c r="T93" s="872"/>
      <c r="U93" s="1204"/>
    </row>
    <row r="94" spans="1:21" s="105" customFormat="1">
      <c r="A94" s="1037" t="s">
        <v>1780</v>
      </c>
      <c r="B94" s="244">
        <f t="shared" si="21"/>
        <v>0</v>
      </c>
      <c r="C94" s="872"/>
      <c r="D94" s="872"/>
      <c r="E94" s="872"/>
      <c r="F94" s="872"/>
      <c r="G94" s="872"/>
      <c r="H94" s="872"/>
      <c r="I94" s="872"/>
      <c r="J94" s="872"/>
      <c r="K94" s="872"/>
      <c r="L94" s="872"/>
      <c r="M94" s="872"/>
      <c r="N94" s="872"/>
      <c r="O94" s="872"/>
      <c r="P94" s="872"/>
      <c r="Q94" s="872"/>
      <c r="R94" s="415">
        <f t="shared" si="22"/>
        <v>0</v>
      </c>
      <c r="S94" s="872"/>
      <c r="T94" s="872"/>
      <c r="U94" s="1204"/>
    </row>
    <row r="95" spans="1:21" s="105" customFormat="1">
      <c r="A95" s="1037" t="s">
        <v>1780</v>
      </c>
      <c r="B95" s="244">
        <f t="shared" si="21"/>
        <v>0</v>
      </c>
      <c r="C95" s="872"/>
      <c r="D95" s="872"/>
      <c r="E95" s="872"/>
      <c r="F95" s="872"/>
      <c r="G95" s="872"/>
      <c r="H95" s="872"/>
      <c r="I95" s="872"/>
      <c r="J95" s="872"/>
      <c r="K95" s="872"/>
      <c r="L95" s="872"/>
      <c r="M95" s="872"/>
      <c r="N95" s="872"/>
      <c r="O95" s="872"/>
      <c r="P95" s="872"/>
      <c r="Q95" s="872"/>
      <c r="R95" s="415">
        <f t="shared" si="22"/>
        <v>0</v>
      </c>
      <c r="S95" s="872"/>
      <c r="T95" s="872"/>
      <c r="U95" s="1204"/>
    </row>
    <row r="96" spans="1:21" s="105" customFormat="1">
      <c r="A96" s="106" t="s">
        <v>1830</v>
      </c>
      <c r="B96" s="244">
        <f>SUM(C96:D96)</f>
        <v>268757</v>
      </c>
      <c r="C96" s="244">
        <f t="shared" ref="C96:R96" si="23">SUM(C83:C95)</f>
        <v>268757</v>
      </c>
      <c r="D96" s="244">
        <f t="shared" si="23"/>
        <v>0</v>
      </c>
      <c r="E96" s="244">
        <f t="shared" si="23"/>
        <v>268757</v>
      </c>
      <c r="F96" s="244">
        <f t="shared" si="23"/>
        <v>0</v>
      </c>
      <c r="G96" s="244">
        <f t="shared" si="23"/>
        <v>0</v>
      </c>
      <c r="H96" s="244">
        <f t="shared" si="23"/>
        <v>0</v>
      </c>
      <c r="I96" s="244">
        <f t="shared" si="23"/>
        <v>0</v>
      </c>
      <c r="J96" s="244">
        <f t="shared" si="23"/>
        <v>0</v>
      </c>
      <c r="K96" s="244">
        <f t="shared" si="23"/>
        <v>0</v>
      </c>
      <c r="L96" s="244">
        <f t="shared" si="23"/>
        <v>0</v>
      </c>
      <c r="M96" s="244">
        <f t="shared" si="23"/>
        <v>0</v>
      </c>
      <c r="N96" s="244">
        <f t="shared" si="23"/>
        <v>0</v>
      </c>
      <c r="O96" s="244">
        <f t="shared" si="23"/>
        <v>0</v>
      </c>
      <c r="P96" s="244">
        <f t="shared" si="23"/>
        <v>0</v>
      </c>
      <c r="Q96" s="244">
        <f t="shared" si="23"/>
        <v>0</v>
      </c>
      <c r="R96" s="244">
        <f t="shared" si="23"/>
        <v>268757</v>
      </c>
      <c r="S96" s="107">
        <f>SUM(S84:S87,S89:S95)</f>
        <v>155000</v>
      </c>
      <c r="T96" s="244">
        <f>SUM(T84:T87,T89:T95)</f>
        <v>0</v>
      </c>
      <c r="U96" s="1204"/>
    </row>
    <row r="97" spans="1:21" s="105" customFormat="1">
      <c r="A97" s="106" t="s">
        <v>1831</v>
      </c>
      <c r="B97" s="244">
        <f>SUM(C97:D97)</f>
        <v>51997116</v>
      </c>
      <c r="C97" s="244">
        <f t="shared" ref="C97:R97" si="24">SUM(C63+C70+C77+C81+C96)</f>
        <v>51997116</v>
      </c>
      <c r="D97" s="244">
        <f t="shared" si="24"/>
        <v>0</v>
      </c>
      <c r="E97" s="244">
        <f t="shared" si="24"/>
        <v>19131653</v>
      </c>
      <c r="F97" s="244">
        <f t="shared" si="24"/>
        <v>8664000</v>
      </c>
      <c r="G97" s="244">
        <f t="shared" si="24"/>
        <v>10246570</v>
      </c>
      <c r="H97" s="244">
        <f t="shared" si="24"/>
        <v>9993700</v>
      </c>
      <c r="I97" s="244">
        <f t="shared" si="24"/>
        <v>2365172</v>
      </c>
      <c r="J97" s="244">
        <f t="shared" si="24"/>
        <v>882875</v>
      </c>
      <c r="K97" s="244">
        <f t="shared" si="24"/>
        <v>0</v>
      </c>
      <c r="L97" s="244">
        <f t="shared" si="24"/>
        <v>713146</v>
      </c>
      <c r="M97" s="244">
        <f t="shared" si="24"/>
        <v>0</v>
      </c>
      <c r="N97" s="244">
        <f t="shared" si="24"/>
        <v>0</v>
      </c>
      <c r="O97" s="244">
        <f t="shared" si="24"/>
        <v>0</v>
      </c>
      <c r="P97" s="244">
        <f t="shared" si="24"/>
        <v>0</v>
      </c>
      <c r="Q97" s="244">
        <f t="shared" si="24"/>
        <v>0</v>
      </c>
      <c r="R97" s="244">
        <f t="shared" si="24"/>
        <v>51997116</v>
      </c>
      <c r="S97" s="244">
        <f>SUM(S63+S70+S81+S96)</f>
        <v>22849603</v>
      </c>
      <c r="T97" s="244">
        <f>SUM(T63+T70+T81+T96)</f>
        <v>26411867</v>
      </c>
      <c r="U97" s="1204"/>
    </row>
    <row r="98" spans="1:21" s="105" customFormat="1" ht="12">
      <c r="A98" s="104" t="s">
        <v>1832</v>
      </c>
      <c r="B98" s="245"/>
      <c r="C98" s="245"/>
      <c r="D98" s="245"/>
      <c r="E98" s="245"/>
      <c r="F98" s="245"/>
      <c r="G98" s="245"/>
      <c r="H98" s="245"/>
      <c r="I98" s="245"/>
      <c r="J98" s="245"/>
      <c r="K98" s="245"/>
      <c r="L98" s="245"/>
      <c r="M98" s="245"/>
      <c r="N98" s="245"/>
      <c r="O98" s="245"/>
      <c r="P98" s="245"/>
      <c r="Q98" s="245"/>
      <c r="R98" s="245"/>
      <c r="S98" s="245"/>
      <c r="T98" s="245"/>
      <c r="U98" s="1204"/>
    </row>
    <row r="99" spans="1:21" s="105" customFormat="1">
      <c r="A99" s="194" t="s">
        <v>1833</v>
      </c>
      <c r="B99" s="244">
        <f>SUM(C99+D99)</f>
        <v>4748033</v>
      </c>
      <c r="C99" s="872">
        <v>4748033</v>
      </c>
      <c r="D99" s="872"/>
      <c r="E99" s="872">
        <f>+C99-SUM(F99:L99)</f>
        <v>2503792</v>
      </c>
      <c r="F99" s="872"/>
      <c r="G99" s="872"/>
      <c r="H99" s="872"/>
      <c r="I99" s="872"/>
      <c r="J99" s="872"/>
      <c r="K99" s="872">
        <f>+K108</f>
        <v>2244241</v>
      </c>
      <c r="L99" s="872"/>
      <c r="M99" s="872"/>
      <c r="N99" s="872"/>
      <c r="O99" s="872"/>
      <c r="P99" s="872"/>
      <c r="Q99" s="872"/>
      <c r="R99" s="415">
        <f>SUM(E99:Q99)</f>
        <v>4748033</v>
      </c>
      <c r="S99" s="872">
        <v>3427440</v>
      </c>
      <c r="T99" s="872">
        <v>1320593</v>
      </c>
      <c r="U99" s="1204"/>
    </row>
    <row r="100" spans="1:21" s="105" customFormat="1">
      <c r="A100" s="194" t="s">
        <v>1834</v>
      </c>
      <c r="B100" s="244">
        <f>SUM(C100+D100)</f>
        <v>0</v>
      </c>
      <c r="C100" s="872"/>
      <c r="D100" s="872"/>
      <c r="E100" s="872"/>
      <c r="F100" s="872"/>
      <c r="G100" s="872"/>
      <c r="H100" s="872"/>
      <c r="I100" s="872"/>
      <c r="J100" s="872"/>
      <c r="K100" s="872"/>
      <c r="L100" s="872"/>
      <c r="M100" s="872"/>
      <c r="N100" s="872"/>
      <c r="O100" s="872"/>
      <c r="P100" s="872"/>
      <c r="Q100" s="872"/>
      <c r="R100" s="415">
        <f>SUM(E100:Q100)</f>
        <v>0</v>
      </c>
      <c r="S100" s="872"/>
      <c r="T100" s="872"/>
      <c r="U100" s="1204"/>
    </row>
    <row r="101" spans="1:21" s="105" customFormat="1" ht="12" customHeight="1">
      <c r="A101" s="194" t="s">
        <v>1835</v>
      </c>
      <c r="B101" s="244">
        <f>SUM(C101+D101)</f>
        <v>0</v>
      </c>
      <c r="C101" s="872"/>
      <c r="D101" s="872"/>
      <c r="E101" s="872"/>
      <c r="F101" s="872"/>
      <c r="G101" s="872"/>
      <c r="H101" s="872"/>
      <c r="I101" s="872"/>
      <c r="J101" s="872"/>
      <c r="K101" s="872"/>
      <c r="L101" s="872"/>
      <c r="M101" s="872"/>
      <c r="N101" s="872"/>
      <c r="O101" s="872"/>
      <c r="P101" s="872"/>
      <c r="Q101" s="872"/>
      <c r="R101" s="415">
        <f>SUM(E101:Q101)</f>
        <v>0</v>
      </c>
      <c r="S101" s="872"/>
      <c r="T101" s="872"/>
      <c r="U101" s="1204"/>
    </row>
    <row r="102" spans="1:21" s="105" customFormat="1">
      <c r="A102" s="194" t="s">
        <v>1836</v>
      </c>
      <c r="B102" s="244">
        <f>SUM(C102+D102)</f>
        <v>0</v>
      </c>
      <c r="C102" s="872"/>
      <c r="D102" s="872"/>
      <c r="E102" s="872"/>
      <c r="F102" s="872"/>
      <c r="G102" s="872"/>
      <c r="H102" s="872"/>
      <c r="I102" s="872"/>
      <c r="J102" s="872"/>
      <c r="K102" s="872"/>
      <c r="L102" s="872"/>
      <c r="M102" s="872"/>
      <c r="N102" s="872"/>
      <c r="O102" s="872"/>
      <c r="P102" s="872"/>
      <c r="Q102" s="872"/>
      <c r="R102" s="415">
        <f>SUM(E102:Q102)</f>
        <v>0</v>
      </c>
      <c r="S102" s="872"/>
      <c r="T102" s="872"/>
      <c r="U102" s="1204"/>
    </row>
    <row r="103" spans="1:21" s="105" customFormat="1">
      <c r="A103" s="1037" t="s">
        <v>1780</v>
      </c>
      <c r="B103" s="244">
        <f>SUM(C103+D103)</f>
        <v>0</v>
      </c>
      <c r="C103" s="872"/>
      <c r="D103" s="872"/>
      <c r="E103" s="872"/>
      <c r="F103" s="872"/>
      <c r="G103" s="872"/>
      <c r="H103" s="872"/>
      <c r="I103" s="872"/>
      <c r="J103" s="872"/>
      <c r="K103" s="872"/>
      <c r="L103" s="872"/>
      <c r="M103" s="872"/>
      <c r="N103" s="872"/>
      <c r="O103" s="872"/>
      <c r="P103" s="872"/>
      <c r="Q103" s="872"/>
      <c r="R103" s="415">
        <f>SUM(E103:Q103)</f>
        <v>0</v>
      </c>
      <c r="S103" s="872"/>
      <c r="T103" s="872"/>
      <c r="U103" s="1204"/>
    </row>
    <row r="104" spans="1:21" s="105" customFormat="1">
      <c r="A104" s="106" t="s">
        <v>1837</v>
      </c>
      <c r="B104" s="244">
        <f>SUM(C104:D104)</f>
        <v>4748033</v>
      </c>
      <c r="C104" s="244">
        <f>SUM(C99:C103)</f>
        <v>4748033</v>
      </c>
      <c r="D104" s="244">
        <f t="shared" ref="D104:T104" si="25">SUM(D99:D103)</f>
        <v>0</v>
      </c>
      <c r="E104" s="244">
        <f t="shared" si="25"/>
        <v>2503792</v>
      </c>
      <c r="F104" s="244">
        <f t="shared" si="25"/>
        <v>0</v>
      </c>
      <c r="G104" s="244">
        <f t="shared" si="25"/>
        <v>0</v>
      </c>
      <c r="H104" s="244">
        <f t="shared" si="25"/>
        <v>0</v>
      </c>
      <c r="I104" s="244">
        <f t="shared" si="25"/>
        <v>0</v>
      </c>
      <c r="J104" s="244">
        <f t="shared" si="25"/>
        <v>0</v>
      </c>
      <c r="K104" s="244">
        <f t="shared" si="25"/>
        <v>2244241</v>
      </c>
      <c r="L104" s="244">
        <f t="shared" si="25"/>
        <v>0</v>
      </c>
      <c r="M104" s="244">
        <f t="shared" si="25"/>
        <v>0</v>
      </c>
      <c r="N104" s="244">
        <f t="shared" si="25"/>
        <v>0</v>
      </c>
      <c r="O104" s="244">
        <f t="shared" si="25"/>
        <v>0</v>
      </c>
      <c r="P104" s="244">
        <f t="shared" si="25"/>
        <v>0</v>
      </c>
      <c r="Q104" s="244">
        <f t="shared" si="25"/>
        <v>0</v>
      </c>
      <c r="R104" s="244">
        <f t="shared" si="25"/>
        <v>4748033</v>
      </c>
      <c r="S104" s="107">
        <f t="shared" si="25"/>
        <v>3427440</v>
      </c>
      <c r="T104" s="107">
        <f t="shared" si="25"/>
        <v>1320593</v>
      </c>
      <c r="U104" s="1204"/>
    </row>
    <row r="105" spans="1:21" s="105" customFormat="1">
      <c r="A105" s="106" t="s">
        <v>1838</v>
      </c>
      <c r="B105" s="107">
        <f>SUM(C105:D105)</f>
        <v>56745149</v>
      </c>
      <c r="C105" s="107">
        <f t="shared" ref="C105:R105" si="26">SUM(C97+C104)</f>
        <v>56745149</v>
      </c>
      <c r="D105" s="107">
        <f t="shared" si="26"/>
        <v>0</v>
      </c>
      <c r="E105" s="107">
        <f t="shared" si="26"/>
        <v>21635445</v>
      </c>
      <c r="F105" s="107">
        <f t="shared" si="26"/>
        <v>8664000</v>
      </c>
      <c r="G105" s="107">
        <f t="shared" si="26"/>
        <v>10246570</v>
      </c>
      <c r="H105" s="107">
        <f t="shared" si="26"/>
        <v>9993700</v>
      </c>
      <c r="I105" s="107">
        <f t="shared" si="26"/>
        <v>2365172</v>
      </c>
      <c r="J105" s="107">
        <f t="shared" si="26"/>
        <v>882875</v>
      </c>
      <c r="K105" s="107">
        <f t="shared" si="26"/>
        <v>2244241</v>
      </c>
      <c r="L105" s="107">
        <f t="shared" si="26"/>
        <v>713146</v>
      </c>
      <c r="M105" s="107">
        <f t="shared" si="26"/>
        <v>0</v>
      </c>
      <c r="N105" s="107">
        <f t="shared" si="26"/>
        <v>0</v>
      </c>
      <c r="O105" s="107">
        <f t="shared" si="26"/>
        <v>0</v>
      </c>
      <c r="P105" s="107">
        <f t="shared" si="26"/>
        <v>0</v>
      </c>
      <c r="Q105" s="107">
        <f t="shared" si="26"/>
        <v>0</v>
      </c>
      <c r="R105" s="244">
        <f t="shared" si="26"/>
        <v>56745149</v>
      </c>
      <c r="S105" s="107">
        <f>S97+S104</f>
        <v>26277043</v>
      </c>
      <c r="T105" s="107">
        <f>T97+T104</f>
        <v>27732460</v>
      </c>
      <c r="U105" s="1204"/>
    </row>
    <row r="106" spans="1:21">
      <c r="A106" s="413" t="s">
        <v>1839</v>
      </c>
      <c r="B106" s="1212"/>
      <c r="C106" s="1212"/>
      <c r="D106" s="1212"/>
      <c r="E106" s="228"/>
      <c r="F106" s="228"/>
      <c r="G106" s="228"/>
      <c r="H106" s="229" t="s">
        <v>1840</v>
      </c>
      <c r="I106" s="229"/>
      <c r="J106" s="229"/>
      <c r="K106" s="228"/>
      <c r="L106" s="228"/>
      <c r="M106" s="228"/>
      <c r="N106" s="228"/>
      <c r="O106" s="228"/>
      <c r="P106" s="228"/>
      <c r="Q106" s="228"/>
      <c r="R106" s="113" t="s">
        <v>1841</v>
      </c>
      <c r="S106" s="872"/>
      <c r="T106" s="872"/>
      <c r="U106" s="230"/>
    </row>
    <row r="107" spans="1:21">
      <c r="A107" s="1212" t="s">
        <v>1842</v>
      </c>
      <c r="B107" s="228"/>
      <c r="C107" s="1212"/>
      <c r="D107" s="1212"/>
      <c r="E107" s="228"/>
      <c r="F107" s="228"/>
      <c r="G107" s="228"/>
      <c r="H107" s="228"/>
      <c r="I107" s="115" t="s">
        <v>1843</v>
      </c>
      <c r="J107" s="115"/>
      <c r="K107" s="228"/>
      <c r="L107" s="228"/>
      <c r="M107" s="228"/>
      <c r="N107" s="228"/>
      <c r="O107" s="228"/>
      <c r="P107" s="228"/>
      <c r="Q107" s="228"/>
      <c r="R107" s="113" t="s">
        <v>1844</v>
      </c>
      <c r="S107" s="107">
        <f>S105+S106</f>
        <v>26277043</v>
      </c>
      <c r="T107" s="107">
        <f>T105+T106</f>
        <v>27732460</v>
      </c>
      <c r="U107" s="230"/>
    </row>
    <row r="108" spans="1:21" s="129" customFormat="1">
      <c r="A108" s="115" t="s">
        <v>1845</v>
      </c>
      <c r="B108" s="1212"/>
      <c r="C108" s="1212"/>
      <c r="D108" s="1212"/>
      <c r="E108" s="1213">
        <f>Application!AO640</f>
        <v>21635445</v>
      </c>
      <c r="F108" s="1213">
        <f>Application!AO627</f>
        <v>8664000</v>
      </c>
      <c r="G108" s="1213">
        <f>Application!AO628</f>
        <v>10246570</v>
      </c>
      <c r="H108" s="1213">
        <f>Application!AO629</f>
        <v>9993700</v>
      </c>
      <c r="I108" s="1213">
        <f>Application!AO630</f>
        <v>2365172</v>
      </c>
      <c r="J108" s="1213">
        <f>Application!AO631</f>
        <v>882875</v>
      </c>
      <c r="K108" s="1213">
        <f>Application!AO632</f>
        <v>2244241</v>
      </c>
      <c r="L108" s="1213">
        <f>Application!AO633</f>
        <v>713146</v>
      </c>
      <c r="M108" s="1213">
        <f>Application!AO634</f>
        <v>0</v>
      </c>
      <c r="N108" s="1213">
        <f>Application!AO635</f>
        <v>0</v>
      </c>
      <c r="O108" s="1213">
        <f>Application!AO636</f>
        <v>0</v>
      </c>
      <c r="P108" s="1213">
        <f>Application!AO637</f>
        <v>0</v>
      </c>
      <c r="Q108" s="1213">
        <f>Application!AO638</f>
        <v>0</v>
      </c>
      <c r="R108" s="228"/>
      <c r="S108" s="228"/>
      <c r="T108" s="228"/>
      <c r="U108" s="1214"/>
    </row>
    <row r="109" spans="1:21" ht="10.25" customHeight="1">
      <c r="A109" s="1212"/>
      <c r="B109" s="1212"/>
      <c r="C109" s="1212"/>
      <c r="D109" s="1212"/>
      <c r="E109" s="228"/>
      <c r="F109" s="228"/>
      <c r="G109" s="228"/>
      <c r="H109" s="228"/>
      <c r="I109" s="228"/>
      <c r="J109" s="228"/>
      <c r="K109" s="228"/>
      <c r="L109" s="228"/>
      <c r="M109" s="228"/>
      <c r="N109" s="228"/>
      <c r="O109" s="228"/>
      <c r="P109" s="228"/>
      <c r="Q109" s="228"/>
      <c r="R109" s="228"/>
      <c r="S109" s="228"/>
      <c r="T109" s="228"/>
      <c r="U109" s="230"/>
    </row>
    <row r="110" spans="1:21">
      <c r="A110" s="115" t="s">
        <v>1846</v>
      </c>
      <c r="B110" s="1212"/>
      <c r="C110" s="1212"/>
      <c r="D110" s="1212"/>
      <c r="E110" s="228"/>
      <c r="F110" s="228"/>
      <c r="G110" s="228"/>
      <c r="H110" s="228"/>
      <c r="I110" s="228"/>
      <c r="J110" s="228"/>
      <c r="K110" s="228"/>
      <c r="L110" s="228"/>
      <c r="M110" s="228"/>
      <c r="N110" s="228"/>
      <c r="O110" s="228"/>
      <c r="P110" s="228"/>
      <c r="Q110" s="228"/>
      <c r="R110" s="228"/>
      <c r="S110" s="228"/>
      <c r="T110" s="228"/>
      <c r="U110" s="230"/>
    </row>
    <row r="111" spans="1:21">
      <c r="A111" s="111" t="s">
        <v>1847</v>
      </c>
      <c r="B111" s="1212"/>
      <c r="C111" s="1212"/>
      <c r="D111" s="1212"/>
      <c r="E111" s="228"/>
      <c r="F111" s="228"/>
      <c r="G111" s="228"/>
      <c r="H111" s="228"/>
      <c r="I111" s="228"/>
      <c r="J111" s="228"/>
      <c r="K111" s="228"/>
      <c r="L111" s="228"/>
      <c r="M111" s="228"/>
      <c r="N111" s="228"/>
      <c r="O111" s="228"/>
      <c r="P111" s="228"/>
      <c r="Q111" s="228"/>
      <c r="R111" s="228"/>
      <c r="S111" s="228"/>
      <c r="T111" s="228"/>
      <c r="U111" s="230"/>
    </row>
    <row r="112" spans="1:21" ht="12" customHeight="1">
      <c r="A112" s="218"/>
      <c r="B112" s="1212"/>
      <c r="C112" s="1212"/>
      <c r="D112" s="1212"/>
      <c r="E112" s="228"/>
      <c r="F112" s="228"/>
      <c r="G112" s="228"/>
      <c r="H112" s="228"/>
      <c r="I112" s="228"/>
      <c r="J112" s="228"/>
      <c r="K112" s="228"/>
      <c r="L112" s="228"/>
      <c r="M112" s="228"/>
      <c r="N112" s="228"/>
      <c r="O112" s="228"/>
      <c r="P112" s="228"/>
      <c r="Q112" s="228"/>
      <c r="R112" s="228"/>
      <c r="S112" s="228"/>
      <c r="T112" s="228"/>
      <c r="U112" s="230"/>
    </row>
    <row r="113" spans="1:21">
      <c r="A113" s="111" t="s">
        <v>1848</v>
      </c>
      <c r="B113" s="1212"/>
      <c r="C113" s="1212"/>
      <c r="D113" s="1212"/>
      <c r="E113" s="228"/>
      <c r="F113" s="228"/>
      <c r="G113" s="228"/>
      <c r="H113" s="228"/>
      <c r="I113" s="228"/>
      <c r="J113" s="228"/>
      <c r="K113" s="228"/>
      <c r="L113" s="228"/>
      <c r="M113" s="228"/>
      <c r="N113" s="228"/>
      <c r="O113" s="228"/>
      <c r="P113" s="228"/>
      <c r="Q113" s="228"/>
      <c r="R113" s="228"/>
      <c r="S113" s="228"/>
      <c r="T113" s="228"/>
      <c r="U113" s="230"/>
    </row>
    <row r="114" spans="1:21">
      <c r="A114" s="111" t="s">
        <v>1849</v>
      </c>
      <c r="B114" s="1212"/>
      <c r="C114" s="1212"/>
      <c r="D114" s="1212"/>
      <c r="E114" s="228"/>
      <c r="F114" s="228"/>
      <c r="G114" s="228"/>
      <c r="H114" s="228"/>
      <c r="I114" s="228"/>
      <c r="J114" s="228"/>
      <c r="K114" s="228"/>
      <c r="L114" s="228"/>
      <c r="M114" s="228"/>
      <c r="N114" s="228"/>
      <c r="O114" s="228"/>
      <c r="P114" s="228"/>
      <c r="Q114" s="228"/>
      <c r="R114" s="228"/>
      <c r="S114" s="228"/>
      <c r="T114" s="228"/>
      <c r="U114" s="230"/>
    </row>
    <row r="115" spans="1:21" ht="12" customHeight="1">
      <c r="A115" s="218"/>
      <c r="B115" s="1212"/>
      <c r="C115" s="1212"/>
      <c r="D115" s="1212"/>
      <c r="E115" s="228"/>
      <c r="F115" s="228"/>
      <c r="G115" s="228"/>
      <c r="H115" s="228"/>
      <c r="I115" s="228"/>
      <c r="J115" s="228"/>
      <c r="K115" s="228"/>
      <c r="L115" s="228"/>
      <c r="M115" s="228"/>
      <c r="N115" s="228"/>
      <c r="O115" s="228"/>
      <c r="P115" s="228"/>
      <c r="Q115" s="228"/>
      <c r="R115" s="228"/>
      <c r="S115" s="228"/>
      <c r="T115" s="228"/>
      <c r="U115" s="230"/>
    </row>
    <row r="116" spans="1:21">
      <c r="A116" s="247" t="s">
        <v>1850</v>
      </c>
      <c r="B116" s="1212"/>
      <c r="C116" s="1212"/>
      <c r="D116" s="1212"/>
      <c r="E116" s="228"/>
      <c r="F116" s="228"/>
      <c r="G116" s="228"/>
      <c r="H116" s="228"/>
      <c r="I116" s="228"/>
      <c r="J116" s="228"/>
      <c r="K116" s="228"/>
      <c r="L116" s="228"/>
      <c r="M116" s="228"/>
      <c r="N116" s="228"/>
      <c r="O116" s="228"/>
      <c r="P116" s="228"/>
      <c r="Q116" s="228"/>
      <c r="R116" s="228"/>
      <c r="S116" s="228"/>
      <c r="T116" s="228"/>
      <c r="U116" s="230"/>
    </row>
    <row r="117" spans="1:21">
      <c r="A117" s="247" t="s">
        <v>1851</v>
      </c>
      <c r="B117" s="1212"/>
      <c r="C117" s="1212"/>
      <c r="D117" s="1212"/>
      <c r="E117" s="228"/>
      <c r="F117" s="228"/>
      <c r="G117" s="228"/>
      <c r="H117" s="228"/>
      <c r="I117" s="228"/>
      <c r="J117" s="228"/>
      <c r="K117" s="228"/>
      <c r="L117" s="228"/>
      <c r="M117" s="228"/>
      <c r="N117" s="228"/>
      <c r="O117" s="228"/>
      <c r="P117" s="228"/>
      <c r="Q117" s="228"/>
      <c r="R117" s="228"/>
      <c r="S117" s="228"/>
      <c r="T117" s="228"/>
      <c r="U117" s="230"/>
    </row>
    <row r="118" spans="1:21">
      <c r="A118" s="247" t="s">
        <v>1852</v>
      </c>
      <c r="B118" s="1212"/>
      <c r="C118" s="1212"/>
      <c r="D118" s="1212"/>
      <c r="E118" s="228"/>
      <c r="F118" s="228"/>
      <c r="G118" s="228"/>
      <c r="H118" s="228"/>
      <c r="I118" s="228"/>
      <c r="J118" s="228"/>
      <c r="K118" s="228"/>
      <c r="L118" s="228"/>
      <c r="M118" s="228"/>
      <c r="N118" s="228"/>
      <c r="O118" s="228"/>
      <c r="P118" s="228"/>
      <c r="Q118" s="228"/>
      <c r="R118" s="228"/>
      <c r="S118" s="228"/>
      <c r="T118" s="228"/>
      <c r="U118" s="230"/>
    </row>
    <row r="119" spans="1:21">
      <c r="A119" s="247" t="s">
        <v>1853</v>
      </c>
      <c r="B119" s="1212"/>
      <c r="C119" s="1212"/>
      <c r="D119" s="1212"/>
      <c r="E119" s="228"/>
      <c r="F119" s="228"/>
      <c r="G119" s="228"/>
      <c r="H119" s="228"/>
      <c r="I119" s="228"/>
      <c r="J119" s="228"/>
      <c r="K119" s="228"/>
      <c r="L119" s="228"/>
      <c r="M119" s="228"/>
      <c r="N119" s="228"/>
      <c r="O119" s="228"/>
      <c r="P119" s="228"/>
      <c r="Q119" s="228"/>
      <c r="R119" s="228"/>
      <c r="S119" s="228"/>
      <c r="T119" s="228"/>
      <c r="U119" s="230"/>
    </row>
    <row r="120" spans="1:21" ht="12" customHeight="1">
      <c r="A120" s="246"/>
      <c r="B120" s="1212"/>
      <c r="C120" s="1212"/>
      <c r="D120" s="1212"/>
      <c r="E120" s="228"/>
      <c r="F120" s="228"/>
      <c r="G120" s="228"/>
      <c r="H120" s="228"/>
      <c r="I120" s="228"/>
      <c r="J120" s="228"/>
      <c r="K120" s="228"/>
      <c r="L120" s="228"/>
      <c r="M120" s="228"/>
      <c r="N120" s="228"/>
      <c r="O120" s="228"/>
      <c r="P120" s="228"/>
      <c r="Q120" s="228"/>
      <c r="R120" s="228"/>
      <c r="S120" s="228"/>
      <c r="T120" s="228"/>
      <c r="U120" s="230"/>
    </row>
    <row r="121" spans="1:21" ht="15.5">
      <c r="A121" s="240" t="s">
        <v>1854</v>
      </c>
      <c r="B121" s="1212"/>
      <c r="C121" s="1212"/>
      <c r="D121" s="1212"/>
      <c r="E121" s="228"/>
      <c r="F121" s="228"/>
      <c r="G121" s="228"/>
      <c r="H121" s="228"/>
      <c r="I121" s="228"/>
      <c r="J121" s="228"/>
      <c r="K121" s="228"/>
      <c r="L121" s="228"/>
      <c r="M121" s="228"/>
      <c r="N121" s="228"/>
      <c r="O121" s="228"/>
      <c r="P121" s="228"/>
      <c r="Q121" s="228"/>
      <c r="R121" s="228"/>
      <c r="S121" s="228"/>
      <c r="T121" s="228"/>
      <c r="U121" s="230"/>
    </row>
    <row r="122" spans="1:21">
      <c r="A122" s="229" t="s">
        <v>1855</v>
      </c>
      <c r="B122" s="228"/>
      <c r="C122" s="228"/>
      <c r="D122" s="1798" t="s">
        <v>1856</v>
      </c>
      <c r="E122" s="1798"/>
      <c r="F122" s="1798"/>
      <c r="G122" s="228"/>
      <c r="H122" s="228"/>
      <c r="I122" s="228"/>
      <c r="J122" s="228"/>
      <c r="K122" s="228"/>
      <c r="L122" s="228"/>
      <c r="M122" s="228"/>
      <c r="N122" s="228"/>
      <c r="O122" s="228"/>
      <c r="P122" s="228"/>
      <c r="Q122" s="228"/>
      <c r="R122" s="228"/>
      <c r="S122" s="228"/>
      <c r="T122" s="228"/>
      <c r="U122" s="230"/>
    </row>
    <row r="123" spans="1:21">
      <c r="A123" s="228" t="s">
        <v>1857</v>
      </c>
      <c r="B123" s="237"/>
      <c r="C123" s="228"/>
      <c r="D123" s="1791" t="s">
        <v>1858</v>
      </c>
      <c r="E123" s="1498"/>
      <c r="F123" s="1498"/>
      <c r="G123" s="1498"/>
      <c r="H123" s="1498"/>
      <c r="I123" s="1498"/>
      <c r="J123" s="1498"/>
      <c r="K123" s="1498"/>
      <c r="L123" s="1498"/>
      <c r="M123" s="1498"/>
      <c r="N123" s="1498"/>
      <c r="O123" s="1498"/>
      <c r="P123" s="1498"/>
      <c r="Q123" s="1498"/>
      <c r="R123" s="1498"/>
      <c r="S123" s="1498"/>
      <c r="T123" s="228"/>
      <c r="U123" s="230"/>
    </row>
    <row r="124" spans="1:21" ht="12.5">
      <c r="A124" s="356" t="s">
        <v>1859</v>
      </c>
      <c r="B124" s="237"/>
      <c r="C124" s="356"/>
      <c r="D124" s="1498"/>
      <c r="E124" s="1498"/>
      <c r="F124" s="1498"/>
      <c r="G124" s="1498"/>
      <c r="H124" s="1498"/>
      <c r="I124" s="1498"/>
      <c r="J124" s="1498"/>
      <c r="K124" s="1498"/>
      <c r="L124" s="1498"/>
      <c r="M124" s="1498"/>
      <c r="N124" s="1498"/>
      <c r="O124" s="1498"/>
      <c r="P124" s="1498"/>
      <c r="Q124" s="1498"/>
      <c r="R124" s="1498"/>
      <c r="S124" s="1498"/>
      <c r="T124" s="228"/>
      <c r="U124" s="230"/>
    </row>
    <row r="125" spans="1:21" ht="12.5">
      <c r="A125" s="356" t="s">
        <v>1860</v>
      </c>
      <c r="B125" s="237"/>
      <c r="C125" s="356"/>
      <c r="D125" s="1498"/>
      <c r="E125" s="1498"/>
      <c r="F125" s="1498"/>
      <c r="G125" s="1498"/>
      <c r="H125" s="1498"/>
      <c r="I125" s="1498"/>
      <c r="J125" s="1498"/>
      <c r="K125" s="1498"/>
      <c r="L125" s="1498"/>
      <c r="M125" s="1498"/>
      <c r="N125" s="1498"/>
      <c r="O125" s="1498"/>
      <c r="P125" s="1498"/>
      <c r="Q125" s="1498"/>
      <c r="R125" s="1498"/>
      <c r="S125" s="1498"/>
      <c r="T125" s="228"/>
      <c r="U125" s="230"/>
    </row>
    <row r="126" spans="1:21" ht="12.5">
      <c r="A126" s="356" t="s">
        <v>1861</v>
      </c>
      <c r="B126" s="237"/>
      <c r="C126" s="356"/>
      <c r="D126" s="85"/>
      <c r="E126" s="85"/>
      <c r="F126" s="85"/>
      <c r="G126" s="85"/>
      <c r="H126" s="85"/>
      <c r="I126" s="85"/>
      <c r="J126" s="85"/>
      <c r="K126" s="85"/>
      <c r="L126" s="85"/>
      <c r="M126" s="85"/>
      <c r="N126" s="85"/>
      <c r="O126" s="356"/>
      <c r="P126" s="356"/>
      <c r="Q126" s="356"/>
      <c r="R126" s="356"/>
      <c r="S126" s="356"/>
      <c r="T126" s="228"/>
      <c r="U126" s="230"/>
    </row>
    <row r="127" spans="1:21" ht="12.5">
      <c r="A127" s="356" t="s">
        <v>1862</v>
      </c>
      <c r="B127" s="237"/>
      <c r="C127" s="356"/>
      <c r="D127" s="85"/>
      <c r="E127" s="85"/>
      <c r="F127" s="85"/>
      <c r="G127" s="85"/>
      <c r="H127" s="85"/>
      <c r="I127" s="85"/>
      <c r="J127" s="85"/>
      <c r="K127" s="85"/>
      <c r="L127" s="85"/>
      <c r="M127" s="85"/>
      <c r="N127" s="85"/>
      <c r="O127" s="356"/>
      <c r="P127" s="356"/>
      <c r="Q127" s="356"/>
      <c r="R127" s="356"/>
      <c r="S127" s="356"/>
      <c r="T127" s="228"/>
      <c r="U127" s="230"/>
    </row>
    <row r="128" spans="1:21" ht="12.5">
      <c r="A128" s="356" t="s">
        <v>1863</v>
      </c>
      <c r="B128" s="237"/>
      <c r="C128" s="356"/>
      <c r="D128" s="1793"/>
      <c r="E128" s="1793"/>
      <c r="F128" s="1793"/>
      <c r="G128" s="1793"/>
      <c r="H128" s="1793"/>
      <c r="I128" s="356"/>
      <c r="J128" s="1790"/>
      <c r="K128" s="1790"/>
      <c r="L128" s="356"/>
      <c r="M128" s="356"/>
      <c r="N128" s="356"/>
      <c r="O128" s="356"/>
      <c r="P128" s="356"/>
      <c r="Q128" s="356"/>
      <c r="R128" s="356"/>
      <c r="S128" s="356"/>
      <c r="T128" s="228"/>
      <c r="U128" s="230"/>
    </row>
    <row r="129" spans="1:21" ht="12.5">
      <c r="A129" s="356" t="s">
        <v>1050</v>
      </c>
      <c r="B129" s="237"/>
      <c r="C129" s="356"/>
      <c r="D129" s="1797" t="s">
        <v>1864</v>
      </c>
      <c r="E129" s="1797"/>
      <c r="F129" s="1797"/>
      <c r="G129" s="1797"/>
      <c r="H129" s="1797"/>
      <c r="I129" s="356"/>
      <c r="J129" s="356" t="s">
        <v>1865</v>
      </c>
      <c r="K129" s="356"/>
      <c r="L129" s="356"/>
      <c r="M129" s="356"/>
      <c r="N129" s="356"/>
      <c r="O129" s="356"/>
      <c r="P129" s="356"/>
      <c r="Q129" s="356"/>
      <c r="R129" s="356"/>
      <c r="S129" s="356"/>
      <c r="T129" s="228"/>
      <c r="U129" s="230"/>
    </row>
    <row r="130" spans="1:21" ht="12" customHeight="1">
      <c r="A130" s="356"/>
      <c r="B130" s="236"/>
      <c r="C130" s="356"/>
      <c r="D130" s="356"/>
      <c r="E130" s="356"/>
      <c r="F130" s="356"/>
      <c r="G130" s="356"/>
      <c r="H130" s="356"/>
      <c r="I130" s="356"/>
      <c r="J130" s="356"/>
      <c r="K130" s="356"/>
      <c r="L130" s="356"/>
      <c r="M130" s="356"/>
      <c r="N130" s="356"/>
      <c r="O130" s="356"/>
      <c r="P130" s="356"/>
      <c r="Q130" s="356"/>
      <c r="R130" s="356"/>
      <c r="S130" s="356"/>
      <c r="T130" s="228"/>
      <c r="U130" s="230"/>
    </row>
    <row r="131" spans="1:21" ht="13">
      <c r="A131" s="239" t="s">
        <v>1866</v>
      </c>
      <c r="B131" s="238">
        <f>SUM(B123:B129)</f>
        <v>0</v>
      </c>
      <c r="C131" s="356"/>
      <c r="D131" s="1476"/>
      <c r="E131" s="1476"/>
      <c r="F131" s="1476"/>
      <c r="G131" s="1476"/>
      <c r="H131" s="1476"/>
      <c r="I131" s="356"/>
      <c r="J131" s="1476"/>
      <c r="K131" s="1476"/>
      <c r="L131" s="1476"/>
      <c r="M131" s="1476"/>
      <c r="N131" s="356"/>
      <c r="O131" s="356"/>
      <c r="P131" s="356"/>
      <c r="Q131" s="356"/>
      <c r="R131" s="356"/>
      <c r="S131" s="356"/>
      <c r="T131" s="228"/>
      <c r="U131" s="230"/>
    </row>
    <row r="132" spans="1:21" ht="12" customHeight="1">
      <c r="A132" s="1215"/>
      <c r="B132" s="356"/>
      <c r="C132" s="356"/>
      <c r="D132" s="1289" t="s">
        <v>1867</v>
      </c>
      <c r="E132" s="1289"/>
      <c r="F132" s="1289"/>
      <c r="G132" s="1289"/>
      <c r="H132" s="1289"/>
      <c r="I132" s="356"/>
      <c r="J132" s="1289" t="s">
        <v>1868</v>
      </c>
      <c r="K132" s="1289"/>
      <c r="L132" s="1289"/>
      <c r="M132" s="1289"/>
      <c r="N132" s="356"/>
      <c r="O132" s="356"/>
      <c r="P132" s="356"/>
      <c r="Q132" s="356"/>
      <c r="R132" s="356"/>
      <c r="S132" s="356"/>
      <c r="T132" s="228"/>
      <c r="U132" s="230"/>
    </row>
    <row r="133" spans="1:21" ht="12" customHeight="1">
      <c r="A133" s="1215"/>
      <c r="B133" s="356"/>
      <c r="C133" s="356"/>
      <c r="D133" s="356"/>
      <c r="E133" s="356"/>
      <c r="F133" s="356"/>
      <c r="G133" s="356"/>
      <c r="H133" s="356"/>
      <c r="I133" s="356"/>
      <c r="J133" s="356"/>
      <c r="K133" s="356"/>
      <c r="L133" s="356"/>
      <c r="M133" s="356"/>
      <c r="N133" s="356"/>
      <c r="O133" s="356"/>
      <c r="P133" s="356"/>
      <c r="Q133" s="356"/>
      <c r="R133" s="356"/>
      <c r="S133" s="356"/>
      <c r="T133" s="228"/>
      <c r="U133" s="230"/>
    </row>
    <row r="134" spans="1:21" ht="12.5">
      <c r="A134" s="418" t="s">
        <v>1869</v>
      </c>
      <c r="B134" s="356"/>
      <c r="C134" s="356"/>
      <c r="D134" s="356"/>
      <c r="E134" s="356"/>
      <c r="F134" s="356"/>
      <c r="G134" s="356"/>
      <c r="H134" s="356"/>
      <c r="I134" s="356"/>
      <c r="J134" s="356"/>
      <c r="K134" s="356"/>
      <c r="L134" s="356"/>
      <c r="M134" s="356"/>
      <c r="N134" s="356"/>
      <c r="O134" s="356"/>
      <c r="P134" s="356"/>
      <c r="Q134" s="356"/>
      <c r="R134" s="356"/>
      <c r="S134" s="356"/>
      <c r="T134" s="228"/>
      <c r="U134" s="230"/>
    </row>
    <row r="135" spans="1:21" ht="13">
      <c r="A135" s="218" t="s">
        <v>1870</v>
      </c>
      <c r="B135" s="356"/>
      <c r="C135" s="356"/>
      <c r="D135" s="356"/>
      <c r="E135" s="356"/>
      <c r="F135" s="356"/>
      <c r="G135" s="356"/>
      <c r="H135" s="356"/>
      <c r="I135" s="356"/>
      <c r="J135" s="356"/>
      <c r="K135" s="356"/>
      <c r="L135" s="356"/>
      <c r="M135" s="356"/>
      <c r="N135" s="1216"/>
      <c r="O135" s="356"/>
      <c r="P135" s="356"/>
      <c r="Q135" s="356"/>
      <c r="R135" s="356"/>
      <c r="S135" s="356"/>
      <c r="T135" s="228"/>
      <c r="U135" s="230"/>
    </row>
    <row r="136" spans="1:21" ht="12" customHeight="1">
      <c r="A136" s="1215"/>
      <c r="B136" s="356"/>
      <c r="C136" s="356"/>
      <c r="D136" s="356"/>
      <c r="E136" s="356"/>
      <c r="F136" s="356"/>
      <c r="G136" s="356"/>
      <c r="H136" s="356"/>
      <c r="I136" s="356"/>
      <c r="J136" s="356"/>
      <c r="K136" s="356"/>
      <c r="L136" s="356"/>
      <c r="M136" s="356"/>
      <c r="N136" s="356"/>
      <c r="O136" s="356"/>
      <c r="P136" s="356"/>
      <c r="Q136" s="356"/>
      <c r="R136" s="356"/>
      <c r="S136" s="356"/>
      <c r="T136" s="234"/>
      <c r="U136" s="235"/>
    </row>
    <row r="137" spans="1:21" ht="12.5">
      <c r="A137" s="1215"/>
      <c r="B137" s="356"/>
      <c r="C137" s="356"/>
      <c r="D137" s="356"/>
      <c r="E137" s="356"/>
      <c r="F137" s="356"/>
      <c r="G137" s="356"/>
      <c r="H137" s="356"/>
      <c r="I137" s="356"/>
      <c r="J137" s="356"/>
      <c r="K137" s="356"/>
      <c r="L137" s="356"/>
      <c r="M137" s="356"/>
      <c r="N137" s="356"/>
      <c r="O137" s="356"/>
      <c r="P137" s="356"/>
      <c r="Q137" s="356"/>
      <c r="R137" s="356"/>
      <c r="S137" s="356"/>
      <c r="T137" s="234"/>
      <c r="U137" s="235"/>
    </row>
    <row r="138" spans="1:21" ht="12" customHeight="1">
      <c r="A138" s="1792"/>
      <c r="B138" s="1793"/>
      <c r="C138" s="1793"/>
      <c r="D138" s="232"/>
      <c r="E138" s="1790"/>
      <c r="F138" s="1790"/>
      <c r="G138" s="356"/>
      <c r="H138" s="356"/>
      <c r="I138" s="356"/>
      <c r="J138" s="356"/>
      <c r="K138" s="356"/>
      <c r="L138" s="356"/>
      <c r="M138" s="356"/>
      <c r="N138" s="356"/>
      <c r="O138" s="356"/>
      <c r="P138" s="356"/>
      <c r="Q138" s="356"/>
      <c r="R138" s="356"/>
      <c r="S138" s="356"/>
      <c r="T138" s="234"/>
      <c r="U138" s="235"/>
    </row>
    <row r="139" spans="1:21" ht="13">
      <c r="A139" s="1789" t="s">
        <v>1871</v>
      </c>
      <c r="B139" s="1789"/>
      <c r="C139" s="1789"/>
      <c r="D139" s="232"/>
      <c r="E139" s="356" t="s">
        <v>1865</v>
      </c>
      <c r="F139" s="356"/>
      <c r="G139" s="356"/>
      <c r="H139" s="356"/>
      <c r="I139" s="356"/>
      <c r="J139" s="356"/>
      <c r="K139" s="356"/>
      <c r="L139" s="356"/>
      <c r="M139" s="356"/>
      <c r="N139" s="356"/>
      <c r="O139" s="356"/>
      <c r="P139" s="356"/>
      <c r="Q139" s="356"/>
      <c r="R139" s="356"/>
      <c r="S139" s="356"/>
      <c r="T139" s="234"/>
      <c r="U139" s="235"/>
    </row>
    <row r="140" spans="1:21" ht="13">
      <c r="A140" s="1215"/>
      <c r="B140" s="356"/>
      <c r="C140" s="356"/>
      <c r="D140" s="232"/>
      <c r="E140" s="356"/>
      <c r="F140" s="356"/>
      <c r="G140" s="356"/>
      <c r="H140" s="356"/>
      <c r="I140" s="356"/>
      <c r="J140" s="356"/>
      <c r="K140" s="356"/>
      <c r="L140" s="356"/>
      <c r="M140" s="356"/>
      <c r="N140" s="356"/>
      <c r="O140" s="356"/>
      <c r="P140" s="356"/>
      <c r="Q140" s="356"/>
      <c r="R140" s="356"/>
      <c r="S140" s="356"/>
      <c r="T140" s="231"/>
      <c r="U140" s="233"/>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85" workbookViewId="0">
      <selection sqref="A1:J1"/>
    </sheetView>
  </sheetViews>
  <sheetFormatPr defaultColWidth="0" defaultRowHeight="11.5" zeroHeight="1"/>
  <cols>
    <col min="1" max="1" width="32.6328125" style="299" customWidth="1"/>
    <col min="2" max="3" width="12.1796875" style="295" customWidth="1"/>
    <col min="4" max="6" width="12.81640625" style="295" customWidth="1"/>
    <col min="7" max="9" width="12.1796875" style="295" customWidth="1"/>
    <col min="10" max="10" width="12.1796875" style="296" customWidth="1"/>
    <col min="11" max="11" width="8.81640625" style="297" hidden="1" customWidth="1"/>
    <col min="12" max="21" width="8.81640625" style="295" hidden="1" customWidth="1"/>
    <col min="22" max="23" width="0" style="295" hidden="1"/>
    <col min="24" max="256" width="8.81640625" style="295" hidden="1"/>
    <col min="257" max="257" width="32.6328125" style="295" hidden="1" customWidth="1"/>
    <col min="258" max="259" width="12.1796875" style="295" hidden="1" customWidth="1"/>
    <col min="260" max="260" width="12.81640625" style="295" hidden="1" customWidth="1"/>
    <col min="261" max="266" width="12.1796875" style="295" hidden="1" customWidth="1"/>
    <col min="267" max="277" width="8.81640625" style="295" hidden="1" customWidth="1"/>
    <col min="278" max="512" width="8.81640625" style="295" hidden="1"/>
    <col min="513" max="513" width="32.6328125" style="295" hidden="1" customWidth="1"/>
    <col min="514" max="515" width="12.1796875" style="295" hidden="1" customWidth="1"/>
    <col min="516" max="516" width="12.81640625" style="295" hidden="1" customWidth="1"/>
    <col min="517" max="522" width="12.1796875" style="295" hidden="1" customWidth="1"/>
    <col min="523" max="533" width="8.81640625" style="295" hidden="1" customWidth="1"/>
    <col min="534" max="768" width="8.81640625" style="295" hidden="1"/>
    <col min="769" max="769" width="32.6328125" style="295" hidden="1" customWidth="1"/>
    <col min="770" max="771" width="12.1796875" style="295" hidden="1" customWidth="1"/>
    <col min="772" max="772" width="12.81640625" style="295" hidden="1" customWidth="1"/>
    <col min="773" max="778" width="12.1796875" style="295" hidden="1" customWidth="1"/>
    <col min="779" max="789" width="8.81640625" style="295" hidden="1" customWidth="1"/>
    <col min="790" max="1024" width="8.81640625" style="295" hidden="1"/>
    <col min="1025" max="1025" width="32.6328125" style="295" hidden="1" customWidth="1"/>
    <col min="1026" max="1027" width="12.1796875" style="295" hidden="1" customWidth="1"/>
    <col min="1028" max="1028" width="12.81640625" style="295" hidden="1" customWidth="1"/>
    <col min="1029" max="1034" width="12.1796875" style="295" hidden="1" customWidth="1"/>
    <col min="1035" max="1045" width="8.81640625" style="295" hidden="1" customWidth="1"/>
    <col min="1046" max="1280" width="8.81640625" style="295" hidden="1"/>
    <col min="1281" max="1281" width="32.6328125" style="295" hidden="1" customWidth="1"/>
    <col min="1282" max="1283" width="12.1796875" style="295" hidden="1" customWidth="1"/>
    <col min="1284" max="1284" width="12.81640625" style="295" hidden="1" customWidth="1"/>
    <col min="1285" max="1290" width="12.1796875" style="295" hidden="1" customWidth="1"/>
    <col min="1291" max="1301" width="8.81640625" style="295" hidden="1" customWidth="1"/>
    <col min="1302" max="1536" width="8.81640625" style="295" hidden="1"/>
    <col min="1537" max="1537" width="32.6328125" style="295" hidden="1" customWidth="1"/>
    <col min="1538" max="1539" width="12.1796875" style="295" hidden="1" customWidth="1"/>
    <col min="1540" max="1540" width="12.81640625" style="295" hidden="1" customWidth="1"/>
    <col min="1541" max="1546" width="12.1796875" style="295" hidden="1" customWidth="1"/>
    <col min="1547" max="1557" width="8.81640625" style="295" hidden="1" customWidth="1"/>
    <col min="1558" max="1792" width="8.81640625" style="295" hidden="1"/>
    <col min="1793" max="1793" width="32.6328125" style="295" hidden="1" customWidth="1"/>
    <col min="1794" max="1795" width="12.1796875" style="295" hidden="1" customWidth="1"/>
    <col min="1796" max="1796" width="12.81640625" style="295" hidden="1" customWidth="1"/>
    <col min="1797" max="1802" width="12.1796875" style="295" hidden="1" customWidth="1"/>
    <col min="1803" max="1813" width="8.81640625" style="295" hidden="1" customWidth="1"/>
    <col min="1814" max="2048" width="8.81640625" style="295" hidden="1"/>
    <col min="2049" max="2049" width="32.6328125" style="295" hidden="1" customWidth="1"/>
    <col min="2050" max="2051" width="12.1796875" style="295" hidden="1" customWidth="1"/>
    <col min="2052" max="2052" width="12.81640625" style="295" hidden="1" customWidth="1"/>
    <col min="2053" max="2058" width="12.1796875" style="295" hidden="1" customWidth="1"/>
    <col min="2059" max="2069" width="8.81640625" style="295" hidden="1" customWidth="1"/>
    <col min="2070" max="2304" width="8.81640625" style="295" hidden="1"/>
    <col min="2305" max="2305" width="32.6328125" style="295" hidden="1" customWidth="1"/>
    <col min="2306" max="2307" width="12.1796875" style="295" hidden="1" customWidth="1"/>
    <col min="2308" max="2308" width="12.81640625" style="295" hidden="1" customWidth="1"/>
    <col min="2309" max="2314" width="12.1796875" style="295" hidden="1" customWidth="1"/>
    <col min="2315" max="2325" width="8.81640625" style="295" hidden="1" customWidth="1"/>
    <col min="2326" max="2560" width="8.81640625" style="295" hidden="1"/>
    <col min="2561" max="2561" width="32.6328125" style="295" hidden="1" customWidth="1"/>
    <col min="2562" max="2563" width="12.1796875" style="295" hidden="1" customWidth="1"/>
    <col min="2564" max="2564" width="12.81640625" style="295" hidden="1" customWidth="1"/>
    <col min="2565" max="2570" width="12.1796875" style="295" hidden="1" customWidth="1"/>
    <col min="2571" max="2581" width="8.81640625" style="295" hidden="1" customWidth="1"/>
    <col min="2582" max="2816" width="8.81640625" style="295" hidden="1"/>
    <col min="2817" max="2817" width="32.6328125" style="295" hidden="1" customWidth="1"/>
    <col min="2818" max="2819" width="12.1796875" style="295" hidden="1" customWidth="1"/>
    <col min="2820" max="2820" width="12.81640625" style="295" hidden="1" customWidth="1"/>
    <col min="2821" max="2826" width="12.1796875" style="295" hidden="1" customWidth="1"/>
    <col min="2827" max="2837" width="8.81640625" style="295" hidden="1" customWidth="1"/>
    <col min="2838" max="3072" width="8.81640625" style="295" hidden="1"/>
    <col min="3073" max="3073" width="32.6328125" style="295" hidden="1" customWidth="1"/>
    <col min="3074" max="3075" width="12.1796875" style="295" hidden="1" customWidth="1"/>
    <col min="3076" max="3076" width="12.81640625" style="295" hidden="1" customWidth="1"/>
    <col min="3077" max="3082" width="12.1796875" style="295" hidden="1" customWidth="1"/>
    <col min="3083" max="3093" width="8.81640625" style="295" hidden="1" customWidth="1"/>
    <col min="3094" max="3328" width="8.81640625" style="295" hidden="1"/>
    <col min="3329" max="3329" width="32.6328125" style="295" hidden="1" customWidth="1"/>
    <col min="3330" max="3331" width="12.1796875" style="295" hidden="1" customWidth="1"/>
    <col min="3332" max="3332" width="12.81640625" style="295" hidden="1" customWidth="1"/>
    <col min="3333" max="3338" width="12.1796875" style="295" hidden="1" customWidth="1"/>
    <col min="3339" max="3349" width="8.81640625" style="295" hidden="1" customWidth="1"/>
    <col min="3350" max="3584" width="8.81640625" style="295" hidden="1"/>
    <col min="3585" max="3585" width="32.6328125" style="295" hidden="1" customWidth="1"/>
    <col min="3586" max="3587" width="12.1796875" style="295" hidden="1" customWidth="1"/>
    <col min="3588" max="3588" width="12.81640625" style="295" hidden="1" customWidth="1"/>
    <col min="3589" max="3594" width="12.1796875" style="295" hidden="1" customWidth="1"/>
    <col min="3595" max="3605" width="8.81640625" style="295" hidden="1" customWidth="1"/>
    <col min="3606" max="3840" width="8.81640625" style="295" hidden="1"/>
    <col min="3841" max="3841" width="32.6328125" style="295" hidden="1" customWidth="1"/>
    <col min="3842" max="3843" width="12.1796875" style="295" hidden="1" customWidth="1"/>
    <col min="3844" max="3844" width="12.81640625" style="295" hidden="1" customWidth="1"/>
    <col min="3845" max="3850" width="12.1796875" style="295" hidden="1" customWidth="1"/>
    <col min="3851" max="3861" width="8.81640625" style="295" hidden="1" customWidth="1"/>
    <col min="3862" max="4096" width="8.81640625" style="295" hidden="1"/>
    <col min="4097" max="4097" width="32.6328125" style="295" hidden="1" customWidth="1"/>
    <col min="4098" max="4099" width="12.1796875" style="295" hidden="1" customWidth="1"/>
    <col min="4100" max="4100" width="12.81640625" style="295" hidden="1" customWidth="1"/>
    <col min="4101" max="4106" width="12.1796875" style="295" hidden="1" customWidth="1"/>
    <col min="4107" max="4117" width="8.81640625" style="295" hidden="1" customWidth="1"/>
    <col min="4118" max="4352" width="8.81640625" style="295" hidden="1"/>
    <col min="4353" max="4353" width="32.6328125" style="295" hidden="1" customWidth="1"/>
    <col min="4354" max="4355" width="12.1796875" style="295" hidden="1" customWidth="1"/>
    <col min="4356" max="4356" width="12.81640625" style="295" hidden="1" customWidth="1"/>
    <col min="4357" max="4362" width="12.1796875" style="295" hidden="1" customWidth="1"/>
    <col min="4363" max="4373" width="8.81640625" style="295" hidden="1" customWidth="1"/>
    <col min="4374" max="4608" width="8.81640625" style="295" hidden="1"/>
    <col min="4609" max="4609" width="32.6328125" style="295" hidden="1" customWidth="1"/>
    <col min="4610" max="4611" width="12.1796875" style="295" hidden="1" customWidth="1"/>
    <col min="4612" max="4612" width="12.81640625" style="295" hidden="1" customWidth="1"/>
    <col min="4613" max="4618" width="12.1796875" style="295" hidden="1" customWidth="1"/>
    <col min="4619" max="4629" width="8.81640625" style="295" hidden="1" customWidth="1"/>
    <col min="4630" max="4864" width="8.81640625" style="295" hidden="1"/>
    <col min="4865" max="4865" width="32.6328125" style="295" hidden="1" customWidth="1"/>
    <col min="4866" max="4867" width="12.1796875" style="295" hidden="1" customWidth="1"/>
    <col min="4868" max="4868" width="12.81640625" style="295" hidden="1" customWidth="1"/>
    <col min="4869" max="4874" width="12.1796875" style="295" hidden="1" customWidth="1"/>
    <col min="4875" max="4885" width="8.81640625" style="295" hidden="1" customWidth="1"/>
    <col min="4886" max="5120" width="8.81640625" style="295" hidden="1"/>
    <col min="5121" max="5121" width="32.6328125" style="295" hidden="1" customWidth="1"/>
    <col min="5122" max="5123" width="12.1796875" style="295" hidden="1" customWidth="1"/>
    <col min="5124" max="5124" width="12.81640625" style="295" hidden="1" customWidth="1"/>
    <col min="5125" max="5130" width="12.1796875" style="295" hidden="1" customWidth="1"/>
    <col min="5131" max="5141" width="8.81640625" style="295" hidden="1" customWidth="1"/>
    <col min="5142" max="5376" width="8.81640625" style="295" hidden="1"/>
    <col min="5377" max="5377" width="32.6328125" style="295" hidden="1" customWidth="1"/>
    <col min="5378" max="5379" width="12.1796875" style="295" hidden="1" customWidth="1"/>
    <col min="5380" max="5380" width="12.81640625" style="295" hidden="1" customWidth="1"/>
    <col min="5381" max="5386" width="12.1796875" style="295" hidden="1" customWidth="1"/>
    <col min="5387" max="5397" width="8.81640625" style="295" hidden="1" customWidth="1"/>
    <col min="5398" max="5632" width="8.81640625" style="295" hidden="1"/>
    <col min="5633" max="5633" width="32.6328125" style="295" hidden="1" customWidth="1"/>
    <col min="5634" max="5635" width="12.1796875" style="295" hidden="1" customWidth="1"/>
    <col min="5636" max="5636" width="12.81640625" style="295" hidden="1" customWidth="1"/>
    <col min="5637" max="5642" width="12.1796875" style="295" hidden="1" customWidth="1"/>
    <col min="5643" max="5653" width="8.81640625" style="295" hidden="1" customWidth="1"/>
    <col min="5654" max="5888" width="8.81640625" style="295" hidden="1"/>
    <col min="5889" max="5889" width="32.6328125" style="295" hidden="1" customWidth="1"/>
    <col min="5890" max="5891" width="12.1796875" style="295" hidden="1" customWidth="1"/>
    <col min="5892" max="5892" width="12.81640625" style="295" hidden="1" customWidth="1"/>
    <col min="5893" max="5898" width="12.1796875" style="295" hidden="1" customWidth="1"/>
    <col min="5899" max="5909" width="8.81640625" style="295" hidden="1" customWidth="1"/>
    <col min="5910" max="6144" width="8.81640625" style="295" hidden="1"/>
    <col min="6145" max="6145" width="32.6328125" style="295" hidden="1" customWidth="1"/>
    <col min="6146" max="6147" width="12.1796875" style="295" hidden="1" customWidth="1"/>
    <col min="6148" max="6148" width="12.81640625" style="295" hidden="1" customWidth="1"/>
    <col min="6149" max="6154" width="12.1796875" style="295" hidden="1" customWidth="1"/>
    <col min="6155" max="6165" width="8.81640625" style="295" hidden="1" customWidth="1"/>
    <col min="6166" max="6400" width="8.81640625" style="295" hidden="1"/>
    <col min="6401" max="6401" width="32.6328125" style="295" hidden="1" customWidth="1"/>
    <col min="6402" max="6403" width="12.1796875" style="295" hidden="1" customWidth="1"/>
    <col min="6404" max="6404" width="12.81640625" style="295" hidden="1" customWidth="1"/>
    <col min="6405" max="6410" width="12.1796875" style="295" hidden="1" customWidth="1"/>
    <col min="6411" max="6421" width="8.81640625" style="295" hidden="1" customWidth="1"/>
    <col min="6422" max="6656" width="8.81640625" style="295" hidden="1"/>
    <col min="6657" max="6657" width="32.6328125" style="295" hidden="1" customWidth="1"/>
    <col min="6658" max="6659" width="12.1796875" style="295" hidden="1" customWidth="1"/>
    <col min="6660" max="6660" width="12.81640625" style="295" hidden="1" customWidth="1"/>
    <col min="6661" max="6666" width="12.1796875" style="295" hidden="1" customWidth="1"/>
    <col min="6667" max="6677" width="8.81640625" style="295" hidden="1" customWidth="1"/>
    <col min="6678" max="6912" width="8.81640625" style="295" hidden="1"/>
    <col min="6913" max="6913" width="32.6328125" style="295" hidden="1" customWidth="1"/>
    <col min="6914" max="6915" width="12.1796875" style="295" hidden="1" customWidth="1"/>
    <col min="6916" max="6916" width="12.81640625" style="295" hidden="1" customWidth="1"/>
    <col min="6917" max="6922" width="12.1796875" style="295" hidden="1" customWidth="1"/>
    <col min="6923" max="6933" width="8.81640625" style="295" hidden="1" customWidth="1"/>
    <col min="6934" max="7168" width="8.81640625" style="295" hidden="1"/>
    <col min="7169" max="7169" width="32.6328125" style="295" hidden="1" customWidth="1"/>
    <col min="7170" max="7171" width="12.1796875" style="295" hidden="1" customWidth="1"/>
    <col min="7172" max="7172" width="12.81640625" style="295" hidden="1" customWidth="1"/>
    <col min="7173" max="7178" width="12.1796875" style="295" hidden="1" customWidth="1"/>
    <col min="7179" max="7189" width="8.81640625" style="295" hidden="1" customWidth="1"/>
    <col min="7190" max="7424" width="8.81640625" style="295" hidden="1"/>
    <col min="7425" max="7425" width="32.6328125" style="295" hidden="1" customWidth="1"/>
    <col min="7426" max="7427" width="12.1796875" style="295" hidden="1" customWidth="1"/>
    <col min="7428" max="7428" width="12.81640625" style="295" hidden="1" customWidth="1"/>
    <col min="7429" max="7434" width="12.1796875" style="295" hidden="1" customWidth="1"/>
    <col min="7435" max="7445" width="8.81640625" style="295" hidden="1" customWidth="1"/>
    <col min="7446" max="7680" width="8.81640625" style="295" hidden="1"/>
    <col min="7681" max="7681" width="32.6328125" style="295" hidden="1" customWidth="1"/>
    <col min="7682" max="7683" width="12.1796875" style="295" hidden="1" customWidth="1"/>
    <col min="7684" max="7684" width="12.81640625" style="295" hidden="1" customWidth="1"/>
    <col min="7685" max="7690" width="12.1796875" style="295" hidden="1" customWidth="1"/>
    <col min="7691" max="7701" width="8.81640625" style="295" hidden="1" customWidth="1"/>
    <col min="7702" max="7936" width="8.81640625" style="295" hidden="1"/>
    <col min="7937" max="7937" width="32.6328125" style="295" hidden="1" customWidth="1"/>
    <col min="7938" max="7939" width="12.1796875" style="295" hidden="1" customWidth="1"/>
    <col min="7940" max="7940" width="12.81640625" style="295" hidden="1" customWidth="1"/>
    <col min="7941" max="7946" width="12.1796875" style="295" hidden="1" customWidth="1"/>
    <col min="7947" max="7957" width="8.81640625" style="295" hidden="1" customWidth="1"/>
    <col min="7958" max="8192" width="8.81640625" style="295" hidden="1"/>
    <col min="8193" max="8193" width="32.6328125" style="295" hidden="1" customWidth="1"/>
    <col min="8194" max="8195" width="12.1796875" style="295" hidden="1" customWidth="1"/>
    <col min="8196" max="8196" width="12.81640625" style="295" hidden="1" customWidth="1"/>
    <col min="8197" max="8202" width="12.1796875" style="295" hidden="1" customWidth="1"/>
    <col min="8203" max="8213" width="8.81640625" style="295" hidden="1" customWidth="1"/>
    <col min="8214" max="8448" width="8.81640625" style="295" hidden="1"/>
    <col min="8449" max="8449" width="32.6328125" style="295" hidden="1" customWidth="1"/>
    <col min="8450" max="8451" width="12.1796875" style="295" hidden="1" customWidth="1"/>
    <col min="8452" max="8452" width="12.81640625" style="295" hidden="1" customWidth="1"/>
    <col min="8453" max="8458" width="12.1796875" style="295" hidden="1" customWidth="1"/>
    <col min="8459" max="8469" width="8.81640625" style="295" hidden="1" customWidth="1"/>
    <col min="8470" max="8704" width="8.81640625" style="295" hidden="1"/>
    <col min="8705" max="8705" width="32.6328125" style="295" hidden="1" customWidth="1"/>
    <col min="8706" max="8707" width="12.1796875" style="295" hidden="1" customWidth="1"/>
    <col min="8708" max="8708" width="12.81640625" style="295" hidden="1" customWidth="1"/>
    <col min="8709" max="8714" width="12.1796875" style="295" hidden="1" customWidth="1"/>
    <col min="8715" max="8725" width="8.81640625" style="295" hidden="1" customWidth="1"/>
    <col min="8726" max="8960" width="8.81640625" style="295" hidden="1"/>
    <col min="8961" max="8961" width="32.6328125" style="295" hidden="1" customWidth="1"/>
    <col min="8962" max="8963" width="12.1796875" style="295" hidden="1" customWidth="1"/>
    <col min="8964" max="8964" width="12.81640625" style="295" hidden="1" customWidth="1"/>
    <col min="8965" max="8970" width="12.1796875" style="295" hidden="1" customWidth="1"/>
    <col min="8971" max="8981" width="8.81640625" style="295" hidden="1" customWidth="1"/>
    <col min="8982" max="9216" width="8.81640625" style="295" hidden="1"/>
    <col min="9217" max="9217" width="32.6328125" style="295" hidden="1" customWidth="1"/>
    <col min="9218" max="9219" width="12.1796875" style="295" hidden="1" customWidth="1"/>
    <col min="9220" max="9220" width="12.81640625" style="295" hidden="1" customWidth="1"/>
    <col min="9221" max="9226" width="12.1796875" style="295" hidden="1" customWidth="1"/>
    <col min="9227" max="9237" width="8.81640625" style="295" hidden="1" customWidth="1"/>
    <col min="9238" max="9472" width="8.81640625" style="295" hidden="1"/>
    <col min="9473" max="9473" width="32.6328125" style="295" hidden="1" customWidth="1"/>
    <col min="9474" max="9475" width="12.1796875" style="295" hidden="1" customWidth="1"/>
    <col min="9476" max="9476" width="12.81640625" style="295" hidden="1" customWidth="1"/>
    <col min="9477" max="9482" width="12.1796875" style="295" hidden="1" customWidth="1"/>
    <col min="9483" max="9493" width="8.81640625" style="295" hidden="1" customWidth="1"/>
    <col min="9494" max="9728" width="8.81640625" style="295" hidden="1"/>
    <col min="9729" max="9729" width="32.6328125" style="295" hidden="1" customWidth="1"/>
    <col min="9730" max="9731" width="12.1796875" style="295" hidden="1" customWidth="1"/>
    <col min="9732" max="9732" width="12.81640625" style="295" hidden="1" customWidth="1"/>
    <col min="9733" max="9738" width="12.1796875" style="295" hidden="1" customWidth="1"/>
    <col min="9739" max="9749" width="8.81640625" style="295" hidden="1" customWidth="1"/>
    <col min="9750" max="9984" width="8.81640625" style="295" hidden="1"/>
    <col min="9985" max="9985" width="32.6328125" style="295" hidden="1" customWidth="1"/>
    <col min="9986" max="9987" width="12.1796875" style="295" hidden="1" customWidth="1"/>
    <col min="9988" max="9988" width="12.81640625" style="295" hidden="1" customWidth="1"/>
    <col min="9989" max="9994" width="12.1796875" style="295" hidden="1" customWidth="1"/>
    <col min="9995" max="10005" width="8.81640625" style="295" hidden="1" customWidth="1"/>
    <col min="10006" max="10240" width="8.81640625" style="295" hidden="1"/>
    <col min="10241" max="10241" width="32.6328125" style="295" hidden="1" customWidth="1"/>
    <col min="10242" max="10243" width="12.1796875" style="295" hidden="1" customWidth="1"/>
    <col min="10244" max="10244" width="12.81640625" style="295" hidden="1" customWidth="1"/>
    <col min="10245" max="10250" width="12.1796875" style="295" hidden="1" customWidth="1"/>
    <col min="10251" max="10261" width="8.81640625" style="295" hidden="1" customWidth="1"/>
    <col min="10262" max="10496" width="8.81640625" style="295" hidden="1"/>
    <col min="10497" max="10497" width="32.6328125" style="295" hidden="1" customWidth="1"/>
    <col min="10498" max="10499" width="12.1796875" style="295" hidden="1" customWidth="1"/>
    <col min="10500" max="10500" width="12.81640625" style="295" hidden="1" customWidth="1"/>
    <col min="10501" max="10506" width="12.1796875" style="295" hidden="1" customWidth="1"/>
    <col min="10507" max="10517" width="8.81640625" style="295" hidden="1" customWidth="1"/>
    <col min="10518" max="10752" width="8.81640625" style="295" hidden="1"/>
    <col min="10753" max="10753" width="32.6328125" style="295" hidden="1" customWidth="1"/>
    <col min="10754" max="10755" width="12.1796875" style="295" hidden="1" customWidth="1"/>
    <col min="10756" max="10756" width="12.81640625" style="295" hidden="1" customWidth="1"/>
    <col min="10757" max="10762" width="12.1796875" style="295" hidden="1" customWidth="1"/>
    <col min="10763" max="10773" width="8.81640625" style="295" hidden="1" customWidth="1"/>
    <col min="10774" max="11008" width="8.81640625" style="295" hidden="1"/>
    <col min="11009" max="11009" width="32.6328125" style="295" hidden="1" customWidth="1"/>
    <col min="11010" max="11011" width="12.1796875" style="295" hidden="1" customWidth="1"/>
    <col min="11012" max="11012" width="12.81640625" style="295" hidden="1" customWidth="1"/>
    <col min="11013" max="11018" width="12.1796875" style="295" hidden="1" customWidth="1"/>
    <col min="11019" max="11029" width="8.81640625" style="295" hidden="1" customWidth="1"/>
    <col min="11030" max="11264" width="8.81640625" style="295" hidden="1"/>
    <col min="11265" max="11265" width="32.6328125" style="295" hidden="1" customWidth="1"/>
    <col min="11266" max="11267" width="12.1796875" style="295" hidden="1" customWidth="1"/>
    <col min="11268" max="11268" width="12.81640625" style="295" hidden="1" customWidth="1"/>
    <col min="11269" max="11274" width="12.1796875" style="295" hidden="1" customWidth="1"/>
    <col min="11275" max="11285" width="8.81640625" style="295" hidden="1" customWidth="1"/>
    <col min="11286" max="11520" width="8.81640625" style="295" hidden="1"/>
    <col min="11521" max="11521" width="32.6328125" style="295" hidden="1" customWidth="1"/>
    <col min="11522" max="11523" width="12.1796875" style="295" hidden="1" customWidth="1"/>
    <col min="11524" max="11524" width="12.81640625" style="295" hidden="1" customWidth="1"/>
    <col min="11525" max="11530" width="12.1796875" style="295" hidden="1" customWidth="1"/>
    <col min="11531" max="11541" width="8.81640625" style="295" hidden="1" customWidth="1"/>
    <col min="11542" max="11776" width="8.81640625" style="295" hidden="1"/>
    <col min="11777" max="11777" width="32.6328125" style="295" hidden="1" customWidth="1"/>
    <col min="11778" max="11779" width="12.1796875" style="295" hidden="1" customWidth="1"/>
    <col min="11780" max="11780" width="12.81640625" style="295" hidden="1" customWidth="1"/>
    <col min="11781" max="11786" width="12.1796875" style="295" hidden="1" customWidth="1"/>
    <col min="11787" max="11797" width="8.81640625" style="295" hidden="1" customWidth="1"/>
    <col min="11798" max="12032" width="8.81640625" style="295" hidden="1"/>
    <col min="12033" max="12033" width="32.6328125" style="295" hidden="1" customWidth="1"/>
    <col min="12034" max="12035" width="12.1796875" style="295" hidden="1" customWidth="1"/>
    <col min="12036" max="12036" width="12.81640625" style="295" hidden="1" customWidth="1"/>
    <col min="12037" max="12042" width="12.1796875" style="295" hidden="1" customWidth="1"/>
    <col min="12043" max="12053" width="8.81640625" style="295" hidden="1" customWidth="1"/>
    <col min="12054" max="12288" width="8.81640625" style="295" hidden="1"/>
    <col min="12289" max="12289" width="32.6328125" style="295" hidden="1" customWidth="1"/>
    <col min="12290" max="12291" width="12.1796875" style="295" hidden="1" customWidth="1"/>
    <col min="12292" max="12292" width="12.81640625" style="295" hidden="1" customWidth="1"/>
    <col min="12293" max="12298" width="12.1796875" style="295" hidden="1" customWidth="1"/>
    <col min="12299" max="12309" width="8.81640625" style="295" hidden="1" customWidth="1"/>
    <col min="12310" max="12544" width="8.81640625" style="295" hidden="1"/>
    <col min="12545" max="12545" width="32.6328125" style="295" hidden="1" customWidth="1"/>
    <col min="12546" max="12547" width="12.1796875" style="295" hidden="1" customWidth="1"/>
    <col min="12548" max="12548" width="12.81640625" style="295" hidden="1" customWidth="1"/>
    <col min="12549" max="12554" width="12.1796875" style="295" hidden="1" customWidth="1"/>
    <col min="12555" max="12565" width="8.81640625" style="295" hidden="1" customWidth="1"/>
    <col min="12566" max="12800" width="8.81640625" style="295" hidden="1"/>
    <col min="12801" max="12801" width="32.6328125" style="295" hidden="1" customWidth="1"/>
    <col min="12802" max="12803" width="12.1796875" style="295" hidden="1" customWidth="1"/>
    <col min="12804" max="12804" width="12.81640625" style="295" hidden="1" customWidth="1"/>
    <col min="12805" max="12810" width="12.1796875" style="295" hidden="1" customWidth="1"/>
    <col min="12811" max="12821" width="8.81640625" style="295" hidden="1" customWidth="1"/>
    <col min="12822" max="13056" width="8.81640625" style="295" hidden="1"/>
    <col min="13057" max="13057" width="32.6328125" style="295" hidden="1" customWidth="1"/>
    <col min="13058" max="13059" width="12.1796875" style="295" hidden="1" customWidth="1"/>
    <col min="13060" max="13060" width="12.81640625" style="295" hidden="1" customWidth="1"/>
    <col min="13061" max="13066" width="12.1796875" style="295" hidden="1" customWidth="1"/>
    <col min="13067" max="13077" width="8.81640625" style="295" hidden="1" customWidth="1"/>
    <col min="13078" max="13312" width="8.81640625" style="295" hidden="1"/>
    <col min="13313" max="13313" width="32.6328125" style="295" hidden="1" customWidth="1"/>
    <col min="13314" max="13315" width="12.1796875" style="295" hidden="1" customWidth="1"/>
    <col min="13316" max="13316" width="12.81640625" style="295" hidden="1" customWidth="1"/>
    <col min="13317" max="13322" width="12.1796875" style="295" hidden="1" customWidth="1"/>
    <col min="13323" max="13333" width="8.81640625" style="295" hidden="1" customWidth="1"/>
    <col min="13334" max="13568" width="8.81640625" style="295" hidden="1"/>
    <col min="13569" max="13569" width="32.6328125" style="295" hidden="1" customWidth="1"/>
    <col min="13570" max="13571" width="12.1796875" style="295" hidden="1" customWidth="1"/>
    <col min="13572" max="13572" width="12.81640625" style="295" hidden="1" customWidth="1"/>
    <col min="13573" max="13578" width="12.1796875" style="295" hidden="1" customWidth="1"/>
    <col min="13579" max="13589" width="8.81640625" style="295" hidden="1" customWidth="1"/>
    <col min="13590" max="13824" width="8.81640625" style="295" hidden="1"/>
    <col min="13825" max="13825" width="32.6328125" style="295" hidden="1" customWidth="1"/>
    <col min="13826" max="13827" width="12.1796875" style="295" hidden="1" customWidth="1"/>
    <col min="13828" max="13828" width="12.81640625" style="295" hidden="1" customWidth="1"/>
    <col min="13829" max="13834" width="12.1796875" style="295" hidden="1" customWidth="1"/>
    <col min="13835" max="13845" width="8.81640625" style="295" hidden="1" customWidth="1"/>
    <col min="13846" max="14080" width="8.81640625" style="295" hidden="1"/>
    <col min="14081" max="14081" width="32.6328125" style="295" hidden="1" customWidth="1"/>
    <col min="14082" max="14083" width="12.1796875" style="295" hidden="1" customWidth="1"/>
    <col min="14084" max="14084" width="12.81640625" style="295" hidden="1" customWidth="1"/>
    <col min="14085" max="14090" width="12.1796875" style="295" hidden="1" customWidth="1"/>
    <col min="14091" max="14101" width="8.81640625" style="295" hidden="1" customWidth="1"/>
    <col min="14102" max="14336" width="8.81640625" style="295" hidden="1"/>
    <col min="14337" max="14337" width="32.6328125" style="295" hidden="1" customWidth="1"/>
    <col min="14338" max="14339" width="12.1796875" style="295" hidden="1" customWidth="1"/>
    <col min="14340" max="14340" width="12.81640625" style="295" hidden="1" customWidth="1"/>
    <col min="14341" max="14346" width="12.1796875" style="295" hidden="1" customWidth="1"/>
    <col min="14347" max="14357" width="8.81640625" style="295" hidden="1" customWidth="1"/>
    <col min="14358" max="14592" width="8.81640625" style="295" hidden="1"/>
    <col min="14593" max="14593" width="32.6328125" style="295" hidden="1" customWidth="1"/>
    <col min="14594" max="14595" width="12.1796875" style="295" hidden="1" customWidth="1"/>
    <col min="14596" max="14596" width="12.81640625" style="295" hidden="1" customWidth="1"/>
    <col min="14597" max="14602" width="12.1796875" style="295" hidden="1" customWidth="1"/>
    <col min="14603" max="14613" width="8.81640625" style="295" hidden="1" customWidth="1"/>
    <col min="14614" max="14848" width="8.81640625" style="295" hidden="1"/>
    <col min="14849" max="14849" width="32.6328125" style="295" hidden="1" customWidth="1"/>
    <col min="14850" max="14851" width="12.1796875" style="295" hidden="1" customWidth="1"/>
    <col min="14852" max="14852" width="12.81640625" style="295" hidden="1" customWidth="1"/>
    <col min="14853" max="14858" width="12.1796875" style="295" hidden="1" customWidth="1"/>
    <col min="14859" max="14869" width="8.81640625" style="295" hidden="1" customWidth="1"/>
    <col min="14870" max="15104" width="8.81640625" style="295" hidden="1"/>
    <col min="15105" max="15105" width="32.6328125" style="295" hidden="1" customWidth="1"/>
    <col min="15106" max="15107" width="12.1796875" style="295" hidden="1" customWidth="1"/>
    <col min="15108" max="15108" width="12.81640625" style="295" hidden="1" customWidth="1"/>
    <col min="15109" max="15114" width="12.1796875" style="295" hidden="1" customWidth="1"/>
    <col min="15115" max="15125" width="8.81640625" style="295" hidden="1" customWidth="1"/>
    <col min="15126" max="15360" width="8.81640625" style="295" hidden="1"/>
    <col min="15361" max="15361" width="32.6328125" style="295" hidden="1" customWidth="1"/>
    <col min="15362" max="15363" width="12.1796875" style="295" hidden="1" customWidth="1"/>
    <col min="15364" max="15364" width="12.81640625" style="295" hidden="1" customWidth="1"/>
    <col min="15365" max="15370" width="12.1796875" style="295" hidden="1" customWidth="1"/>
    <col min="15371" max="15381" width="8.81640625" style="295" hidden="1" customWidth="1"/>
    <col min="15382" max="15616" width="8.81640625" style="295" hidden="1"/>
    <col min="15617" max="15617" width="32.6328125" style="295" hidden="1" customWidth="1"/>
    <col min="15618" max="15619" width="12.1796875" style="295" hidden="1" customWidth="1"/>
    <col min="15620" max="15620" width="12.81640625" style="295" hidden="1" customWidth="1"/>
    <col min="15621" max="15626" width="12.1796875" style="295" hidden="1" customWidth="1"/>
    <col min="15627" max="15637" width="8.81640625" style="295" hidden="1" customWidth="1"/>
    <col min="15638" max="15872" width="8.81640625" style="295" hidden="1"/>
    <col min="15873" max="15873" width="32.6328125" style="295" hidden="1" customWidth="1"/>
    <col min="15874" max="15875" width="12.1796875" style="295" hidden="1" customWidth="1"/>
    <col min="15876" max="15876" width="12.81640625" style="295" hidden="1" customWidth="1"/>
    <col min="15877" max="15882" width="12.1796875" style="295" hidden="1" customWidth="1"/>
    <col min="15883" max="15893" width="8.81640625" style="295" hidden="1" customWidth="1"/>
    <col min="15894" max="16128" width="8.81640625" style="295" hidden="1"/>
    <col min="16129" max="16129" width="32.6328125" style="295" hidden="1" customWidth="1"/>
    <col min="16130" max="16131" width="12.1796875" style="295" hidden="1" customWidth="1"/>
    <col min="16132" max="16132" width="12.81640625" style="295" hidden="1" customWidth="1"/>
    <col min="16133" max="16138" width="12.1796875" style="295" hidden="1" customWidth="1"/>
    <col min="16139" max="16149" width="8.81640625" style="295" hidden="1" customWidth="1"/>
    <col min="16150" max="16384" width="8.81640625" style="295" hidden="1"/>
  </cols>
  <sheetData>
    <row r="1" spans="1:11" s="258" customFormat="1" ht="13">
      <c r="A1" s="1801" t="s">
        <v>1872</v>
      </c>
      <c r="B1" s="1802"/>
      <c r="C1" s="1802"/>
      <c r="D1" s="1802"/>
      <c r="E1" s="1802"/>
      <c r="F1" s="1802"/>
      <c r="G1" s="1802"/>
      <c r="H1" s="1802"/>
      <c r="I1" s="1802"/>
      <c r="J1" s="1803"/>
      <c r="K1" s="257"/>
    </row>
    <row r="2" spans="1:11" s="303" customFormat="1" ht="69">
      <c r="A2" s="300"/>
      <c r="B2" s="301" t="s">
        <v>1873</v>
      </c>
      <c r="C2" s="301" t="s">
        <v>1874</v>
      </c>
      <c r="D2" s="301" t="s">
        <v>1875</v>
      </c>
      <c r="E2" s="301" t="s">
        <v>1876</v>
      </c>
      <c r="F2" s="301" t="s">
        <v>1877</v>
      </c>
      <c r="G2" s="301" t="s">
        <v>1878</v>
      </c>
      <c r="H2" s="301" t="s">
        <v>1879</v>
      </c>
      <c r="I2" s="301" t="s">
        <v>1880</v>
      </c>
      <c r="J2" s="301" t="s">
        <v>1881</v>
      </c>
      <c r="K2" s="302"/>
    </row>
    <row r="3" spans="1:11" s="262" customFormat="1" ht="12">
      <c r="A3" s="259" t="s">
        <v>1759</v>
      </c>
      <c r="B3" s="260"/>
      <c r="C3" s="260"/>
      <c r="D3" s="260"/>
      <c r="E3" s="260"/>
      <c r="F3" s="260"/>
      <c r="G3" s="260"/>
      <c r="H3" s="260"/>
      <c r="I3" s="260"/>
      <c r="J3" s="260"/>
      <c r="K3" s="261"/>
    </row>
    <row r="4" spans="1:11" s="262" customFormat="1">
      <c r="A4" s="266" t="s">
        <v>1760</v>
      </c>
      <c r="B4" s="263">
        <f>'Sources and Uses Budget'!C4</f>
        <v>643000</v>
      </c>
      <c r="C4" s="264"/>
      <c r="D4" s="264"/>
      <c r="E4" s="265"/>
      <c r="F4" s="265"/>
      <c r="G4" s="265"/>
      <c r="H4" s="265"/>
      <c r="I4" s="265"/>
      <c r="J4" s="265"/>
      <c r="K4" s="261"/>
    </row>
    <row r="5" spans="1:11" s="262" customFormat="1">
      <c r="A5" s="266" t="s">
        <v>688</v>
      </c>
      <c r="B5" s="263">
        <f>'Sources and Uses Budget'!C5</f>
        <v>0</v>
      </c>
      <c r="C5" s="264"/>
      <c r="D5" s="264"/>
      <c r="E5" s="265"/>
      <c r="F5" s="265"/>
      <c r="G5" s="265"/>
      <c r="H5" s="265"/>
      <c r="I5" s="265"/>
      <c r="J5" s="265"/>
      <c r="K5" s="261"/>
    </row>
    <row r="6" spans="1:11" s="262" customFormat="1">
      <c r="A6" s="266" t="s">
        <v>1761</v>
      </c>
      <c r="B6" s="263">
        <f>'Sources and Uses Budget'!C6</f>
        <v>0</v>
      </c>
      <c r="C6" s="264"/>
      <c r="D6" s="264"/>
      <c r="E6" s="265"/>
      <c r="F6" s="265"/>
      <c r="G6" s="265"/>
      <c r="H6" s="265"/>
      <c r="I6" s="265"/>
      <c r="J6" s="265"/>
      <c r="K6" s="261"/>
    </row>
    <row r="7" spans="1:11" s="262" customFormat="1">
      <c r="A7" s="266" t="s">
        <v>1762</v>
      </c>
      <c r="B7" s="263">
        <f>'Sources and Uses Budget'!C7</f>
        <v>0</v>
      </c>
      <c r="C7" s="264"/>
      <c r="D7" s="264"/>
      <c r="E7" s="265"/>
      <c r="F7" s="265"/>
      <c r="G7" s="265"/>
      <c r="H7" s="265"/>
      <c r="I7" s="265"/>
      <c r="J7" s="265"/>
      <c r="K7" s="261"/>
    </row>
    <row r="8" spans="1:11" s="262" customFormat="1">
      <c r="A8" s="267" t="s">
        <v>1763</v>
      </c>
      <c r="B8" s="263">
        <f>'Sources and Uses Budget'!C8</f>
        <v>643000</v>
      </c>
      <c r="C8" s="263">
        <f>SUM(C4:C7)</f>
        <v>0</v>
      </c>
      <c r="D8" s="263">
        <f>SUM(D4:D7)</f>
        <v>0</v>
      </c>
      <c r="E8" s="265"/>
      <c r="F8" s="265"/>
      <c r="G8" s="265"/>
      <c r="H8" s="265"/>
      <c r="I8" s="265"/>
      <c r="J8" s="265"/>
      <c r="K8" s="261"/>
    </row>
    <row r="9" spans="1:11" s="262" customFormat="1">
      <c r="A9" s="266" t="s">
        <v>1764</v>
      </c>
      <c r="B9" s="263">
        <f>'Sources and Uses Budget'!C9</f>
        <v>26357000</v>
      </c>
      <c r="C9" s="264"/>
      <c r="D9" s="264"/>
      <c r="E9" s="265"/>
      <c r="F9" s="265"/>
      <c r="G9" s="265"/>
      <c r="H9" s="263">
        <f>'Sources and Uses Budget'!T9</f>
        <v>26357000</v>
      </c>
      <c r="I9" s="264"/>
      <c r="J9" s="264"/>
      <c r="K9" s="261"/>
    </row>
    <row r="10" spans="1:11" s="262" customFormat="1">
      <c r="A10" s="266" t="s">
        <v>1765</v>
      </c>
      <c r="B10" s="263">
        <f>'Sources and Uses Budget'!C10</f>
        <v>0</v>
      </c>
      <c r="C10" s="264"/>
      <c r="D10" s="264"/>
      <c r="E10" s="263">
        <f>'Sources and Uses Budget'!S10</f>
        <v>0</v>
      </c>
      <c r="F10" s="264"/>
      <c r="G10" s="264"/>
      <c r="H10" s="263">
        <f>'Sources and Uses Budget'!T10</f>
        <v>0</v>
      </c>
      <c r="I10" s="264"/>
      <c r="J10" s="264"/>
      <c r="K10" s="261"/>
    </row>
    <row r="11" spans="1:11" s="262" customFormat="1">
      <c r="A11" s="267" t="s">
        <v>1766</v>
      </c>
      <c r="B11" s="263">
        <f>'Sources and Uses Budget'!C11</f>
        <v>26357000</v>
      </c>
      <c r="C11" s="263">
        <f>SUM(C9:C10)</f>
        <v>0</v>
      </c>
      <c r="D11" s="263">
        <f>SUM(D9:D10)</f>
        <v>0</v>
      </c>
      <c r="E11" s="265"/>
      <c r="F11" s="265"/>
      <c r="G11" s="265"/>
      <c r="H11" s="263">
        <f>'Sources and Uses Budget'!T11</f>
        <v>26357000</v>
      </c>
      <c r="I11" s="263">
        <f>SUM(I9:I10)</f>
        <v>0</v>
      </c>
      <c r="J11" s="263">
        <f>SUM(J9:J10)</f>
        <v>0</v>
      </c>
      <c r="K11" s="261"/>
    </row>
    <row r="12" spans="1:11" s="262" customFormat="1">
      <c r="A12" s="267" t="s">
        <v>1767</v>
      </c>
      <c r="B12" s="263">
        <f>'Sources and Uses Budget'!C12</f>
        <v>27000000</v>
      </c>
      <c r="C12" s="263">
        <f>SUM(C8+C11)</f>
        <v>0</v>
      </c>
      <c r="D12" s="263">
        <f>SUM(D8+D11)</f>
        <v>0</v>
      </c>
      <c r="E12" s="265"/>
      <c r="F12" s="265"/>
      <c r="G12" s="265"/>
      <c r="H12" s="265"/>
      <c r="I12" s="265"/>
      <c r="J12" s="265"/>
      <c r="K12" s="261"/>
    </row>
    <row r="13" spans="1:11" s="262" customFormat="1">
      <c r="A13" s="268" t="s">
        <v>1768</v>
      </c>
      <c r="B13" s="263">
        <f>'Sources and Uses Budget'!C13</f>
        <v>56206</v>
      </c>
      <c r="C13" s="264"/>
      <c r="D13" s="264"/>
      <c r="E13" s="263">
        <f>'Sources and Uses Budget'!S13</f>
        <v>0</v>
      </c>
      <c r="F13" s="264"/>
      <c r="G13" s="264"/>
      <c r="H13" s="263">
        <f>'Sources and Uses Budget'!T13</f>
        <v>54867</v>
      </c>
      <c r="I13" s="264"/>
      <c r="J13" s="264"/>
      <c r="K13" s="261"/>
    </row>
    <row r="14" spans="1:11" s="262" customFormat="1" ht="23">
      <c r="A14" s="266" t="s">
        <v>1882</v>
      </c>
      <c r="B14" s="263">
        <f>'Sources and Uses Budget'!C14</f>
        <v>0</v>
      </c>
      <c r="C14" s="264"/>
      <c r="D14" s="264"/>
      <c r="E14" s="263">
        <f>'Sources and Uses Budget'!S14</f>
        <v>0</v>
      </c>
      <c r="F14" s="264"/>
      <c r="G14" s="264"/>
      <c r="H14" s="263">
        <f>'Sources and Uses Budget'!T14</f>
        <v>0</v>
      </c>
      <c r="I14" s="264"/>
      <c r="J14" s="264"/>
      <c r="K14" s="261"/>
    </row>
    <row r="15" spans="1:11" s="262" customFormat="1">
      <c r="A15" s="266" t="s">
        <v>1770</v>
      </c>
      <c r="B15" s="263">
        <f>'Sources and Uses Budget'!C15</f>
        <v>0</v>
      </c>
      <c r="C15" s="264"/>
      <c r="D15" s="264"/>
      <c r="E15" s="265">
        <f>'Sources and Uses Budget'!S15</f>
        <v>0</v>
      </c>
      <c r="F15" s="265"/>
      <c r="G15" s="265"/>
      <c r="H15" s="265">
        <f>'Sources and Uses Budget'!T15</f>
        <v>0</v>
      </c>
      <c r="I15" s="265"/>
      <c r="J15" s="265"/>
      <c r="K15" s="261"/>
    </row>
    <row r="16" spans="1:11" s="262" customFormat="1" ht="12">
      <c r="A16" s="259" t="s">
        <v>1771</v>
      </c>
      <c r="B16" s="260"/>
      <c r="C16" s="260"/>
      <c r="D16" s="260"/>
      <c r="E16" s="260"/>
      <c r="F16" s="260"/>
      <c r="G16" s="260"/>
      <c r="H16" s="260"/>
      <c r="I16" s="260"/>
      <c r="J16" s="260"/>
      <c r="K16" s="261"/>
    </row>
    <row r="17" spans="1:11" s="262" customFormat="1">
      <c r="A17" s="266" t="s">
        <v>1772</v>
      </c>
      <c r="B17" s="263">
        <f>'Sources and Uses Budget'!C17</f>
        <v>319333</v>
      </c>
      <c r="C17" s="264"/>
      <c r="D17" s="264"/>
      <c r="E17" s="263">
        <f>'Sources and Uses Budget'!S17</f>
        <v>319333</v>
      </c>
      <c r="F17" s="264"/>
      <c r="G17" s="264"/>
      <c r="H17" s="263">
        <f>'Sources and Uses Budget'!T17</f>
        <v>0</v>
      </c>
      <c r="I17" s="264"/>
      <c r="J17" s="264"/>
      <c r="K17" s="261"/>
    </row>
    <row r="18" spans="1:11" s="262" customFormat="1">
      <c r="A18" s="266" t="s">
        <v>1773</v>
      </c>
      <c r="B18" s="263">
        <f>'Sources and Uses Budget'!C18</f>
        <v>12856797</v>
      </c>
      <c r="C18" s="264"/>
      <c r="D18" s="264"/>
      <c r="E18" s="263">
        <f>'Sources and Uses Budget'!S18</f>
        <v>12856797</v>
      </c>
      <c r="F18" s="264"/>
      <c r="G18" s="264"/>
      <c r="H18" s="263">
        <f>'Sources and Uses Budget'!T18</f>
        <v>0</v>
      </c>
      <c r="I18" s="264"/>
      <c r="J18" s="264"/>
      <c r="K18" s="261"/>
    </row>
    <row r="19" spans="1:11" s="262" customFormat="1">
      <c r="A19" s="266" t="s">
        <v>1774</v>
      </c>
      <c r="B19" s="263">
        <f>'Sources and Uses Budget'!C19</f>
        <v>845952</v>
      </c>
      <c r="C19" s="264"/>
      <c r="D19" s="264"/>
      <c r="E19" s="263">
        <f>'Sources and Uses Budget'!S19</f>
        <v>845952</v>
      </c>
      <c r="F19" s="264"/>
      <c r="G19" s="264"/>
      <c r="H19" s="263">
        <f>'Sources and Uses Budget'!T19</f>
        <v>0</v>
      </c>
      <c r="I19" s="264"/>
      <c r="J19" s="264"/>
      <c r="K19" s="261"/>
    </row>
    <row r="20" spans="1:11" s="262" customFormat="1">
      <c r="A20" s="266" t="s">
        <v>1775</v>
      </c>
      <c r="B20" s="263">
        <f>'Sources and Uses Budget'!C20</f>
        <v>500783</v>
      </c>
      <c r="C20" s="264"/>
      <c r="D20" s="264"/>
      <c r="E20" s="263">
        <f>'Sources and Uses Budget'!S20</f>
        <v>500783</v>
      </c>
      <c r="F20" s="264"/>
      <c r="G20" s="264"/>
      <c r="H20" s="263">
        <f>'Sources and Uses Budget'!T20</f>
        <v>0</v>
      </c>
      <c r="I20" s="264"/>
      <c r="J20" s="264"/>
      <c r="K20" s="261"/>
    </row>
    <row r="21" spans="1:11" s="262" customFormat="1">
      <c r="A21" s="266" t="s">
        <v>1776</v>
      </c>
      <c r="B21" s="263">
        <f>'Sources and Uses Budget'!C21</f>
        <v>500783</v>
      </c>
      <c r="C21" s="264"/>
      <c r="D21" s="264"/>
      <c r="E21" s="263">
        <f>'Sources and Uses Budget'!S21</f>
        <v>500783</v>
      </c>
      <c r="F21" s="264"/>
      <c r="G21" s="264"/>
      <c r="H21" s="263">
        <f>'Sources and Uses Budget'!T21</f>
        <v>0</v>
      </c>
      <c r="I21" s="264"/>
      <c r="J21" s="264"/>
      <c r="K21" s="261"/>
    </row>
    <row r="22" spans="1:11" s="262" customFormat="1">
      <c r="A22" s="266" t="s">
        <v>1777</v>
      </c>
      <c r="B22" s="263">
        <f>'Sources and Uses Budget'!C22</f>
        <v>0</v>
      </c>
      <c r="C22" s="264"/>
      <c r="D22" s="264"/>
      <c r="E22" s="263">
        <f>'Sources and Uses Budget'!S22</f>
        <v>0</v>
      </c>
      <c r="F22" s="264"/>
      <c r="G22" s="264"/>
      <c r="H22" s="263">
        <f>'Sources and Uses Budget'!T22</f>
        <v>0</v>
      </c>
      <c r="I22" s="264"/>
      <c r="J22" s="264"/>
      <c r="K22" s="261"/>
    </row>
    <row r="23" spans="1:11" s="262" customFormat="1">
      <c r="A23" s="266" t="s">
        <v>1778</v>
      </c>
      <c r="B23" s="263">
        <f>'Sources and Uses Budget'!C23</f>
        <v>105914</v>
      </c>
      <c r="C23" s="264"/>
      <c r="D23" s="264"/>
      <c r="E23" s="263">
        <f>'Sources and Uses Budget'!S23</f>
        <v>105914</v>
      </c>
      <c r="F23" s="264"/>
      <c r="G23" s="264"/>
      <c r="H23" s="263">
        <f>'Sources and Uses Budget'!T23</f>
        <v>0</v>
      </c>
      <c r="I23" s="264"/>
      <c r="J23" s="264"/>
      <c r="K23" s="261"/>
    </row>
    <row r="24" spans="1:11" s="262" customFormat="1">
      <c r="A24" s="408" t="s">
        <v>1779</v>
      </c>
      <c r="B24" s="263">
        <f>'Sources and Uses Budget'!C24</f>
        <v>120000</v>
      </c>
      <c r="C24" s="264"/>
      <c r="D24" s="264"/>
      <c r="E24" s="263">
        <f>'Sources and Uses Budget'!S24</f>
        <v>120000</v>
      </c>
      <c r="F24" s="264"/>
      <c r="G24" s="264"/>
      <c r="H24" s="263">
        <f>'Sources and Uses Budget'!T24</f>
        <v>0</v>
      </c>
      <c r="I24" s="264"/>
      <c r="J24" s="264"/>
      <c r="K24" s="261"/>
    </row>
    <row r="25" spans="1:11" s="262" customFormat="1">
      <c r="A25" s="266" t="str">
        <f>'Sources and Uses Budget'!$A25</f>
        <v>Other: Environmental Remediation</v>
      </c>
      <c r="B25" s="263">
        <f>'Sources and Uses Budget'!C25</f>
        <v>100000</v>
      </c>
      <c r="C25" s="264"/>
      <c r="D25" s="264"/>
      <c r="E25" s="263">
        <f>'Sources and Uses Budget'!S25</f>
        <v>100000</v>
      </c>
      <c r="F25" s="264"/>
      <c r="G25" s="264"/>
      <c r="H25" s="263">
        <f>'Sources and Uses Budget'!T25</f>
        <v>0</v>
      </c>
      <c r="I25" s="264"/>
      <c r="J25" s="264"/>
      <c r="K25" s="261"/>
    </row>
    <row r="26" spans="1:11" s="262" customFormat="1">
      <c r="A26" s="267" t="s">
        <v>1781</v>
      </c>
      <c r="B26" s="263">
        <f>'Sources and Uses Budget'!C26</f>
        <v>15349562</v>
      </c>
      <c r="C26" s="263">
        <f>SUM(C17:C25)</f>
        <v>0</v>
      </c>
      <c r="D26" s="263">
        <f>SUM(D17:D25)</f>
        <v>0</v>
      </c>
      <c r="E26" s="263">
        <f>'Sources and Uses Budget'!S26</f>
        <v>15349562</v>
      </c>
      <c r="F26" s="269">
        <f>SUM(F17:F25)</f>
        <v>0</v>
      </c>
      <c r="G26" s="269">
        <f>SUM(G17:G25)</f>
        <v>0</v>
      </c>
      <c r="H26" s="263">
        <f>'Sources and Uses Budget'!T26</f>
        <v>0</v>
      </c>
      <c r="I26" s="269">
        <f>SUM(I17:I25)</f>
        <v>0</v>
      </c>
      <c r="J26" s="269">
        <f>SUM(J17:J25)</f>
        <v>0</v>
      </c>
      <c r="K26" s="261"/>
    </row>
    <row r="27" spans="1:11" s="262" customFormat="1">
      <c r="A27" s="267" t="s">
        <v>1782</v>
      </c>
      <c r="B27" s="263">
        <f>'Sources and Uses Budget'!C27</f>
        <v>1295000</v>
      </c>
      <c r="C27" s="264"/>
      <c r="D27" s="264"/>
      <c r="E27" s="263">
        <f>'Sources and Uses Budget'!S27</f>
        <v>1295000</v>
      </c>
      <c r="F27" s="264"/>
      <c r="G27" s="264"/>
      <c r="H27" s="263">
        <f>'Sources and Uses Budget'!T27</f>
        <v>0</v>
      </c>
      <c r="I27" s="264"/>
      <c r="J27" s="264"/>
      <c r="K27" s="261"/>
    </row>
    <row r="28" spans="1:11" s="262" customFormat="1" ht="12">
      <c r="A28" s="259" t="s">
        <v>1783</v>
      </c>
      <c r="B28" s="260"/>
      <c r="C28" s="260"/>
      <c r="D28" s="260"/>
      <c r="E28" s="260"/>
      <c r="F28" s="260"/>
      <c r="G28" s="260"/>
      <c r="H28" s="260"/>
      <c r="I28" s="260"/>
      <c r="J28" s="260"/>
      <c r="K28" s="261"/>
    </row>
    <row r="29" spans="1:11" s="262" customFormat="1">
      <c r="A29" s="194" t="s">
        <v>1772</v>
      </c>
      <c r="B29" s="263">
        <f>'Sources and Uses Budget'!C29</f>
        <v>0</v>
      </c>
      <c r="C29" s="264"/>
      <c r="D29" s="264"/>
      <c r="E29" s="263">
        <f>'Sources and Uses Budget'!S29</f>
        <v>0</v>
      </c>
      <c r="F29" s="264"/>
      <c r="G29" s="264"/>
      <c r="H29" s="263">
        <f>'Sources and Uses Budget'!T29</f>
        <v>0</v>
      </c>
      <c r="I29" s="264"/>
      <c r="J29" s="264"/>
      <c r="K29" s="261"/>
    </row>
    <row r="30" spans="1:11" s="262" customFormat="1">
      <c r="A30" s="194" t="s">
        <v>1773</v>
      </c>
      <c r="B30" s="263">
        <f>'Sources and Uses Budget'!C30</f>
        <v>0</v>
      </c>
      <c r="C30" s="264"/>
      <c r="D30" s="264"/>
      <c r="E30" s="263">
        <f>'Sources and Uses Budget'!S30</f>
        <v>0</v>
      </c>
      <c r="F30" s="264"/>
      <c r="G30" s="264"/>
      <c r="H30" s="263">
        <f>'Sources and Uses Budget'!T30</f>
        <v>0</v>
      </c>
      <c r="I30" s="264"/>
      <c r="J30" s="264"/>
      <c r="K30" s="261"/>
    </row>
    <row r="31" spans="1:11" s="262" customFormat="1">
      <c r="A31" s="194" t="s">
        <v>1774</v>
      </c>
      <c r="B31" s="263">
        <f>'Sources and Uses Budget'!C31</f>
        <v>0</v>
      </c>
      <c r="C31" s="264"/>
      <c r="D31" s="264"/>
      <c r="E31" s="263">
        <f>'Sources and Uses Budget'!S31</f>
        <v>0</v>
      </c>
      <c r="F31" s="264"/>
      <c r="G31" s="264"/>
      <c r="H31" s="263">
        <f>'Sources and Uses Budget'!T31</f>
        <v>0</v>
      </c>
      <c r="I31" s="264"/>
      <c r="J31" s="264"/>
      <c r="K31" s="261"/>
    </row>
    <row r="32" spans="1:11" s="262" customFormat="1">
      <c r="A32" s="194" t="s">
        <v>1775</v>
      </c>
      <c r="B32" s="263">
        <f>'Sources and Uses Budget'!C32</f>
        <v>0</v>
      </c>
      <c r="C32" s="264"/>
      <c r="D32" s="264"/>
      <c r="E32" s="263">
        <f>'Sources and Uses Budget'!S32</f>
        <v>0</v>
      </c>
      <c r="F32" s="264"/>
      <c r="G32" s="264"/>
      <c r="H32" s="263">
        <f>'Sources and Uses Budget'!T32</f>
        <v>0</v>
      </c>
      <c r="I32" s="264"/>
      <c r="J32" s="264"/>
      <c r="K32" s="261"/>
    </row>
    <row r="33" spans="1:11" s="262" customFormat="1">
      <c r="A33" s="194" t="s">
        <v>1776</v>
      </c>
      <c r="B33" s="263">
        <f>'Sources and Uses Budget'!C33</f>
        <v>0</v>
      </c>
      <c r="C33" s="264"/>
      <c r="D33" s="264"/>
      <c r="E33" s="263">
        <f>'Sources and Uses Budget'!S33</f>
        <v>0</v>
      </c>
      <c r="F33" s="264"/>
      <c r="G33" s="264"/>
      <c r="H33" s="263">
        <f>'Sources and Uses Budget'!T33</f>
        <v>0</v>
      </c>
      <c r="I33" s="264"/>
      <c r="J33" s="264"/>
      <c r="K33" s="261"/>
    </row>
    <row r="34" spans="1:11" s="262" customFormat="1">
      <c r="A34" s="194" t="s">
        <v>1777</v>
      </c>
      <c r="B34" s="263">
        <f>'Sources and Uses Budget'!C34</f>
        <v>0</v>
      </c>
      <c r="C34" s="264"/>
      <c r="D34" s="264"/>
      <c r="E34" s="263">
        <f>'Sources and Uses Budget'!S34</f>
        <v>0</v>
      </c>
      <c r="F34" s="264"/>
      <c r="G34" s="264"/>
      <c r="H34" s="263">
        <f>'Sources and Uses Budget'!T34</f>
        <v>0</v>
      </c>
      <c r="I34" s="264"/>
      <c r="J34" s="264"/>
      <c r="K34" s="261"/>
    </row>
    <row r="35" spans="1:11" s="262" customFormat="1">
      <c r="A35" s="194" t="s">
        <v>1778</v>
      </c>
      <c r="B35" s="263">
        <f>'Sources and Uses Budget'!C35</f>
        <v>0</v>
      </c>
      <c r="C35" s="264"/>
      <c r="D35" s="264"/>
      <c r="E35" s="263">
        <f>'Sources and Uses Budget'!S35</f>
        <v>0</v>
      </c>
      <c r="F35" s="264"/>
      <c r="G35" s="264"/>
      <c r="H35" s="263">
        <f>'Sources and Uses Budget'!T35</f>
        <v>0</v>
      </c>
      <c r="I35" s="264"/>
      <c r="J35" s="264"/>
      <c r="K35" s="261"/>
    </row>
    <row r="36" spans="1:11" s="262" customFormat="1">
      <c r="A36" s="408" t="s">
        <v>1779</v>
      </c>
      <c r="B36" s="263">
        <f>'Sources and Uses Budget'!C36</f>
        <v>0</v>
      </c>
      <c r="C36" s="264"/>
      <c r="D36" s="264"/>
      <c r="E36" s="263">
        <f>'Sources and Uses Budget'!S36</f>
        <v>0</v>
      </c>
      <c r="F36" s="264"/>
      <c r="G36" s="264"/>
      <c r="H36" s="263">
        <f>'Sources and Uses Budget'!T36</f>
        <v>0</v>
      </c>
      <c r="I36" s="264"/>
      <c r="J36" s="264"/>
      <c r="K36" s="261"/>
    </row>
    <row r="37" spans="1:11" s="262" customFormat="1">
      <c r="A37" s="266" t="str">
        <f>'Sources and Uses Budget'!$A37</f>
        <v>Other: (Specify)</v>
      </c>
      <c r="B37" s="263">
        <f>'Sources and Uses Budget'!C37</f>
        <v>0</v>
      </c>
      <c r="C37" s="264"/>
      <c r="D37" s="264"/>
      <c r="E37" s="263">
        <f>'Sources and Uses Budget'!S37</f>
        <v>0</v>
      </c>
      <c r="F37" s="264"/>
      <c r="G37" s="264"/>
      <c r="H37" s="263">
        <f>'Sources and Uses Budget'!T37</f>
        <v>0</v>
      </c>
      <c r="I37" s="264"/>
      <c r="J37" s="264"/>
      <c r="K37" s="261"/>
    </row>
    <row r="38" spans="1:11" s="262" customFormat="1">
      <c r="A38" s="267" t="s">
        <v>1784</v>
      </c>
      <c r="B38" s="263">
        <f>'Sources and Uses Budget'!C38</f>
        <v>0</v>
      </c>
      <c r="C38" s="263">
        <f>SUM(C29:C37)</f>
        <v>0</v>
      </c>
      <c r="D38" s="263">
        <f>SUM(D29:D37)</f>
        <v>0</v>
      </c>
      <c r="E38" s="263">
        <f>'Sources and Uses Budget'!S38</f>
        <v>0</v>
      </c>
      <c r="F38" s="269">
        <f>SUM(F29:F37)</f>
        <v>0</v>
      </c>
      <c r="G38" s="269">
        <f>SUM(G29:G37)</f>
        <v>0</v>
      </c>
      <c r="H38" s="263">
        <f>'Sources and Uses Budget'!T38</f>
        <v>0</v>
      </c>
      <c r="I38" s="269">
        <f>SUM(I29:I37)</f>
        <v>0</v>
      </c>
      <c r="J38" s="269">
        <f>SUM(J29:J37)</f>
        <v>0</v>
      </c>
      <c r="K38" s="261"/>
    </row>
    <row r="39" spans="1:11" s="262" customFormat="1" ht="12">
      <c r="A39" s="259" t="s">
        <v>1785</v>
      </c>
      <c r="B39" s="260"/>
      <c r="C39" s="260"/>
      <c r="D39" s="260"/>
      <c r="E39" s="260"/>
      <c r="F39" s="260"/>
      <c r="G39" s="260"/>
      <c r="H39" s="260"/>
      <c r="I39" s="260"/>
      <c r="J39" s="260"/>
      <c r="K39" s="261"/>
    </row>
    <row r="40" spans="1:11" s="262" customFormat="1">
      <c r="A40" s="266" t="s">
        <v>1786</v>
      </c>
      <c r="B40" s="263">
        <f>'Sources and Uses Budget'!C40</f>
        <v>1242323</v>
      </c>
      <c r="C40" s="264"/>
      <c r="D40" s="264"/>
      <c r="E40" s="263">
        <f>'Sources and Uses Budget'!S40</f>
        <v>1242323</v>
      </c>
      <c r="F40" s="264"/>
      <c r="G40" s="264"/>
      <c r="H40" s="263">
        <f>'Sources and Uses Budget'!T40</f>
        <v>0</v>
      </c>
      <c r="I40" s="264"/>
      <c r="J40" s="264"/>
      <c r="K40" s="261"/>
    </row>
    <row r="41" spans="1:11" s="262" customFormat="1">
      <c r="A41" s="266" t="s">
        <v>1787</v>
      </c>
      <c r="B41" s="263">
        <f>'Sources and Uses Budget'!C41</f>
        <v>0</v>
      </c>
      <c r="C41" s="264"/>
      <c r="D41" s="264"/>
      <c r="E41" s="263">
        <f>'Sources and Uses Budget'!S41</f>
        <v>0</v>
      </c>
      <c r="F41" s="264"/>
      <c r="G41" s="264"/>
      <c r="H41" s="263">
        <f>'Sources and Uses Budget'!T41</f>
        <v>0</v>
      </c>
      <c r="I41" s="264"/>
      <c r="J41" s="264"/>
      <c r="K41" s="261"/>
    </row>
    <row r="42" spans="1:11" s="262" customFormat="1">
      <c r="A42" s="267" t="s">
        <v>1788</v>
      </c>
      <c r="B42" s="263">
        <f>'Sources and Uses Budget'!C42</f>
        <v>1242323</v>
      </c>
      <c r="C42" s="263">
        <f>SUM(C39:C41)</f>
        <v>0</v>
      </c>
      <c r="D42" s="263">
        <f>SUM(D39:D41)</f>
        <v>0</v>
      </c>
      <c r="E42" s="263">
        <f>'Sources and Uses Budget'!S42</f>
        <v>1242323</v>
      </c>
      <c r="F42" s="269">
        <f>SUM(F40:F41)</f>
        <v>0</v>
      </c>
      <c r="G42" s="269">
        <f>SUM(G40:G41)</f>
        <v>0</v>
      </c>
      <c r="H42" s="263">
        <f>'Sources and Uses Budget'!T42</f>
        <v>0</v>
      </c>
      <c r="I42" s="269">
        <f>SUM(I40:I41)</f>
        <v>0</v>
      </c>
      <c r="J42" s="269">
        <f>SUM(J40:J41)</f>
        <v>0</v>
      </c>
      <c r="K42" s="261"/>
    </row>
    <row r="43" spans="1:11" s="262" customFormat="1">
      <c r="A43" s="267" t="s">
        <v>1789</v>
      </c>
      <c r="B43" s="263">
        <f>'Sources and Uses Budget'!C43</f>
        <v>50000</v>
      </c>
      <c r="C43" s="264"/>
      <c r="D43" s="264"/>
      <c r="E43" s="263">
        <f>'Sources and Uses Budget'!S43</f>
        <v>50000</v>
      </c>
      <c r="F43" s="264"/>
      <c r="G43" s="264"/>
      <c r="H43" s="263">
        <f>'Sources and Uses Budget'!T43</f>
        <v>0</v>
      </c>
      <c r="I43" s="264"/>
      <c r="J43" s="264"/>
      <c r="K43" s="261"/>
    </row>
    <row r="44" spans="1:11" s="262" customFormat="1" ht="12">
      <c r="A44" s="259" t="s">
        <v>1790</v>
      </c>
      <c r="B44" s="260"/>
      <c r="C44" s="260"/>
      <c r="D44" s="260"/>
      <c r="E44" s="260"/>
      <c r="F44" s="260"/>
      <c r="G44" s="260"/>
      <c r="H44" s="260"/>
      <c r="I44" s="260"/>
      <c r="J44" s="260"/>
      <c r="K44" s="261"/>
    </row>
    <row r="45" spans="1:11" s="262" customFormat="1">
      <c r="A45" s="266" t="s">
        <v>1791</v>
      </c>
      <c r="B45" s="263">
        <f>'Sources and Uses Budget'!C45</f>
        <v>2326802</v>
      </c>
      <c r="C45" s="264"/>
      <c r="D45" s="264"/>
      <c r="E45" s="263">
        <f>'Sources and Uses Budget'!S45</f>
        <v>1332039</v>
      </c>
      <c r="F45" s="264"/>
      <c r="G45" s="264"/>
      <c r="H45" s="263">
        <f>'Sources and Uses Budget'!T45</f>
        <v>0</v>
      </c>
      <c r="I45" s="264"/>
      <c r="J45" s="264"/>
      <c r="K45" s="261"/>
    </row>
    <row r="46" spans="1:11" s="262" customFormat="1">
      <c r="A46" s="266" t="s">
        <v>1792</v>
      </c>
      <c r="B46" s="263">
        <f>'Sources and Uses Budget'!C46</f>
        <v>204404</v>
      </c>
      <c r="C46" s="264"/>
      <c r="D46" s="264"/>
      <c r="E46" s="263">
        <f>'Sources and Uses Budget'!S46</f>
        <v>117016</v>
      </c>
      <c r="F46" s="264"/>
      <c r="G46" s="264"/>
      <c r="H46" s="263">
        <f>'Sources and Uses Budget'!T46</f>
        <v>0</v>
      </c>
      <c r="I46" s="264"/>
      <c r="J46" s="264"/>
      <c r="K46" s="261"/>
    </row>
    <row r="47" spans="1:11" s="262" customFormat="1" ht="12" customHeight="1">
      <c r="A47" s="266" t="s">
        <v>1793</v>
      </c>
      <c r="B47" s="263">
        <f>'Sources and Uses Budget'!C47</f>
        <v>25000</v>
      </c>
      <c r="C47" s="264"/>
      <c r="D47" s="264"/>
      <c r="E47" s="263">
        <f>'Sources and Uses Budget'!S47</f>
        <v>14312</v>
      </c>
      <c r="F47" s="264"/>
      <c r="G47" s="264"/>
      <c r="H47" s="263">
        <f>'Sources and Uses Budget'!T47</f>
        <v>0</v>
      </c>
      <c r="I47" s="264"/>
      <c r="J47" s="264"/>
      <c r="K47" s="261"/>
    </row>
    <row r="48" spans="1:11" s="262" customFormat="1">
      <c r="A48" s="266" t="s">
        <v>1794</v>
      </c>
      <c r="B48" s="263">
        <f>'Sources and Uses Budget'!C48</f>
        <v>80092</v>
      </c>
      <c r="C48" s="264"/>
      <c r="D48" s="264"/>
      <c r="E48" s="263">
        <f>'Sources and Uses Budget'!S48</f>
        <v>80092</v>
      </c>
      <c r="F48" s="264"/>
      <c r="G48" s="264"/>
      <c r="H48" s="263">
        <f>'Sources and Uses Budget'!T48</f>
        <v>0</v>
      </c>
      <c r="I48" s="264"/>
      <c r="J48" s="264"/>
      <c r="K48" s="261"/>
    </row>
    <row r="49" spans="1:11" s="262" customFormat="1">
      <c r="A49" s="194" t="s">
        <v>1795</v>
      </c>
      <c r="B49" s="263">
        <f>'Sources and Uses Budget'!C49</f>
        <v>213435</v>
      </c>
      <c r="C49" s="264"/>
      <c r="D49" s="264"/>
      <c r="E49" s="263">
        <f>'Sources and Uses Budget'!S49</f>
        <v>25058</v>
      </c>
      <c r="F49" s="264"/>
      <c r="G49" s="264"/>
      <c r="H49" s="263">
        <f>'Sources and Uses Budget'!T49</f>
        <v>0</v>
      </c>
      <c r="I49" s="264"/>
      <c r="J49" s="264"/>
      <c r="K49" s="261"/>
    </row>
    <row r="50" spans="1:11" s="262" customFormat="1">
      <c r="A50" s="266" t="s">
        <v>1796</v>
      </c>
      <c r="B50" s="263">
        <f>'Sources and Uses Budget'!C50</f>
        <v>100000</v>
      </c>
      <c r="C50" s="264"/>
      <c r="D50" s="264"/>
      <c r="E50" s="263">
        <f>'Sources and Uses Budget'!S50</f>
        <v>100000</v>
      </c>
      <c r="F50" s="264"/>
      <c r="G50" s="264"/>
      <c r="H50" s="263">
        <f>'Sources and Uses Budget'!T50</f>
        <v>0</v>
      </c>
      <c r="I50" s="264"/>
      <c r="J50" s="264"/>
      <c r="K50" s="261"/>
    </row>
    <row r="51" spans="1:11" s="262" customFormat="1">
      <c r="A51" s="266" t="s">
        <v>1797</v>
      </c>
      <c r="B51" s="263">
        <f>'Sources and Uses Budget'!C51</f>
        <v>5000</v>
      </c>
      <c r="C51" s="264"/>
      <c r="D51" s="264"/>
      <c r="E51" s="263">
        <f>'Sources and Uses Budget'!S51</f>
        <v>5000</v>
      </c>
      <c r="F51" s="264"/>
      <c r="G51" s="264"/>
      <c r="H51" s="263">
        <f>'Sources and Uses Budget'!T51</f>
        <v>0</v>
      </c>
      <c r="I51" s="264"/>
      <c r="J51" s="264"/>
      <c r="K51" s="261"/>
    </row>
    <row r="52" spans="1:11" s="262" customFormat="1">
      <c r="A52" s="266" t="s">
        <v>1798</v>
      </c>
      <c r="B52" s="263">
        <f>'Sources and Uses Budget'!C52</f>
        <v>298158</v>
      </c>
      <c r="C52" s="264"/>
      <c r="D52" s="264"/>
      <c r="E52" s="263">
        <f>'Sources and Uses Budget'!S52</f>
        <v>298158</v>
      </c>
      <c r="F52" s="264"/>
      <c r="G52" s="264"/>
      <c r="H52" s="263">
        <f>'Sources and Uses Budget'!T52</f>
        <v>0</v>
      </c>
      <c r="I52" s="264"/>
      <c r="J52" s="264"/>
      <c r="K52" s="261"/>
    </row>
    <row r="53" spans="1:11" s="262" customFormat="1">
      <c r="A53" s="266" t="str">
        <f>'Sources and Uses Budget'!$A53</f>
        <v>Other: (Specify)</v>
      </c>
      <c r="B53" s="263">
        <f>'Sources and Uses Budget'!C53</f>
        <v>0</v>
      </c>
      <c r="C53" s="264"/>
      <c r="D53" s="264"/>
      <c r="E53" s="263">
        <f>'Sources and Uses Budget'!S53</f>
        <v>0</v>
      </c>
      <c r="F53" s="264"/>
      <c r="G53" s="264"/>
      <c r="H53" s="263">
        <f>'Sources and Uses Budget'!T53</f>
        <v>0</v>
      </c>
      <c r="I53" s="264"/>
      <c r="J53" s="264"/>
      <c r="K53" s="261"/>
    </row>
    <row r="54" spans="1:11" s="271" customFormat="1">
      <c r="A54" s="267" t="s">
        <v>1799</v>
      </c>
      <c r="B54" s="263">
        <f>'Sources and Uses Budget'!C54</f>
        <v>3252891</v>
      </c>
      <c r="C54" s="269">
        <f>SUM(C45:C53)</f>
        <v>0</v>
      </c>
      <c r="D54" s="269">
        <f>SUM(D45:D53)</f>
        <v>0</v>
      </c>
      <c r="E54" s="263">
        <f>'Sources and Uses Budget'!S54</f>
        <v>1971675</v>
      </c>
      <c r="F54" s="269">
        <f>SUM(F45:F53)</f>
        <v>0</v>
      </c>
      <c r="G54" s="269">
        <f>SUM(G45:G53)</f>
        <v>0</v>
      </c>
      <c r="H54" s="263">
        <f>'Sources and Uses Budget'!T54</f>
        <v>0</v>
      </c>
      <c r="I54" s="269">
        <f>SUM(I45:I53)</f>
        <v>0</v>
      </c>
      <c r="J54" s="269">
        <f>SUM(J45:J53)</f>
        <v>0</v>
      </c>
      <c r="K54" s="270"/>
    </row>
    <row r="55" spans="1:11" s="262" customFormat="1" ht="12">
      <c r="A55" s="259" t="s">
        <v>1355</v>
      </c>
      <c r="B55" s="260"/>
      <c r="C55" s="260"/>
      <c r="D55" s="260"/>
      <c r="E55" s="260"/>
      <c r="F55" s="260"/>
      <c r="G55" s="260"/>
      <c r="H55" s="260"/>
      <c r="I55" s="260"/>
      <c r="J55" s="260"/>
      <c r="K55" s="261"/>
    </row>
    <row r="56" spans="1:11" s="262" customFormat="1">
      <c r="A56" s="266" t="s">
        <v>1800</v>
      </c>
      <c r="B56" s="263">
        <f>'Sources and Uses Budget'!C56</f>
        <v>86640</v>
      </c>
      <c r="C56" s="264"/>
      <c r="D56" s="264"/>
      <c r="E56" s="265"/>
      <c r="F56" s="265"/>
      <c r="G56" s="265"/>
      <c r="H56" s="265"/>
      <c r="I56" s="265"/>
      <c r="J56" s="265"/>
      <c r="K56" s="261"/>
    </row>
    <row r="57" spans="1:11" s="262" customFormat="1" ht="12" customHeight="1">
      <c r="A57" s="266" t="s">
        <v>1793</v>
      </c>
      <c r="B57" s="263">
        <f>'Sources and Uses Budget'!C57</f>
        <v>10000</v>
      </c>
      <c r="C57" s="264"/>
      <c r="D57" s="264"/>
      <c r="E57" s="265"/>
      <c r="F57" s="265"/>
      <c r="G57" s="265"/>
      <c r="H57" s="265"/>
      <c r="I57" s="265"/>
      <c r="J57" s="265"/>
      <c r="K57" s="261"/>
    </row>
    <row r="58" spans="1:11" s="262" customFormat="1">
      <c r="A58" s="266" t="s">
        <v>1796</v>
      </c>
      <c r="B58" s="263">
        <f>'Sources and Uses Budget'!C58</f>
        <v>0</v>
      </c>
      <c r="C58" s="264"/>
      <c r="D58" s="264"/>
      <c r="E58" s="265"/>
      <c r="F58" s="265"/>
      <c r="G58" s="265"/>
      <c r="H58" s="265"/>
      <c r="I58" s="265"/>
      <c r="J58" s="265"/>
      <c r="K58" s="261"/>
    </row>
    <row r="59" spans="1:11" s="262" customFormat="1">
      <c r="A59" s="266" t="s">
        <v>1797</v>
      </c>
      <c r="B59" s="263">
        <f>'Sources and Uses Budget'!C59</f>
        <v>0</v>
      </c>
      <c r="C59" s="264"/>
      <c r="D59" s="264"/>
      <c r="E59" s="265"/>
      <c r="F59" s="265"/>
      <c r="G59" s="265"/>
      <c r="H59" s="265"/>
      <c r="I59" s="265"/>
      <c r="J59" s="265"/>
      <c r="K59" s="261"/>
    </row>
    <row r="60" spans="1:11" s="262" customFormat="1">
      <c r="A60" s="266" t="s">
        <v>1798</v>
      </c>
      <c r="B60" s="263">
        <f>'Sources and Uses Budget'!C60</f>
        <v>0</v>
      </c>
      <c r="C60" s="264"/>
      <c r="D60" s="264"/>
      <c r="E60" s="265"/>
      <c r="F60" s="265"/>
      <c r="G60" s="265"/>
      <c r="H60" s="265"/>
      <c r="I60" s="265"/>
      <c r="J60" s="265"/>
      <c r="K60" s="261"/>
    </row>
    <row r="61" spans="1:11" s="262" customFormat="1">
      <c r="A61" s="266" t="str">
        <f>'Sources and Uses Budget'!$A61</f>
        <v>Other: (Specify)</v>
      </c>
      <c r="B61" s="263">
        <f>'Sources and Uses Budget'!C61</f>
        <v>0</v>
      </c>
      <c r="C61" s="264"/>
      <c r="D61" s="264"/>
      <c r="E61" s="265"/>
      <c r="F61" s="265"/>
      <c r="G61" s="265"/>
      <c r="H61" s="265"/>
      <c r="I61" s="265"/>
      <c r="J61" s="265"/>
      <c r="K61" s="261"/>
    </row>
    <row r="62" spans="1:11" s="262" customFormat="1" ht="13.75" customHeight="1">
      <c r="A62" s="267" t="s">
        <v>1801</v>
      </c>
      <c r="B62" s="263">
        <f>'Sources and Uses Budget'!C62</f>
        <v>96640</v>
      </c>
      <c r="C62" s="263">
        <f>SUM(C56:C61)</f>
        <v>0</v>
      </c>
      <c r="D62" s="263">
        <f>SUM(D56:D61)</f>
        <v>0</v>
      </c>
      <c r="E62" s="265"/>
      <c r="F62" s="265"/>
      <c r="G62" s="265"/>
      <c r="H62" s="265"/>
      <c r="I62" s="265"/>
      <c r="J62" s="265"/>
      <c r="K62" s="261"/>
    </row>
    <row r="63" spans="1:11" s="262" customFormat="1">
      <c r="A63" s="272" t="s">
        <v>1802</v>
      </c>
      <c r="B63" s="263">
        <f>'Sources and Uses Budget'!C63</f>
        <v>48342622</v>
      </c>
      <c r="C63" s="263">
        <f>SUM(C8+C11+C13+C14+C15+C26+C27+C38+C42+C43+C54+C62)</f>
        <v>0</v>
      </c>
      <c r="D63" s="263">
        <f>SUM(D8+D11+D13+D14+D15+D26+D27+D38+D42+D43+D54+D62)</f>
        <v>0</v>
      </c>
      <c r="E63" s="263">
        <f>'Sources and Uses Budget'!S63</f>
        <v>19908560</v>
      </c>
      <c r="F63" s="263">
        <f>SUM(F10+F13+F14+F15+F26+F27+F38+F42+F43+F54)</f>
        <v>0</v>
      </c>
      <c r="G63" s="263">
        <f>SUM(G10+G13+G14+G15+G26+G27+G38+G42+G43+G54)</f>
        <v>0</v>
      </c>
      <c r="H63" s="263">
        <f>'Sources and Uses Budget'!T63</f>
        <v>26411867</v>
      </c>
      <c r="I63" s="263">
        <f>SUM(I11+I13+I14+I15+I26+I27+I38+I42+I43+I54)</f>
        <v>0</v>
      </c>
      <c r="J63" s="263">
        <f>SUM(J11+J13+J14+J15+J26+J27+J38+J42+J43+J54)</f>
        <v>0</v>
      </c>
      <c r="K63" s="261"/>
    </row>
    <row r="64" spans="1:11" s="262" customFormat="1" ht="24">
      <c r="A64" s="104" t="s">
        <v>1803</v>
      </c>
      <c r="B64" s="260"/>
      <c r="C64" s="260"/>
      <c r="D64" s="260"/>
      <c r="E64" s="260"/>
      <c r="F64" s="260"/>
      <c r="G64" s="260"/>
      <c r="H64" s="260"/>
      <c r="I64" s="260"/>
      <c r="J64" s="260"/>
      <c r="K64" s="261"/>
    </row>
    <row r="65" spans="1:11" s="262" customFormat="1">
      <c r="A65" s="194" t="s">
        <v>1804</v>
      </c>
      <c r="B65" s="263">
        <f>'Sources and Uses Budget'!C65</f>
        <v>60000</v>
      </c>
      <c r="C65" s="264"/>
      <c r="D65" s="264"/>
      <c r="E65" s="263">
        <f>'Sources and Uses Budget'!S65</f>
        <v>25761</v>
      </c>
      <c r="F65" s="264"/>
      <c r="G65" s="264"/>
      <c r="H65" s="263">
        <f>'Sources and Uses Budget'!T65</f>
        <v>0</v>
      </c>
      <c r="I65" s="264"/>
      <c r="J65" s="264"/>
      <c r="K65" s="261"/>
    </row>
    <row r="66" spans="1:11" s="262" customFormat="1" ht="23">
      <c r="A66" s="194" t="s">
        <v>1805</v>
      </c>
      <c r="B66" s="263">
        <f>'Sources and Uses Budget'!C66</f>
        <v>0</v>
      </c>
      <c r="C66" s="264"/>
      <c r="D66" s="264"/>
      <c r="E66" s="263">
        <f>'Sources and Uses Budget'!S66</f>
        <v>0</v>
      </c>
      <c r="F66" s="264"/>
      <c r="G66" s="264"/>
      <c r="H66" s="263">
        <f>'Sources and Uses Budget'!T66</f>
        <v>0</v>
      </c>
      <c r="I66" s="264"/>
      <c r="J66" s="264"/>
      <c r="K66" s="261"/>
    </row>
    <row r="67" spans="1:11" s="262" customFormat="1" ht="23">
      <c r="A67" s="194" t="s">
        <v>1806</v>
      </c>
      <c r="B67" s="263">
        <f>'Sources and Uses Budget'!C67</f>
        <v>0</v>
      </c>
      <c r="C67" s="264"/>
      <c r="D67" s="264"/>
      <c r="E67" s="263">
        <f>'Sources and Uses Budget'!S67</f>
        <v>0</v>
      </c>
      <c r="F67" s="264"/>
      <c r="G67" s="264"/>
      <c r="H67" s="263">
        <f>'Sources and Uses Budget'!T67</f>
        <v>0</v>
      </c>
      <c r="I67" s="264"/>
      <c r="J67" s="264"/>
      <c r="K67" s="261"/>
    </row>
    <row r="68" spans="1:11" s="262" customFormat="1">
      <c r="A68" s="194" t="s">
        <v>1807</v>
      </c>
      <c r="B68" s="263">
        <f>'Sources and Uses Budget'!C68</f>
        <v>0</v>
      </c>
      <c r="C68" s="264"/>
      <c r="D68" s="264"/>
      <c r="E68" s="263">
        <f>'Sources and Uses Budget'!S68</f>
        <v>0</v>
      </c>
      <c r="F68" s="264"/>
      <c r="G68" s="264"/>
      <c r="H68" s="263">
        <f>'Sources and Uses Budget'!T68</f>
        <v>0</v>
      </c>
      <c r="I68" s="264"/>
      <c r="J68" s="264"/>
      <c r="K68" s="261"/>
    </row>
    <row r="69" spans="1:11" s="262" customFormat="1">
      <c r="A69" s="266" t="str">
        <f>'Sources and Uses Budget'!$A69</f>
        <v>Owner Legal</v>
      </c>
      <c r="B69" s="263">
        <f>'Sources and Uses Budget'!C69</f>
        <v>160000</v>
      </c>
      <c r="C69" s="264"/>
      <c r="D69" s="264"/>
      <c r="E69" s="263">
        <f>'Sources and Uses Budget'!S69</f>
        <v>145000</v>
      </c>
      <c r="F69" s="264"/>
      <c r="G69" s="264"/>
      <c r="H69" s="263">
        <f>'Sources and Uses Budget'!T69</f>
        <v>0</v>
      </c>
      <c r="I69" s="264"/>
      <c r="J69" s="264"/>
      <c r="K69" s="261"/>
    </row>
    <row r="70" spans="1:11" s="262" customFormat="1">
      <c r="A70" s="267" t="s">
        <v>1883</v>
      </c>
      <c r="B70" s="263">
        <f>'Sources and Uses Budget'!C70</f>
        <v>220000</v>
      </c>
      <c r="C70" s="263">
        <f>SUM(C64:C69)</f>
        <v>0</v>
      </c>
      <c r="D70" s="263">
        <f>SUM(D64:D69)</f>
        <v>0</v>
      </c>
      <c r="E70" s="263">
        <f>'Sources and Uses Budget'!S70</f>
        <v>170761</v>
      </c>
      <c r="F70" s="269">
        <f>SUM(F65:F69)</f>
        <v>0</v>
      </c>
      <c r="G70" s="269">
        <f>SUM(G65:G69)</f>
        <v>0</v>
      </c>
      <c r="H70" s="263">
        <f>'Sources and Uses Budget'!T70</f>
        <v>0</v>
      </c>
      <c r="I70" s="269">
        <f>SUM(I65:I69)</f>
        <v>0</v>
      </c>
      <c r="J70" s="269">
        <f>SUM(J65:J69)</f>
        <v>0</v>
      </c>
      <c r="K70" s="261"/>
    </row>
    <row r="71" spans="1:11" s="262" customFormat="1" ht="12">
      <c r="A71" s="259" t="s">
        <v>1809</v>
      </c>
      <c r="B71" s="260"/>
      <c r="C71" s="260"/>
      <c r="D71" s="260"/>
      <c r="E71" s="260"/>
      <c r="F71" s="260"/>
      <c r="G71" s="260"/>
      <c r="H71" s="260"/>
      <c r="I71" s="260"/>
      <c r="J71" s="260"/>
      <c r="K71" s="261"/>
    </row>
    <row r="72" spans="1:11" s="262" customFormat="1">
      <c r="A72" s="266" t="s">
        <v>1810</v>
      </c>
      <c r="B72" s="263">
        <f>'Sources and Uses Budget'!C72</f>
        <v>0</v>
      </c>
      <c r="C72" s="264"/>
      <c r="D72" s="264"/>
      <c r="E72" s="265"/>
      <c r="F72" s="265"/>
      <c r="G72" s="265"/>
      <c r="H72" s="265"/>
      <c r="I72" s="265"/>
      <c r="J72" s="265"/>
      <c r="K72" s="261"/>
    </row>
    <row r="73" spans="1:11" s="262" customFormat="1">
      <c r="A73" s="266" t="s">
        <v>1811</v>
      </c>
      <c r="B73" s="263">
        <f>'Sources and Uses Budget'!C73</f>
        <v>0</v>
      </c>
      <c r="C73" s="264"/>
      <c r="D73" s="264"/>
      <c r="E73" s="265"/>
      <c r="F73" s="265"/>
      <c r="G73" s="265"/>
      <c r="H73" s="265"/>
      <c r="I73" s="265"/>
      <c r="J73" s="265"/>
      <c r="K73" s="261"/>
    </row>
    <row r="74" spans="1:11" s="262" customFormat="1">
      <c r="A74" s="268" t="s">
        <v>1812</v>
      </c>
      <c r="B74" s="263">
        <f>'Sources and Uses Budget'!C74</f>
        <v>0</v>
      </c>
      <c r="C74" s="264"/>
      <c r="D74" s="264"/>
      <c r="E74" s="265"/>
      <c r="F74" s="265"/>
      <c r="G74" s="265"/>
      <c r="H74" s="265"/>
      <c r="I74" s="265"/>
      <c r="J74" s="265"/>
      <c r="K74" s="261"/>
    </row>
    <row r="75" spans="1:11" s="262" customFormat="1">
      <c r="A75" s="266" t="s">
        <v>1813</v>
      </c>
      <c r="B75" s="263">
        <f>'Sources and Uses Budget'!C75</f>
        <v>429068</v>
      </c>
      <c r="C75" s="264"/>
      <c r="D75" s="264"/>
      <c r="E75" s="265"/>
      <c r="F75" s="265"/>
      <c r="G75" s="265"/>
      <c r="H75" s="265"/>
      <c r="I75" s="265"/>
      <c r="J75" s="265"/>
      <c r="K75" s="261"/>
    </row>
    <row r="76" spans="1:11" s="262" customFormat="1">
      <c r="A76" s="266" t="str">
        <f>'Sources and Uses Budget'!$A76</f>
        <v>HCD Pooled Reserve Fee</v>
      </c>
      <c r="B76" s="263">
        <f>'Sources and Uses Budget'!C76</f>
        <v>121387</v>
      </c>
      <c r="C76" s="264"/>
      <c r="D76" s="264"/>
      <c r="E76" s="265"/>
      <c r="F76" s="265"/>
      <c r="G76" s="265"/>
      <c r="H76" s="265"/>
      <c r="I76" s="265"/>
      <c r="J76" s="265"/>
      <c r="K76" s="261"/>
    </row>
    <row r="77" spans="1:11" s="262" customFormat="1">
      <c r="A77" s="267" t="s">
        <v>1814</v>
      </c>
      <c r="B77" s="263">
        <f>'Sources and Uses Budget'!C77</f>
        <v>550455</v>
      </c>
      <c r="C77" s="263">
        <f>SUM(C72:C76)</f>
        <v>0</v>
      </c>
      <c r="D77" s="263">
        <f>SUM(D72:D76)</f>
        <v>0</v>
      </c>
      <c r="E77" s="265"/>
      <c r="F77" s="265"/>
      <c r="G77" s="265"/>
      <c r="H77" s="265"/>
      <c r="I77" s="265"/>
      <c r="J77" s="265"/>
      <c r="K77" s="261"/>
    </row>
    <row r="78" spans="1:11" s="262" customFormat="1" ht="12">
      <c r="A78" s="259" t="s">
        <v>1815</v>
      </c>
      <c r="B78" s="260"/>
      <c r="C78" s="260"/>
      <c r="D78" s="260"/>
      <c r="E78" s="260"/>
      <c r="F78" s="260"/>
      <c r="G78" s="260"/>
      <c r="H78" s="260"/>
      <c r="I78" s="260"/>
      <c r="J78" s="260"/>
      <c r="K78" s="261"/>
    </row>
    <row r="79" spans="1:11" s="262" customFormat="1">
      <c r="A79" s="266" t="s">
        <v>1816</v>
      </c>
      <c r="B79" s="263">
        <f>'Sources and Uses Budget'!C79</f>
        <v>2296448</v>
      </c>
      <c r="C79" s="264"/>
      <c r="D79" s="264"/>
      <c r="E79" s="263">
        <f>'Sources and Uses Budget'!S79</f>
        <v>2296448</v>
      </c>
      <c r="F79" s="264"/>
      <c r="G79" s="264"/>
      <c r="H79" s="263">
        <f>'Sources and Uses Budget'!T79</f>
        <v>0</v>
      </c>
      <c r="I79" s="264"/>
      <c r="J79" s="264"/>
      <c r="K79" s="261"/>
    </row>
    <row r="80" spans="1:11" s="262" customFormat="1">
      <c r="A80" s="266" t="s">
        <v>1817</v>
      </c>
      <c r="B80" s="263">
        <f>'Sources and Uses Budget'!C80</f>
        <v>318834</v>
      </c>
      <c r="C80" s="264"/>
      <c r="D80" s="264"/>
      <c r="E80" s="263">
        <f>'Sources and Uses Budget'!S80</f>
        <v>318834</v>
      </c>
      <c r="F80" s="264"/>
      <c r="G80" s="264"/>
      <c r="H80" s="263">
        <f>'Sources and Uses Budget'!T80</f>
        <v>0</v>
      </c>
      <c r="I80" s="264"/>
      <c r="J80" s="264"/>
      <c r="K80" s="261"/>
    </row>
    <row r="81" spans="1:11" s="262" customFormat="1">
      <c r="A81" s="267" t="s">
        <v>1818</v>
      </c>
      <c r="B81" s="263">
        <f>'Sources and Uses Budget'!C81</f>
        <v>2615282</v>
      </c>
      <c r="C81" s="263">
        <f>SUM(C79:C80)</f>
        <v>0</v>
      </c>
      <c r="D81" s="263">
        <f>SUM(D79:D80)</f>
        <v>0</v>
      </c>
      <c r="E81" s="263">
        <f>'Sources and Uses Budget'!S81</f>
        <v>2615282</v>
      </c>
      <c r="F81" s="263">
        <f>SUM(F79:F80)</f>
        <v>0</v>
      </c>
      <c r="G81" s="263">
        <f>SUM(G79:G80)</f>
        <v>0</v>
      </c>
      <c r="H81" s="263">
        <f>'Sources and Uses Budget'!T81</f>
        <v>0</v>
      </c>
      <c r="I81" s="263">
        <f>SUM(I79:I80)</f>
        <v>0</v>
      </c>
      <c r="J81" s="263">
        <f>SUM(J79:J80)</f>
        <v>0</v>
      </c>
      <c r="K81" s="261"/>
    </row>
    <row r="82" spans="1:11" s="262" customFormat="1" ht="12">
      <c r="A82" s="259" t="s">
        <v>1819</v>
      </c>
      <c r="B82" s="260"/>
      <c r="C82" s="260"/>
      <c r="D82" s="260"/>
      <c r="E82" s="260"/>
      <c r="F82" s="260"/>
      <c r="G82" s="260"/>
      <c r="H82" s="260"/>
      <c r="I82" s="260"/>
      <c r="J82" s="260"/>
      <c r="K82" s="261"/>
    </row>
    <row r="83" spans="1:11" s="262" customFormat="1" ht="13.75" customHeight="1">
      <c r="A83" s="194" t="s">
        <v>1820</v>
      </c>
      <c r="B83" s="263">
        <f>'Sources and Uses Budget'!C83</f>
        <v>81757</v>
      </c>
      <c r="C83" s="264"/>
      <c r="D83" s="264"/>
      <c r="E83" s="265"/>
      <c r="F83" s="265"/>
      <c r="G83" s="265"/>
      <c r="H83" s="265"/>
      <c r="I83" s="265"/>
      <c r="J83" s="265"/>
      <c r="K83" s="261"/>
    </row>
    <row r="84" spans="1:11" s="262" customFormat="1">
      <c r="A84" s="194" t="s">
        <v>1821</v>
      </c>
      <c r="B84" s="263">
        <f>'Sources and Uses Budget'!C84</f>
        <v>30000</v>
      </c>
      <c r="C84" s="264"/>
      <c r="D84" s="264"/>
      <c r="E84" s="263">
        <f>'Sources and Uses Budget'!S84</f>
        <v>30000</v>
      </c>
      <c r="F84" s="264"/>
      <c r="G84" s="264"/>
      <c r="H84" s="263">
        <f>'Sources and Uses Budget'!T84</f>
        <v>0</v>
      </c>
      <c r="I84" s="264"/>
      <c r="J84" s="264"/>
      <c r="K84" s="261"/>
    </row>
    <row r="85" spans="1:11" s="262" customFormat="1">
      <c r="A85" s="194" t="s">
        <v>1822</v>
      </c>
      <c r="B85" s="263">
        <f>'Sources and Uses Budget'!C85</f>
        <v>0</v>
      </c>
      <c r="C85" s="264"/>
      <c r="D85" s="264"/>
      <c r="E85" s="263">
        <f>'Sources and Uses Budget'!S85</f>
        <v>0</v>
      </c>
      <c r="F85" s="264"/>
      <c r="G85" s="264"/>
      <c r="H85" s="263">
        <f>'Sources and Uses Budget'!T85</f>
        <v>0</v>
      </c>
      <c r="I85" s="264"/>
      <c r="J85" s="264"/>
      <c r="K85" s="261"/>
    </row>
    <row r="86" spans="1:11" s="262" customFormat="1">
      <c r="A86" s="194" t="s">
        <v>1823</v>
      </c>
      <c r="B86" s="263">
        <f>'Sources and Uses Budget'!C86</f>
        <v>0</v>
      </c>
      <c r="C86" s="264"/>
      <c r="D86" s="264"/>
      <c r="E86" s="263">
        <f>'Sources and Uses Budget'!S86</f>
        <v>0</v>
      </c>
      <c r="F86" s="264"/>
      <c r="G86" s="264"/>
      <c r="H86" s="263">
        <f>'Sources and Uses Budget'!T86</f>
        <v>0</v>
      </c>
      <c r="I86" s="264"/>
      <c r="J86" s="264"/>
      <c r="K86" s="261"/>
    </row>
    <row r="87" spans="1:11" s="262" customFormat="1">
      <c r="A87" s="194" t="s">
        <v>1824</v>
      </c>
      <c r="B87" s="263">
        <f>'Sources and Uses Budget'!C87</f>
        <v>0</v>
      </c>
      <c r="C87" s="264"/>
      <c r="D87" s="264"/>
      <c r="E87" s="263">
        <f>'Sources and Uses Budget'!S87</f>
        <v>0</v>
      </c>
      <c r="F87" s="264"/>
      <c r="G87" s="264"/>
      <c r="H87" s="263">
        <f>'Sources and Uses Budget'!T87</f>
        <v>0</v>
      </c>
      <c r="I87" s="264"/>
      <c r="J87" s="264"/>
      <c r="K87" s="261"/>
    </row>
    <row r="88" spans="1:11" s="262" customFormat="1">
      <c r="A88" s="194" t="s">
        <v>1825</v>
      </c>
      <c r="B88" s="263">
        <f>'Sources and Uses Budget'!C88</f>
        <v>17000</v>
      </c>
      <c r="C88" s="264"/>
      <c r="D88" s="264"/>
      <c r="E88" s="265"/>
      <c r="F88" s="265"/>
      <c r="G88" s="265"/>
      <c r="H88" s="265"/>
      <c r="I88" s="265"/>
      <c r="J88" s="265"/>
      <c r="K88" s="261"/>
    </row>
    <row r="89" spans="1:11" s="262" customFormat="1">
      <c r="A89" s="194" t="s">
        <v>1826</v>
      </c>
      <c r="B89" s="263">
        <f>'Sources and Uses Budget'!C89</f>
        <v>100000</v>
      </c>
      <c r="C89" s="264"/>
      <c r="D89" s="264"/>
      <c r="E89" s="263">
        <f>'Sources and Uses Budget'!S89</f>
        <v>100000</v>
      </c>
      <c r="F89" s="264"/>
      <c r="G89" s="264"/>
      <c r="H89" s="263">
        <f>'Sources and Uses Budget'!T89</f>
        <v>0</v>
      </c>
      <c r="I89" s="264"/>
      <c r="J89" s="264"/>
      <c r="K89" s="261"/>
    </row>
    <row r="90" spans="1:11" s="262" customFormat="1">
      <c r="A90" s="194" t="s">
        <v>1827</v>
      </c>
      <c r="B90" s="263">
        <f>'Sources and Uses Budget'!C90</f>
        <v>15000</v>
      </c>
      <c r="C90" s="264"/>
      <c r="D90" s="264"/>
      <c r="E90" s="263">
        <f>'Sources and Uses Budget'!S90</f>
        <v>0</v>
      </c>
      <c r="F90" s="264"/>
      <c r="G90" s="264"/>
      <c r="H90" s="263">
        <f>'Sources and Uses Budget'!T90</f>
        <v>0</v>
      </c>
      <c r="I90" s="264"/>
      <c r="J90" s="264"/>
      <c r="K90" s="261"/>
    </row>
    <row r="91" spans="1:11" s="262" customFormat="1">
      <c r="A91" s="408" t="s">
        <v>1828</v>
      </c>
      <c r="B91" s="263">
        <f>'Sources and Uses Budget'!C91</f>
        <v>0</v>
      </c>
      <c r="C91" s="264"/>
      <c r="D91" s="264"/>
      <c r="E91" s="263">
        <f>'Sources and Uses Budget'!S91</f>
        <v>0</v>
      </c>
      <c r="F91" s="264"/>
      <c r="G91" s="264"/>
      <c r="H91" s="263">
        <f>'Sources and Uses Budget'!T91</f>
        <v>0</v>
      </c>
      <c r="I91" s="264"/>
      <c r="J91" s="264"/>
      <c r="K91" s="261"/>
    </row>
    <row r="92" spans="1:11" s="262" customFormat="1">
      <c r="A92" s="408" t="s">
        <v>1829</v>
      </c>
      <c r="B92" s="263">
        <f>'Sources and Uses Budget'!C92</f>
        <v>25000</v>
      </c>
      <c r="C92" s="264"/>
      <c r="D92" s="264"/>
      <c r="E92" s="263">
        <f>'Sources and Uses Budget'!S92</f>
        <v>25000</v>
      </c>
      <c r="F92" s="264"/>
      <c r="G92" s="264"/>
      <c r="H92" s="263">
        <f>'Sources and Uses Budget'!T92</f>
        <v>0</v>
      </c>
      <c r="I92" s="264"/>
      <c r="J92" s="264"/>
      <c r="K92" s="261"/>
    </row>
    <row r="93" spans="1:11" s="262" customFormat="1">
      <c r="A93" s="266" t="str">
        <f>'Sources and Uses Budget'!$A93</f>
        <v>Other: (Specify)</v>
      </c>
      <c r="B93" s="263">
        <f>'Sources and Uses Budget'!C93</f>
        <v>0</v>
      </c>
      <c r="C93" s="264"/>
      <c r="D93" s="264"/>
      <c r="E93" s="263">
        <f>'Sources and Uses Budget'!S93</f>
        <v>0</v>
      </c>
      <c r="F93" s="264"/>
      <c r="G93" s="264"/>
      <c r="H93" s="263">
        <f>'Sources and Uses Budget'!T93</f>
        <v>0</v>
      </c>
      <c r="I93" s="264"/>
      <c r="J93" s="264"/>
      <c r="K93" s="261"/>
    </row>
    <row r="94" spans="1:11" s="262" customFormat="1">
      <c r="A94" s="266" t="str">
        <f>'Sources and Uses Budget'!$A94</f>
        <v>Other: (Specify)</v>
      </c>
      <c r="B94" s="263">
        <f>'Sources and Uses Budget'!C94</f>
        <v>0</v>
      </c>
      <c r="C94" s="264"/>
      <c r="D94" s="264"/>
      <c r="E94" s="263">
        <f>'Sources and Uses Budget'!S94</f>
        <v>0</v>
      </c>
      <c r="F94" s="264"/>
      <c r="G94" s="264"/>
      <c r="H94" s="263">
        <f>'Sources and Uses Budget'!T94</f>
        <v>0</v>
      </c>
      <c r="I94" s="264"/>
      <c r="J94" s="264"/>
      <c r="K94" s="261"/>
    </row>
    <row r="95" spans="1:11" s="262" customFormat="1">
      <c r="A95" s="266" t="str">
        <f>'Sources and Uses Budget'!$A95</f>
        <v>Other: (Specify)</v>
      </c>
      <c r="B95" s="263">
        <f>'Sources and Uses Budget'!C95</f>
        <v>0</v>
      </c>
      <c r="C95" s="264"/>
      <c r="D95" s="264"/>
      <c r="E95" s="263">
        <f>'Sources and Uses Budget'!S95</f>
        <v>0</v>
      </c>
      <c r="F95" s="264"/>
      <c r="G95" s="264"/>
      <c r="H95" s="263">
        <f>'Sources and Uses Budget'!T95</f>
        <v>0</v>
      </c>
      <c r="I95" s="264"/>
      <c r="J95" s="264"/>
      <c r="K95" s="261"/>
    </row>
    <row r="96" spans="1:11" s="262" customFormat="1">
      <c r="A96" s="267" t="s">
        <v>1830</v>
      </c>
      <c r="B96" s="263">
        <f>'Sources and Uses Budget'!C96</f>
        <v>268757</v>
      </c>
      <c r="C96" s="263">
        <f>SUM(C83:C95)</f>
        <v>0</v>
      </c>
      <c r="D96" s="263">
        <f>SUM(D83:D95)</f>
        <v>0</v>
      </c>
      <c r="E96" s="263">
        <f>'Sources and Uses Budget'!S96</f>
        <v>155000</v>
      </c>
      <c r="F96" s="269">
        <f>SUM(F84:F87,F89:F95)</f>
        <v>0</v>
      </c>
      <c r="G96" s="269">
        <f>SUM(G84:G87,G89:G95)</f>
        <v>0</v>
      </c>
      <c r="H96" s="263">
        <f>'Sources and Uses Budget'!T96</f>
        <v>0</v>
      </c>
      <c r="I96" s="263">
        <f>SUM(I84:I87,I89:I95)</f>
        <v>0</v>
      </c>
      <c r="J96" s="263">
        <f>SUM(J84:J87,J89:J95)</f>
        <v>0</v>
      </c>
      <c r="K96" s="261"/>
    </row>
    <row r="97" spans="1:11" s="262" customFormat="1">
      <c r="A97" s="267" t="s">
        <v>1884</v>
      </c>
      <c r="B97" s="263">
        <f>'Sources and Uses Budget'!C97</f>
        <v>51997116</v>
      </c>
      <c r="C97" s="263">
        <f>SUM(C63+C70+C77+C81+C96)</f>
        <v>0</v>
      </c>
      <c r="D97" s="263">
        <f>SUM(D63+D70+D77+D81+D96)</f>
        <v>0</v>
      </c>
      <c r="E97" s="263">
        <f>'Sources and Uses Budget'!S97</f>
        <v>22849603</v>
      </c>
      <c r="F97" s="269">
        <f>SUM(+F63+F70+F81+F96)</f>
        <v>0</v>
      </c>
      <c r="G97" s="269">
        <f>SUM(+G63+G70+G81+G96)</f>
        <v>0</v>
      </c>
      <c r="H97" s="263">
        <f>'Sources and Uses Budget'!T97</f>
        <v>26411867</v>
      </c>
      <c r="I97" s="269">
        <f>SUM(I63+I70+I81+I96)</f>
        <v>0</v>
      </c>
      <c r="J97" s="269">
        <f>SUM(J63+J70+J81+J96)</f>
        <v>0</v>
      </c>
      <c r="K97" s="261"/>
    </row>
    <row r="98" spans="1:11" s="262" customFormat="1" ht="12">
      <c r="A98" s="259" t="s">
        <v>1832</v>
      </c>
      <c r="B98" s="260"/>
      <c r="C98" s="260"/>
      <c r="D98" s="260"/>
      <c r="E98" s="260"/>
      <c r="F98" s="260"/>
      <c r="G98" s="260"/>
      <c r="H98" s="260"/>
      <c r="I98" s="260"/>
      <c r="J98" s="260"/>
      <c r="K98" s="261"/>
    </row>
    <row r="99" spans="1:11" s="262" customFormat="1">
      <c r="A99" s="194" t="s">
        <v>1833</v>
      </c>
      <c r="B99" s="263">
        <f>'Sources and Uses Budget'!C99</f>
        <v>4748033</v>
      </c>
      <c r="C99" s="264"/>
      <c r="D99" s="264"/>
      <c r="E99" s="263">
        <f>'Sources and Uses Budget'!S99</f>
        <v>3427440</v>
      </c>
      <c r="F99" s="264"/>
      <c r="G99" s="264"/>
      <c r="H99" s="263">
        <f>'Sources and Uses Budget'!T99</f>
        <v>1320593</v>
      </c>
      <c r="I99" s="264"/>
      <c r="J99" s="264"/>
      <c r="K99" s="261"/>
    </row>
    <row r="100" spans="1:11" s="262" customFormat="1">
      <c r="A100" s="194" t="s">
        <v>1834</v>
      </c>
      <c r="B100" s="263">
        <f>'Sources and Uses Budget'!C100</f>
        <v>0</v>
      </c>
      <c r="C100" s="264"/>
      <c r="D100" s="264"/>
      <c r="E100" s="263">
        <f>'Sources and Uses Budget'!S100</f>
        <v>0</v>
      </c>
      <c r="F100" s="264"/>
      <c r="G100" s="264"/>
      <c r="H100" s="263">
        <f>'Sources and Uses Budget'!T100</f>
        <v>0</v>
      </c>
      <c r="I100" s="264"/>
      <c r="J100" s="264"/>
      <c r="K100" s="261"/>
    </row>
    <row r="101" spans="1:11" s="262" customFormat="1">
      <c r="A101" s="194" t="s">
        <v>1835</v>
      </c>
      <c r="B101" s="263">
        <f>'Sources and Uses Budget'!C101</f>
        <v>0</v>
      </c>
      <c r="C101" s="264"/>
      <c r="D101" s="264"/>
      <c r="E101" s="263">
        <f>'Sources and Uses Budget'!S101</f>
        <v>0</v>
      </c>
      <c r="F101" s="264"/>
      <c r="G101" s="264"/>
      <c r="H101" s="263">
        <f>'Sources and Uses Budget'!T101</f>
        <v>0</v>
      </c>
      <c r="I101" s="264"/>
      <c r="J101" s="264"/>
      <c r="K101" s="261"/>
    </row>
    <row r="102" spans="1:11" s="262" customFormat="1" ht="12" customHeight="1">
      <c r="A102" s="194" t="s">
        <v>1836</v>
      </c>
      <c r="B102" s="263">
        <f>'Sources and Uses Budget'!C102</f>
        <v>0</v>
      </c>
      <c r="C102" s="264"/>
      <c r="D102" s="264"/>
      <c r="E102" s="263">
        <f>'Sources and Uses Budget'!S102</f>
        <v>0</v>
      </c>
      <c r="F102" s="264"/>
      <c r="G102" s="264"/>
      <c r="H102" s="263">
        <f>'Sources and Uses Budget'!T102</f>
        <v>0</v>
      </c>
      <c r="I102" s="264"/>
      <c r="J102" s="264"/>
      <c r="K102" s="261"/>
    </row>
    <row r="103" spans="1:11" s="262" customFormat="1">
      <c r="A103" s="266" t="str">
        <f>'Sources and Uses Budget'!$A103</f>
        <v>Other: (Specify)</v>
      </c>
      <c r="B103" s="263">
        <f>'Sources and Uses Budget'!C103</f>
        <v>0</v>
      </c>
      <c r="C103" s="264"/>
      <c r="D103" s="264"/>
      <c r="E103" s="263">
        <f>'Sources and Uses Budget'!S103</f>
        <v>0</v>
      </c>
      <c r="F103" s="264"/>
      <c r="G103" s="264"/>
      <c r="H103" s="263">
        <f>'Sources and Uses Budget'!T103</f>
        <v>0</v>
      </c>
      <c r="I103" s="264"/>
      <c r="J103" s="264"/>
      <c r="K103" s="261"/>
    </row>
    <row r="104" spans="1:11" s="262" customFormat="1">
      <c r="A104" s="267" t="s">
        <v>1837</v>
      </c>
      <c r="B104" s="263">
        <f>'Sources and Uses Budget'!C104</f>
        <v>4748033</v>
      </c>
      <c r="C104" s="263">
        <f>SUM(C99:C103)</f>
        <v>0</v>
      </c>
      <c r="D104" s="263">
        <f>SUM(D99:D103)</f>
        <v>0</v>
      </c>
      <c r="E104" s="263">
        <f>'Sources and Uses Budget'!S104</f>
        <v>3427440</v>
      </c>
      <c r="F104" s="269">
        <f>SUM(F99:F103)</f>
        <v>0</v>
      </c>
      <c r="G104" s="269">
        <f>SUM(G99:G103)</f>
        <v>0</v>
      </c>
      <c r="H104" s="263">
        <f>'Sources and Uses Budget'!T104</f>
        <v>1320593</v>
      </c>
      <c r="I104" s="269">
        <f>SUM(I99:I103)</f>
        <v>0</v>
      </c>
      <c r="J104" s="269">
        <f>SUM(J99:J103)</f>
        <v>0</v>
      </c>
      <c r="K104" s="261"/>
    </row>
    <row r="105" spans="1:11" s="262" customFormat="1">
      <c r="A105" s="267" t="s">
        <v>1885</v>
      </c>
      <c r="B105" s="263">
        <f>'Sources and Uses Budget'!C105</f>
        <v>56745149</v>
      </c>
      <c r="C105" s="269">
        <f>SUM(C97+C104)</f>
        <v>0</v>
      </c>
      <c r="D105" s="269">
        <f>SUM(D97+D104)</f>
        <v>0</v>
      </c>
      <c r="E105" s="263">
        <f>'Sources and Uses Budget'!S105</f>
        <v>26277043</v>
      </c>
      <c r="F105" s="269">
        <f>F97+F104</f>
        <v>0</v>
      </c>
      <c r="G105" s="269">
        <f>G97+G104</f>
        <v>0</v>
      </c>
      <c r="H105" s="263">
        <f>'Sources and Uses Budget'!T105</f>
        <v>27732460</v>
      </c>
      <c r="I105" s="269">
        <f>I97+I104</f>
        <v>0</v>
      </c>
      <c r="J105" s="269">
        <f>J97+J104</f>
        <v>0</v>
      </c>
      <c r="K105" s="261"/>
    </row>
    <row r="106" spans="1:11" s="262" customFormat="1">
      <c r="A106" s="273"/>
      <c r="B106" s="274"/>
      <c r="C106" s="274"/>
      <c r="D106" s="274"/>
      <c r="E106" s="263">
        <f>'Sources and Uses Budget'!S106</f>
        <v>0</v>
      </c>
      <c r="F106" s="264"/>
      <c r="G106" s="264"/>
      <c r="H106" s="263">
        <f>'Sources and Uses Budget'!T106</f>
        <v>0</v>
      </c>
      <c r="I106" s="264"/>
      <c r="J106" s="264"/>
      <c r="K106" s="261"/>
    </row>
    <row r="107" spans="1:11" s="262" customFormat="1">
      <c r="A107" s="275"/>
      <c r="B107" s="276"/>
      <c r="C107" s="274"/>
      <c r="D107" s="355" t="s">
        <v>1886</v>
      </c>
      <c r="E107" s="263">
        <f>'Sources and Uses Budget'!S107</f>
        <v>26277043</v>
      </c>
      <c r="F107" s="269">
        <f>F105+F106</f>
        <v>0</v>
      </c>
      <c r="G107" s="269">
        <f>G105+G106</f>
        <v>0</v>
      </c>
      <c r="H107" s="263">
        <f>'Sources and Uses Budget'!T107</f>
        <v>27732460</v>
      </c>
      <c r="I107" s="269">
        <f>I105+I106</f>
        <v>0</v>
      </c>
      <c r="J107" s="269">
        <f>J105+J106</f>
        <v>0</v>
      </c>
      <c r="K107" s="261"/>
    </row>
    <row r="108" spans="1:11" s="262" customFormat="1">
      <c r="A108" s="275"/>
      <c r="B108" s="277"/>
      <c r="C108" s="277"/>
      <c r="D108" s="277"/>
      <c r="J108" s="278"/>
      <c r="K108" s="261"/>
    </row>
    <row r="109" spans="1:11" s="262" customFormat="1">
      <c r="A109" s="275"/>
      <c r="B109" s="277"/>
      <c r="C109" s="277"/>
      <c r="D109" s="277"/>
      <c r="J109" s="278"/>
      <c r="K109" s="261"/>
    </row>
    <row r="110" spans="1:11" s="262" customFormat="1">
      <c r="A110" s="275"/>
      <c r="B110" s="277"/>
      <c r="C110" s="277"/>
      <c r="D110" s="277"/>
      <c r="J110" s="278"/>
      <c r="K110" s="261"/>
    </row>
    <row r="111" spans="1:11" s="262" customFormat="1" ht="13">
      <c r="A111" s="279"/>
      <c r="B111" s="277"/>
      <c r="C111" s="277"/>
      <c r="D111" s="277"/>
      <c r="J111" s="278"/>
      <c r="K111" s="261"/>
    </row>
    <row r="112" spans="1:11" s="262" customFormat="1" ht="13">
      <c r="A112" s="279"/>
      <c r="B112" s="277"/>
      <c r="C112" s="277"/>
      <c r="D112" s="277"/>
      <c r="J112" s="278"/>
      <c r="K112" s="261"/>
    </row>
    <row r="113" spans="1:11" s="262" customFormat="1" ht="15">
      <c r="A113" s="280"/>
      <c r="B113" s="277"/>
      <c r="C113" s="277"/>
      <c r="D113" s="277"/>
      <c r="J113" s="278"/>
      <c r="K113" s="261"/>
    </row>
    <row r="114" spans="1:11" s="262" customFormat="1" ht="13">
      <c r="A114" s="279"/>
      <c r="J114" s="278"/>
      <c r="K114" s="261"/>
    </row>
    <row r="115" spans="1:11" s="262" customFormat="1" ht="15">
      <c r="A115" s="280"/>
      <c r="J115" s="278"/>
      <c r="K115" s="261"/>
    </row>
    <row r="116" spans="1:11" s="262" customFormat="1" ht="15">
      <c r="A116" s="280"/>
      <c r="J116" s="278"/>
      <c r="K116" s="261"/>
    </row>
    <row r="117" spans="1:11" s="262" customFormat="1">
      <c r="B117" s="277"/>
      <c r="C117" s="277"/>
      <c r="D117" s="277"/>
      <c r="J117" s="278"/>
      <c r="K117" s="261"/>
    </row>
    <row r="118" spans="1:11" s="262" customFormat="1">
      <c r="J118" s="278"/>
      <c r="K118" s="261"/>
    </row>
    <row r="119" spans="1:11" s="262" customFormat="1">
      <c r="J119" s="278"/>
      <c r="K119" s="261"/>
    </row>
    <row r="120" spans="1:11" s="262" customFormat="1">
      <c r="J120" s="278"/>
      <c r="K120" s="261"/>
    </row>
    <row r="121" spans="1:11" s="262" customFormat="1" ht="15">
      <c r="A121" s="280"/>
      <c r="J121" s="278"/>
      <c r="K121" s="261"/>
    </row>
    <row r="122" spans="1:11" s="282" customFormat="1" ht="15.5">
      <c r="A122" s="281"/>
      <c r="J122" s="283"/>
      <c r="K122" s="284"/>
    </row>
    <row r="123" spans="1:11" s="262" customFormat="1">
      <c r="A123" s="285"/>
      <c r="J123" s="278"/>
      <c r="K123" s="261"/>
    </row>
    <row r="124" spans="1:11" s="262" customFormat="1">
      <c r="B124" s="286"/>
      <c r="D124" s="1799"/>
      <c r="E124" s="1273"/>
      <c r="F124" s="1273"/>
      <c r="G124" s="1273"/>
      <c r="H124" s="1273"/>
      <c r="I124" s="1273"/>
      <c r="J124" s="278"/>
      <c r="K124" s="261"/>
    </row>
    <row r="125" spans="1:11" s="262" customFormat="1" ht="12.5">
      <c r="A125" s="287"/>
      <c r="B125" s="286"/>
      <c r="C125" s="287"/>
      <c r="D125" s="1273"/>
      <c r="E125" s="1273"/>
      <c r="F125" s="1273"/>
      <c r="G125" s="1273"/>
      <c r="H125" s="1273"/>
      <c r="I125" s="1273"/>
      <c r="J125" s="278"/>
      <c r="K125" s="261"/>
    </row>
    <row r="126" spans="1:11" s="262" customFormat="1" ht="12.5">
      <c r="A126" s="287"/>
      <c r="B126" s="286"/>
      <c r="C126" s="287"/>
      <c r="D126" s="1273"/>
      <c r="E126" s="1273"/>
      <c r="F126" s="1273"/>
      <c r="G126" s="1273"/>
      <c r="H126" s="1273"/>
      <c r="I126" s="1273"/>
      <c r="J126" s="278"/>
      <c r="K126" s="261"/>
    </row>
    <row r="127" spans="1:11" s="262" customFormat="1" ht="12.5">
      <c r="A127" s="287"/>
      <c r="B127" s="286"/>
      <c r="C127" s="287"/>
      <c r="D127" s="288"/>
      <c r="E127" s="287"/>
      <c r="F127" s="287"/>
      <c r="G127" s="287"/>
      <c r="J127" s="278"/>
      <c r="K127" s="261"/>
    </row>
    <row r="128" spans="1:11" s="262" customFormat="1" ht="12.5">
      <c r="A128" s="287"/>
      <c r="B128" s="286"/>
      <c r="C128" s="287"/>
      <c r="D128" s="288"/>
      <c r="E128" s="287"/>
      <c r="F128" s="287"/>
      <c r="G128" s="287"/>
      <c r="J128" s="278"/>
      <c r="K128" s="261"/>
    </row>
    <row r="129" spans="1:11" s="262" customFormat="1" ht="12.5">
      <c r="A129" s="287"/>
      <c r="B129" s="286"/>
      <c r="C129" s="287"/>
      <c r="D129" s="287"/>
      <c r="E129" s="287"/>
      <c r="F129" s="287"/>
      <c r="G129" s="287"/>
      <c r="J129" s="278"/>
      <c r="K129" s="261"/>
    </row>
    <row r="130" spans="1:11" s="262" customFormat="1" ht="12.5">
      <c r="A130" s="287"/>
      <c r="B130" s="286"/>
      <c r="C130" s="287"/>
      <c r="D130" s="287"/>
      <c r="E130" s="287"/>
      <c r="F130" s="287"/>
      <c r="G130" s="287"/>
      <c r="J130" s="278"/>
      <c r="K130" s="261"/>
    </row>
    <row r="131" spans="1:11" s="262" customFormat="1" ht="12.5">
      <c r="A131" s="287"/>
      <c r="B131" s="289"/>
      <c r="C131" s="287"/>
      <c r="D131" s="287"/>
      <c r="E131" s="287"/>
      <c r="F131" s="287"/>
      <c r="G131" s="287"/>
      <c r="J131" s="278"/>
      <c r="K131" s="261"/>
    </row>
    <row r="132" spans="1:11" s="262" customFormat="1" ht="13">
      <c r="A132" s="290"/>
      <c r="B132" s="291"/>
      <c r="C132" s="287"/>
      <c r="D132" s="292"/>
      <c r="E132" s="287"/>
      <c r="F132" s="287"/>
      <c r="G132" s="287"/>
      <c r="J132" s="278"/>
      <c r="K132" s="261"/>
    </row>
    <row r="133" spans="1:11" s="262" customFormat="1" ht="12.5">
      <c r="A133" s="293"/>
      <c r="B133" s="287"/>
      <c r="C133" s="287"/>
      <c r="D133" s="287"/>
      <c r="E133" s="287"/>
      <c r="F133" s="287"/>
      <c r="G133" s="287"/>
      <c r="J133" s="278"/>
      <c r="K133" s="261"/>
    </row>
    <row r="134" spans="1:11" s="262" customFormat="1" ht="12.5">
      <c r="A134" s="293"/>
      <c r="B134" s="287"/>
      <c r="C134" s="287"/>
      <c r="D134" s="287"/>
      <c r="E134" s="287"/>
      <c r="F134" s="287"/>
      <c r="G134" s="287"/>
      <c r="J134" s="278"/>
      <c r="K134" s="261"/>
    </row>
    <row r="135" spans="1:11" s="262" customFormat="1" ht="12.5">
      <c r="A135" s="294"/>
      <c r="B135" s="287"/>
      <c r="C135" s="287"/>
      <c r="D135" s="287"/>
      <c r="E135" s="287"/>
      <c r="F135" s="287"/>
      <c r="G135" s="287"/>
      <c r="J135" s="278"/>
      <c r="K135" s="261"/>
    </row>
    <row r="136" spans="1:11" s="262" customFormat="1" ht="13">
      <c r="A136" s="279"/>
      <c r="B136" s="287"/>
      <c r="C136" s="287"/>
      <c r="D136" s="287"/>
      <c r="E136" s="287"/>
      <c r="F136" s="287"/>
      <c r="G136" s="287"/>
      <c r="J136" s="278"/>
      <c r="K136" s="261"/>
    </row>
    <row r="137" spans="1:11" ht="12.5">
      <c r="A137" s="293"/>
      <c r="B137" s="287"/>
      <c r="C137" s="287"/>
      <c r="D137" s="287"/>
      <c r="E137" s="287"/>
      <c r="F137" s="287"/>
      <c r="G137" s="287"/>
    </row>
    <row r="138" spans="1:11" ht="12" customHeight="1">
      <c r="A138" s="293"/>
      <c r="B138" s="287"/>
      <c r="C138" s="287"/>
      <c r="D138" s="287"/>
      <c r="E138" s="287"/>
      <c r="F138" s="287"/>
      <c r="G138" s="287"/>
    </row>
    <row r="139" spans="1:11" ht="12" customHeight="1">
      <c r="A139" s="1800"/>
      <c r="B139" s="1273"/>
      <c r="C139" s="1273"/>
      <c r="D139" s="258"/>
      <c r="E139" s="287"/>
      <c r="F139" s="287"/>
      <c r="G139" s="287"/>
    </row>
    <row r="140" spans="1:11" ht="12" customHeight="1">
      <c r="A140" s="1244"/>
      <c r="B140" s="1244"/>
      <c r="C140" s="1244"/>
      <c r="D140" s="258"/>
      <c r="E140" s="287"/>
      <c r="F140" s="287"/>
      <c r="G140" s="287"/>
    </row>
    <row r="141" spans="1:11" ht="12" customHeight="1">
      <c r="A141" s="293"/>
      <c r="B141" s="287"/>
      <c r="C141" s="287"/>
      <c r="D141" s="258"/>
      <c r="E141" s="287"/>
      <c r="F141" s="287"/>
      <c r="G141" s="287"/>
      <c r="H141" s="296"/>
      <c r="I141" s="296"/>
    </row>
    <row r="142" spans="1:11" ht="12" customHeight="1">
      <c r="A142" s="298"/>
      <c r="B142" s="258"/>
      <c r="C142" s="258"/>
      <c r="D142" s="258"/>
      <c r="E142" s="287"/>
      <c r="F142" s="287"/>
      <c r="G142" s="287"/>
      <c r="H142" s="296"/>
      <c r="I142" s="296"/>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6328125" defaultRowHeight="15.75" customHeight="1"/>
  <cols>
    <col min="1" max="8" width="2.6328125" style="1075"/>
    <col min="9" max="9" width="7.6328125" style="1075" customWidth="1"/>
    <col min="10" max="13" width="2.6328125" style="1075"/>
    <col min="14" max="14" width="4.6328125" style="1075" customWidth="1"/>
    <col min="15" max="19" width="2.6328125" style="1075"/>
    <col min="20" max="20" width="3.6328125" style="1075" customWidth="1"/>
    <col min="21" max="37" width="2.6328125" style="1075"/>
    <col min="38" max="38" width="3" style="1075" customWidth="1"/>
    <col min="39" max="45" width="2.6328125" style="1075"/>
    <col min="46" max="46" width="4.6328125" style="1075" customWidth="1"/>
    <col min="47" max="64" width="2.6328125" style="1075"/>
    <col min="65" max="65" width="10.453125" style="1075" hidden="1" customWidth="1"/>
    <col min="66" max="66" width="5.453125" style="1144" bestFit="1" customWidth="1"/>
    <col min="67" max="68" width="5.453125" style="1144" customWidth="1"/>
    <col min="69" max="69" width="8" style="1144" customWidth="1"/>
    <col min="70" max="70" width="6" style="1144" customWidth="1"/>
    <col min="71" max="71" width="6.1796875" style="1144" customWidth="1"/>
    <col min="72" max="76" width="5.453125" style="1144" customWidth="1"/>
    <col min="77" max="77" width="6.1796875" style="1144" bestFit="1" customWidth="1"/>
    <col min="78" max="78" width="5.453125" style="1075" bestFit="1" customWidth="1"/>
    <col min="79" max="16384" width="2.6328125" style="1075"/>
  </cols>
  <sheetData>
    <row r="1" spans="1:65" ht="15.75" customHeight="1">
      <c r="A1" s="1812" t="s">
        <v>1887</v>
      </c>
      <c r="B1" s="1813"/>
      <c r="C1" s="1813"/>
      <c r="D1" s="1813"/>
      <c r="E1" s="1813"/>
      <c r="F1" s="1813"/>
      <c r="G1" s="1813"/>
      <c r="H1" s="1813"/>
      <c r="I1" s="1813"/>
      <c r="J1" s="1813"/>
      <c r="K1" s="1813"/>
      <c r="L1" s="1813"/>
      <c r="M1" s="1813"/>
      <c r="N1" s="1813"/>
      <c r="O1" s="1813"/>
      <c r="P1" s="1813"/>
      <c r="Q1" s="1813"/>
      <c r="R1" s="1813"/>
      <c r="S1" s="1813"/>
      <c r="T1" s="1813"/>
      <c r="U1" s="1813"/>
      <c r="V1" s="1813"/>
      <c r="W1" s="1813"/>
      <c r="X1" s="1813"/>
      <c r="Y1" s="1813"/>
      <c r="Z1" s="1813"/>
      <c r="AA1" s="1813"/>
      <c r="AB1" s="1813"/>
      <c r="AC1" s="1813"/>
      <c r="AD1" s="1813"/>
      <c r="AE1" s="1813"/>
      <c r="AF1" s="1813"/>
      <c r="AG1" s="1813"/>
      <c r="AH1" s="1813"/>
      <c r="AI1" s="1813"/>
      <c r="AJ1" s="1813"/>
      <c r="AK1" s="1813"/>
      <c r="AL1" s="1813"/>
      <c r="AM1" s="1813"/>
      <c r="AN1" s="1813"/>
      <c r="AO1" s="1813"/>
      <c r="AP1" s="1813"/>
      <c r="AQ1" s="1813"/>
      <c r="AR1" s="1813"/>
      <c r="AS1" s="1813"/>
      <c r="AT1" s="1813"/>
      <c r="AU1" s="1813"/>
      <c r="AV1" s="1813"/>
      <c r="AW1" s="1813"/>
      <c r="AX1" s="1813"/>
      <c r="AY1" s="1813"/>
      <c r="AZ1" s="1813"/>
      <c r="BA1" s="1813"/>
      <c r="BB1" s="1813"/>
      <c r="BC1" s="1813"/>
      <c r="BD1" s="1813"/>
      <c r="BE1" s="1814"/>
    </row>
    <row r="2" spans="1:65" ht="15.75" customHeight="1">
      <c r="A2" s="1815" t="s">
        <v>1888</v>
      </c>
      <c r="B2" s="1816"/>
      <c r="C2" s="1816"/>
      <c r="D2" s="1816"/>
      <c r="E2" s="1816"/>
      <c r="F2" s="1816"/>
      <c r="G2" s="1816"/>
      <c r="H2" s="1816"/>
      <c r="I2" s="1816"/>
      <c r="J2" s="1816"/>
      <c r="K2" s="1816"/>
      <c r="L2" s="1816"/>
      <c r="M2" s="1816"/>
      <c r="N2" s="1816"/>
      <c r="O2" s="1816"/>
      <c r="P2" s="1816"/>
      <c r="Q2" s="1816"/>
      <c r="R2" s="1816"/>
      <c r="S2" s="1816"/>
      <c r="T2" s="1816"/>
      <c r="U2" s="1816"/>
      <c r="V2" s="1816"/>
      <c r="W2" s="1816"/>
      <c r="X2" s="1816"/>
      <c r="Y2" s="1816"/>
      <c r="Z2" s="1816"/>
      <c r="AA2" s="1816"/>
      <c r="AB2" s="1816"/>
      <c r="AC2" s="1816"/>
      <c r="AD2" s="1816"/>
      <c r="AE2" s="1816"/>
      <c r="AF2" s="1816"/>
      <c r="AG2" s="1816"/>
      <c r="AH2" s="1816"/>
      <c r="AI2" s="1816"/>
      <c r="AJ2" s="1816"/>
      <c r="AK2" s="1816"/>
      <c r="AL2" s="1816"/>
      <c r="AM2" s="1816"/>
      <c r="AN2" s="1816"/>
      <c r="AO2" s="1816"/>
      <c r="AP2" s="1816"/>
      <c r="AQ2" s="1816"/>
      <c r="AR2" s="1816"/>
      <c r="AS2" s="1816"/>
      <c r="AT2" s="1816"/>
      <c r="AU2" s="1816"/>
      <c r="AV2" s="1816"/>
      <c r="AW2" s="1816"/>
      <c r="AX2" s="1816"/>
      <c r="AY2" s="1816"/>
      <c r="AZ2" s="1816"/>
      <c r="BA2" s="1816"/>
      <c r="BB2" s="1816"/>
      <c r="BC2" s="1816"/>
      <c r="BD2" s="1816"/>
      <c r="BE2" s="1817"/>
      <c r="BF2" s="1076"/>
    </row>
    <row r="3" spans="1:65" ht="15.75" customHeight="1" thickBot="1">
      <c r="A3" s="1077"/>
      <c r="B3" s="1078"/>
      <c r="C3" s="1078"/>
      <c r="D3" s="1078"/>
      <c r="E3" s="1078"/>
      <c r="F3" s="1078"/>
      <c r="G3" s="1078"/>
      <c r="H3" s="1078"/>
      <c r="I3" s="1078"/>
      <c r="J3" s="1078"/>
      <c r="K3" s="1078"/>
      <c r="L3" s="1078"/>
      <c r="M3" s="1078"/>
      <c r="N3" s="1078"/>
      <c r="O3" s="1078"/>
      <c r="P3" s="1078"/>
      <c r="Q3" s="1078"/>
      <c r="R3" s="1078"/>
      <c r="S3" s="1078"/>
      <c r="T3" s="1078"/>
      <c r="U3" s="1078"/>
      <c r="V3" s="1078"/>
      <c r="W3" s="1078"/>
      <c r="X3" s="1078"/>
      <c r="Y3" s="1078"/>
      <c r="Z3" s="1078"/>
      <c r="AA3" s="1078"/>
      <c r="AB3" s="1078"/>
      <c r="AC3" s="1078"/>
      <c r="AD3" s="1078"/>
      <c r="AE3" s="1078"/>
      <c r="AF3" s="1078"/>
      <c r="AG3" s="1078"/>
      <c r="AH3" s="1078"/>
      <c r="AI3" s="1078"/>
      <c r="AJ3" s="1078"/>
      <c r="AK3" s="1078"/>
      <c r="AL3" s="1078"/>
      <c r="AM3" s="1078"/>
      <c r="AN3" s="1078"/>
      <c r="AO3" s="1078"/>
      <c r="AP3" s="1078"/>
      <c r="AQ3" s="1078"/>
      <c r="AR3" s="1078"/>
      <c r="AS3" s="1078"/>
      <c r="AT3" s="1078"/>
      <c r="AU3" s="1078"/>
      <c r="AV3" s="1078"/>
      <c r="AW3" s="1078"/>
      <c r="AX3" s="1078"/>
      <c r="AY3" s="1078"/>
      <c r="AZ3" s="1078"/>
      <c r="BA3" s="1078"/>
      <c r="BB3" s="1078"/>
      <c r="BC3" s="1078"/>
      <c r="BD3" s="1078"/>
      <c r="BE3" s="1079"/>
    </row>
    <row r="4" spans="1:65" ht="15.75" customHeight="1" thickBot="1">
      <c r="A4" s="1077"/>
      <c r="B4" s="1080" t="s">
        <v>77</v>
      </c>
      <c r="C4" s="1080"/>
      <c r="D4" s="1080"/>
      <c r="E4" s="1080"/>
      <c r="F4" s="1080"/>
      <c r="G4" s="1078"/>
      <c r="H4" s="1078"/>
      <c r="I4" s="1078"/>
      <c r="J4" s="1078"/>
      <c r="K4" s="1078"/>
      <c r="L4" s="1804" t="str">
        <f>IF(Application!H18="","",Application!H18)</f>
        <v>San Clemente Family Homes</v>
      </c>
      <c r="M4" s="1805"/>
      <c r="N4" s="1805"/>
      <c r="O4" s="1805"/>
      <c r="P4" s="1805"/>
      <c r="Q4" s="1805"/>
      <c r="R4" s="1805"/>
      <c r="S4" s="1805"/>
      <c r="T4" s="1805"/>
      <c r="U4" s="1805"/>
      <c r="V4" s="1805"/>
      <c r="W4" s="1805"/>
      <c r="X4" s="1805"/>
      <c r="Y4" s="1805"/>
      <c r="Z4" s="1805"/>
      <c r="AA4" s="1805"/>
      <c r="AB4" s="1805"/>
      <c r="AC4" s="1806"/>
      <c r="AD4" s="1078"/>
      <c r="AE4" s="1078"/>
      <c r="AF4" s="1818" t="s">
        <v>1889</v>
      </c>
      <c r="AG4" s="1818"/>
      <c r="AH4" s="1818"/>
      <c r="AI4" s="1818"/>
      <c r="AJ4" s="1818"/>
      <c r="AK4" s="1818"/>
      <c r="AL4" s="1818"/>
      <c r="AM4" s="1818"/>
      <c r="AN4" s="1818"/>
      <c r="AO4" s="1818"/>
      <c r="AP4" s="1819"/>
      <c r="AQ4" s="1820"/>
      <c r="AR4" s="1820"/>
      <c r="AS4" s="1820"/>
      <c r="AT4" s="1820"/>
      <c r="AU4" s="1820"/>
      <c r="AV4" s="1078"/>
      <c r="AW4" s="1078"/>
      <c r="AX4" s="1078"/>
      <c r="AY4" s="1078"/>
      <c r="AZ4" s="1078"/>
      <c r="BA4" s="1078"/>
      <c r="BB4" s="1078"/>
      <c r="BC4" s="1078"/>
      <c r="BD4" s="1078"/>
      <c r="BE4" s="1079"/>
    </row>
    <row r="5" spans="1:65" ht="15.75" customHeight="1" thickBot="1">
      <c r="A5" s="1077"/>
      <c r="B5" s="1078"/>
      <c r="C5" s="1078"/>
      <c r="D5" s="1078"/>
      <c r="E5" s="1078"/>
      <c r="F5" s="1078"/>
      <c r="G5" s="1078"/>
      <c r="H5" s="1078"/>
      <c r="I5" s="1078"/>
      <c r="J5" s="1078"/>
      <c r="K5" s="1078"/>
      <c r="L5" s="1078"/>
      <c r="M5" s="1078"/>
      <c r="N5" s="1078"/>
      <c r="O5" s="1078"/>
      <c r="P5" s="1078"/>
      <c r="Q5" s="1078"/>
      <c r="R5" s="1078"/>
      <c r="S5" s="1078"/>
      <c r="T5" s="1078"/>
      <c r="U5" s="1078"/>
      <c r="V5" s="1078"/>
      <c r="W5" s="1078"/>
      <c r="X5" s="1078"/>
      <c r="Y5" s="1078"/>
      <c r="Z5" s="1078"/>
      <c r="AA5" s="1078"/>
      <c r="AB5" s="1078"/>
      <c r="AC5" s="1078"/>
      <c r="AD5" s="1078"/>
      <c r="AE5" s="1078"/>
      <c r="AF5" s="1818" t="s">
        <v>1890</v>
      </c>
      <c r="AG5" s="1818"/>
      <c r="AH5" s="1818"/>
      <c r="AI5" s="1818"/>
      <c r="AJ5" s="1818"/>
      <c r="AK5" s="1818"/>
      <c r="AL5" s="1818"/>
      <c r="AM5" s="1818"/>
      <c r="AN5" s="1818"/>
      <c r="AO5" s="1818"/>
      <c r="AP5" s="1819"/>
      <c r="AQ5" s="1820"/>
      <c r="AR5" s="1820"/>
      <c r="AS5" s="1820"/>
      <c r="AT5" s="1820"/>
      <c r="AU5" s="1820"/>
      <c r="AV5" s="1078"/>
      <c r="AW5" s="1078"/>
      <c r="AX5" s="1078"/>
      <c r="AY5" s="1078"/>
      <c r="AZ5" s="1078"/>
      <c r="BA5" s="1078"/>
      <c r="BB5" s="1078"/>
      <c r="BC5" s="1078"/>
      <c r="BD5" s="1078"/>
      <c r="BE5" s="1079"/>
    </row>
    <row r="6" spans="1:65" ht="15.75" customHeight="1" thickBot="1">
      <c r="A6" s="1077"/>
      <c r="B6" s="1080" t="s">
        <v>1891</v>
      </c>
      <c r="C6" s="1078"/>
      <c r="D6" s="1078"/>
      <c r="E6" s="1078"/>
      <c r="F6" s="1078"/>
      <c r="G6" s="1078"/>
      <c r="H6" s="1078"/>
      <c r="I6" s="1078"/>
      <c r="J6" s="1078"/>
      <c r="K6" s="1078"/>
      <c r="L6" s="1804" t="str">
        <f>IF(Application!H16="","",Application!H16)</f>
        <v>San Clemente II Housing Partners, L.P.</v>
      </c>
      <c r="M6" s="1805"/>
      <c r="N6" s="1805"/>
      <c r="O6" s="1805"/>
      <c r="P6" s="1805"/>
      <c r="Q6" s="1805"/>
      <c r="R6" s="1805"/>
      <c r="S6" s="1805"/>
      <c r="T6" s="1805"/>
      <c r="U6" s="1805"/>
      <c r="V6" s="1805"/>
      <c r="W6" s="1805"/>
      <c r="X6" s="1805"/>
      <c r="Y6" s="1805"/>
      <c r="Z6" s="1805"/>
      <c r="AA6" s="1805"/>
      <c r="AB6" s="1805"/>
      <c r="AC6" s="1806"/>
      <c r="AD6" s="1078"/>
      <c r="AE6" s="1078"/>
      <c r="AF6" s="1807" t="s">
        <v>1892</v>
      </c>
      <c r="AG6" s="1807"/>
      <c r="AH6" s="1807"/>
      <c r="AI6" s="1807"/>
      <c r="AJ6" s="1807"/>
      <c r="AK6" s="1807"/>
      <c r="AL6" s="1807"/>
      <c r="AM6" s="1807"/>
      <c r="AN6" s="1807"/>
      <c r="AO6" s="1807"/>
      <c r="AP6" s="1808"/>
      <c r="AQ6" s="1808"/>
      <c r="AR6" s="1808"/>
      <c r="AS6" s="1808"/>
      <c r="AT6" s="1808"/>
      <c r="AU6" s="1808"/>
      <c r="AV6" s="1078"/>
      <c r="AW6" s="1078"/>
      <c r="AX6" s="1078"/>
      <c r="AY6" s="1078"/>
      <c r="AZ6" s="1078"/>
      <c r="BA6" s="1078"/>
      <c r="BB6" s="1078"/>
      <c r="BC6" s="1078"/>
      <c r="BD6" s="1078"/>
      <c r="BE6" s="1079"/>
    </row>
    <row r="7" spans="1:65" ht="15" thickBot="1">
      <c r="A7" s="1077"/>
      <c r="B7" s="1078"/>
      <c r="C7" s="1078"/>
      <c r="D7" s="1078"/>
      <c r="E7" s="1078"/>
      <c r="F7" s="1078"/>
      <c r="G7" s="1078"/>
      <c r="H7" s="1078"/>
      <c r="I7" s="1078"/>
      <c r="J7" s="1078"/>
      <c r="K7" s="1078"/>
      <c r="L7" s="1078"/>
      <c r="M7" s="1078"/>
      <c r="N7" s="1078"/>
      <c r="O7" s="1078"/>
      <c r="P7" s="1078"/>
      <c r="Q7" s="1078"/>
      <c r="R7" s="1078"/>
      <c r="S7" s="1078"/>
      <c r="T7" s="1078"/>
      <c r="U7" s="1078"/>
      <c r="V7" s="1078"/>
      <c r="W7" s="1078"/>
      <c r="X7" s="1078"/>
      <c r="Y7" s="1078"/>
      <c r="Z7" s="1078"/>
      <c r="AA7" s="1078"/>
      <c r="AB7" s="1078"/>
      <c r="AC7" s="1078"/>
      <c r="AD7" s="1078"/>
      <c r="AE7" s="1078"/>
      <c r="AF7" s="1807" t="s">
        <v>1893</v>
      </c>
      <c r="AG7" s="1807"/>
      <c r="AH7" s="1807"/>
      <c r="AI7" s="1807"/>
      <c r="AJ7" s="1807"/>
      <c r="AK7" s="1807"/>
      <c r="AL7" s="1807"/>
      <c r="AM7" s="1807"/>
      <c r="AN7" s="1807"/>
      <c r="AO7" s="1807"/>
      <c r="AP7" s="1808"/>
      <c r="AQ7" s="1808"/>
      <c r="AR7" s="1808"/>
      <c r="AS7" s="1808"/>
      <c r="AT7" s="1808"/>
      <c r="AU7" s="1808"/>
      <c r="AV7" s="1078"/>
      <c r="AW7" s="1078"/>
      <c r="AX7" s="1078"/>
      <c r="AY7" s="1078"/>
      <c r="AZ7" s="1078"/>
      <c r="BA7" s="1078"/>
      <c r="BB7" s="1078"/>
      <c r="BC7" s="1078"/>
      <c r="BD7" s="1078"/>
      <c r="BE7" s="1079"/>
    </row>
    <row r="8" spans="1:65" ht="15" thickBot="1">
      <c r="A8" s="1077"/>
      <c r="B8" s="1080" t="s">
        <v>1894</v>
      </c>
      <c r="C8" s="1078"/>
      <c r="D8" s="1078"/>
      <c r="E8" s="1078"/>
      <c r="F8" s="1078"/>
      <c r="G8" s="1078"/>
      <c r="H8" s="1078"/>
      <c r="I8" s="1078"/>
      <c r="J8" s="1078"/>
      <c r="K8" s="1078"/>
      <c r="L8" s="1078"/>
      <c r="M8" s="1078"/>
      <c r="N8" s="1078"/>
      <c r="O8" s="1078"/>
      <c r="P8" s="1078"/>
      <c r="Q8" s="1078"/>
      <c r="R8" s="1078"/>
      <c r="S8" s="1078"/>
      <c r="T8" s="1078"/>
      <c r="U8" s="1078"/>
      <c r="V8" s="1078"/>
      <c r="W8" s="1078"/>
      <c r="X8" s="1078"/>
      <c r="Y8" s="1078"/>
      <c r="Z8" s="1078"/>
      <c r="AA8" s="1078"/>
      <c r="AB8" s="1809" t="str">
        <f>Application!T197</f>
        <v>No</v>
      </c>
      <c r="AC8" s="1810"/>
      <c r="AD8" s="1811"/>
      <c r="AE8" s="1078"/>
      <c r="AF8" s="1807" t="s">
        <v>1895</v>
      </c>
      <c r="AG8" s="1807"/>
      <c r="AH8" s="1807"/>
      <c r="AI8" s="1807"/>
      <c r="AJ8" s="1807"/>
      <c r="AK8" s="1807"/>
      <c r="AL8" s="1807"/>
      <c r="AM8" s="1807"/>
      <c r="AN8" s="1807"/>
      <c r="AO8" s="1807"/>
      <c r="AP8" s="1808" t="s">
        <v>684</v>
      </c>
      <c r="AQ8" s="1808"/>
      <c r="AR8" s="1808"/>
      <c r="AS8" s="1808"/>
      <c r="AT8" s="1808"/>
      <c r="AU8" s="1808"/>
      <c r="AV8" s="1078"/>
      <c r="AW8" s="1078"/>
      <c r="AX8" s="1078"/>
      <c r="AY8" s="1078"/>
      <c r="AZ8" s="1078"/>
      <c r="BA8" s="1078"/>
      <c r="BB8" s="1078"/>
      <c r="BC8" s="1078"/>
      <c r="BD8" s="1078"/>
      <c r="BE8" s="1079"/>
      <c r="BM8" s="1075" t="s">
        <v>1896</v>
      </c>
    </row>
    <row r="9" spans="1:65" ht="14.5">
      <c r="A9" s="1078"/>
      <c r="B9" s="1078"/>
      <c r="C9" s="1078"/>
      <c r="D9" s="1078"/>
      <c r="E9" s="1078"/>
      <c r="F9" s="1078"/>
      <c r="G9" s="1078"/>
      <c r="H9" s="1078"/>
      <c r="I9" s="1078"/>
      <c r="J9" s="1078"/>
      <c r="K9" s="1078"/>
      <c r="L9" s="1078"/>
      <c r="M9" s="1078"/>
      <c r="N9" s="1078"/>
      <c r="O9" s="1078"/>
      <c r="P9" s="1078"/>
      <c r="Q9" s="1078"/>
      <c r="R9" s="1078"/>
      <c r="S9" s="1078"/>
      <c r="T9" s="1078"/>
      <c r="U9" s="1078"/>
      <c r="V9" s="1078"/>
      <c r="W9" s="1078"/>
      <c r="X9" s="1078"/>
      <c r="Y9" s="1078"/>
      <c r="Z9" s="1078"/>
      <c r="AA9" s="1078"/>
      <c r="AB9" s="1078"/>
      <c r="AC9" s="1078"/>
      <c r="AD9" s="1078"/>
      <c r="AE9" s="1078"/>
      <c r="AF9" s="1818" t="s">
        <v>1897</v>
      </c>
      <c r="AG9" s="1818"/>
      <c r="AH9" s="1818"/>
      <c r="AI9" s="1818"/>
      <c r="AJ9" s="1818"/>
      <c r="AK9" s="1818"/>
      <c r="AL9" s="1818"/>
      <c r="AM9" s="1818"/>
      <c r="AN9" s="1818"/>
      <c r="AO9" s="1818"/>
      <c r="AP9" s="1819"/>
      <c r="AQ9" s="1820"/>
      <c r="AR9" s="1820"/>
      <c r="AS9" s="1820"/>
      <c r="AT9" s="1820"/>
      <c r="AU9" s="1820"/>
      <c r="AV9" s="1078"/>
      <c r="AW9" s="1078"/>
      <c r="AX9" s="1078"/>
      <c r="AY9" s="1078"/>
      <c r="AZ9" s="1078"/>
      <c r="BA9" s="1078"/>
      <c r="BB9" s="1078"/>
      <c r="BC9" s="1078"/>
      <c r="BD9" s="1078"/>
      <c r="BE9" s="1079"/>
      <c r="BM9" s="1075" t="s">
        <v>1898</v>
      </c>
    </row>
    <row r="10" spans="1:65" ht="14.5">
      <c r="A10" s="1077"/>
      <c r="B10" s="1080" t="s">
        <v>1899</v>
      </c>
      <c r="C10" s="1080"/>
      <c r="D10" s="1080"/>
      <c r="E10" s="1080"/>
      <c r="F10" s="1080"/>
      <c r="G10" s="1080"/>
      <c r="H10" s="1080"/>
      <c r="I10" s="1080"/>
      <c r="J10" s="1080"/>
      <c r="K10" s="1080"/>
      <c r="L10" s="1080"/>
      <c r="M10" s="1078"/>
      <c r="N10" s="1833">
        <f>Application!AO627</f>
        <v>8664000</v>
      </c>
      <c r="O10" s="1833"/>
      <c r="P10" s="1833"/>
      <c r="Q10" s="1833"/>
      <c r="R10" s="1833"/>
      <c r="S10" s="1833"/>
      <c r="T10" s="1833"/>
      <c r="U10" s="1078"/>
      <c r="V10" s="1078"/>
      <c r="W10" s="1078"/>
      <c r="X10" s="1081"/>
      <c r="Y10" s="1081"/>
      <c r="Z10" s="1081"/>
      <c r="AA10" s="1081"/>
      <c r="AB10" s="1081"/>
      <c r="AC10" s="1081"/>
      <c r="AD10" s="1081"/>
      <c r="AE10" s="1081"/>
      <c r="AF10" s="1818" t="s">
        <v>1900</v>
      </c>
      <c r="AG10" s="1818"/>
      <c r="AH10" s="1818"/>
      <c r="AI10" s="1818"/>
      <c r="AJ10" s="1818"/>
      <c r="AK10" s="1818"/>
      <c r="AL10" s="1818"/>
      <c r="AM10" s="1818"/>
      <c r="AN10" s="1818"/>
      <c r="AO10" s="1818"/>
      <c r="AP10" s="1819"/>
      <c r="AQ10" s="1820"/>
      <c r="AR10" s="1820"/>
      <c r="AS10" s="1820"/>
      <c r="AT10" s="1820"/>
      <c r="AU10" s="1820"/>
      <c r="AV10" s="1081"/>
      <c r="AW10" s="1081"/>
      <c r="AX10" s="1078"/>
      <c r="AY10" s="1078"/>
      <c r="AZ10" s="1078"/>
      <c r="BA10" s="1078"/>
      <c r="BB10" s="1078"/>
      <c r="BC10" s="1078"/>
      <c r="BD10" s="1078"/>
      <c r="BE10" s="1079"/>
      <c r="BM10" s="1075" t="s">
        <v>1901</v>
      </c>
    </row>
    <row r="11" spans="1:65" ht="14.5">
      <c r="A11" s="1077"/>
      <c r="B11" s="1080" t="s">
        <v>1902</v>
      </c>
      <c r="C11" s="1080"/>
      <c r="D11" s="1080"/>
      <c r="E11" s="1080"/>
      <c r="F11" s="1080"/>
      <c r="G11" s="1080"/>
      <c r="H11" s="1080"/>
      <c r="I11" s="1080"/>
      <c r="J11" s="1080"/>
      <c r="K11" s="1080"/>
      <c r="L11" s="1080"/>
      <c r="M11" s="1078"/>
      <c r="N11" s="1833">
        <f>Application!AA934</f>
        <v>0</v>
      </c>
      <c r="O11" s="1833"/>
      <c r="P11" s="1833"/>
      <c r="Q11" s="1833"/>
      <c r="R11" s="1833"/>
      <c r="S11" s="1833"/>
      <c r="T11" s="1833"/>
      <c r="U11" s="1078"/>
      <c r="V11" s="1078"/>
      <c r="W11" s="1078"/>
      <c r="X11" s="1081"/>
      <c r="Y11" s="1081"/>
      <c r="Z11" s="1081"/>
      <c r="AA11" s="1081"/>
      <c r="AB11" s="1081"/>
      <c r="AC11" s="1081"/>
      <c r="AD11" s="1081"/>
      <c r="AE11" s="1081"/>
      <c r="AF11" s="1818" t="s">
        <v>1903</v>
      </c>
      <c r="AG11" s="1818"/>
      <c r="AH11" s="1818"/>
      <c r="AI11" s="1818"/>
      <c r="AJ11" s="1818"/>
      <c r="AK11" s="1818"/>
      <c r="AL11" s="1818"/>
      <c r="AM11" s="1818"/>
      <c r="AN11" s="1818"/>
      <c r="AO11" s="1818"/>
      <c r="AP11" s="1819"/>
      <c r="AQ11" s="1820"/>
      <c r="AR11" s="1820"/>
      <c r="AS11" s="1820"/>
      <c r="AT11" s="1820"/>
      <c r="AU11" s="1820"/>
      <c r="AV11" s="1081"/>
      <c r="AW11" s="1081"/>
      <c r="AX11" s="1078"/>
      <c r="AY11" s="1078"/>
      <c r="AZ11" s="1078"/>
      <c r="BA11" s="1078"/>
      <c r="BB11" s="1078"/>
      <c r="BC11" s="1078"/>
      <c r="BD11" s="1078"/>
      <c r="BE11" s="1079"/>
      <c r="BM11" s="1075" t="s">
        <v>684</v>
      </c>
    </row>
    <row r="12" spans="1:65" ht="15" thickBot="1">
      <c r="A12" s="1078"/>
      <c r="B12" s="1078"/>
      <c r="C12" s="1078"/>
      <c r="D12" s="1078"/>
      <c r="E12" s="1078"/>
      <c r="F12" s="1078"/>
      <c r="G12" s="1078"/>
      <c r="H12" s="1078"/>
      <c r="I12" s="1078"/>
      <c r="J12" s="1078"/>
      <c r="K12" s="1078"/>
      <c r="L12" s="1078"/>
      <c r="M12" s="1078"/>
      <c r="N12" s="1078"/>
      <c r="O12" s="1078"/>
      <c r="P12" s="1078"/>
      <c r="Q12" s="1078"/>
      <c r="R12" s="1078"/>
      <c r="S12" s="1078"/>
      <c r="T12" s="1078"/>
      <c r="U12" s="1078"/>
      <c r="V12" s="1078"/>
      <c r="W12" s="1078"/>
      <c r="X12" s="1081"/>
      <c r="Y12" s="1081"/>
      <c r="Z12" s="1081"/>
      <c r="AA12" s="1081"/>
      <c r="AB12" s="1081"/>
      <c r="AC12" s="1081"/>
      <c r="AD12" s="1081"/>
      <c r="AE12" s="1081"/>
      <c r="AF12" s="1081"/>
      <c r="AG12" s="1081"/>
      <c r="AH12" s="1081"/>
      <c r="AI12" s="1081"/>
      <c r="AJ12" s="1081"/>
      <c r="AK12" s="1081"/>
      <c r="AL12" s="1081"/>
      <c r="AM12" s="1081"/>
      <c r="AN12" s="1081"/>
      <c r="AO12" s="1081"/>
      <c r="AP12" s="1081"/>
      <c r="AQ12" s="1081"/>
      <c r="AR12" s="1081"/>
      <c r="AS12" s="1081"/>
      <c r="AT12" s="1081"/>
      <c r="AU12" s="1081"/>
      <c r="AV12" s="1078"/>
      <c r="AW12" s="1078"/>
      <c r="AX12" s="1078"/>
      <c r="AY12" s="1078"/>
      <c r="AZ12" s="1078"/>
      <c r="BA12" s="1078"/>
      <c r="BB12" s="1078"/>
      <c r="BC12" s="1078"/>
      <c r="BD12" s="1078"/>
      <c r="BE12" s="1082"/>
      <c r="BM12" s="1075" t="s">
        <v>1904</v>
      </c>
    </row>
    <row r="13" spans="1:65" ht="15" thickBot="1">
      <c r="A13" s="1078"/>
      <c r="B13" s="1821" t="s">
        <v>1905</v>
      </c>
      <c r="C13" s="1822"/>
      <c r="D13" s="1822"/>
      <c r="E13" s="1822"/>
      <c r="F13" s="1822"/>
      <c r="G13" s="1822"/>
      <c r="H13" s="1822"/>
      <c r="I13" s="1822"/>
      <c r="J13" s="1822"/>
      <c r="K13" s="1822"/>
      <c r="L13" s="1822"/>
      <c r="M13" s="1822"/>
      <c r="N13" s="1822"/>
      <c r="O13" s="1822"/>
      <c r="P13" s="1823"/>
      <c r="Q13" s="1824" t="s">
        <v>692</v>
      </c>
      <c r="R13" s="1825"/>
      <c r="S13" s="1825"/>
      <c r="T13" s="1826"/>
      <c r="U13" s="1081"/>
      <c r="V13" s="1078"/>
      <c r="W13" s="1078"/>
      <c r="X13" s="1078"/>
      <c r="Y13" s="1078"/>
      <c r="Z13" s="1078"/>
      <c r="AA13" s="1827" t="s">
        <v>1906</v>
      </c>
      <c r="AB13" s="1827"/>
      <c r="AC13" s="1827"/>
      <c r="AD13" s="1827"/>
      <c r="AE13" s="1827"/>
      <c r="AF13" s="1827"/>
      <c r="AG13" s="1827"/>
      <c r="AH13" s="1827"/>
      <c r="AI13" s="1827"/>
      <c r="AJ13" s="1827"/>
      <c r="AK13" s="1827"/>
      <c r="AL13" s="1827"/>
      <c r="AM13" s="1827"/>
      <c r="AN13" s="1827"/>
      <c r="AO13" s="1828">
        <f>Application!W473</f>
        <v>8</v>
      </c>
      <c r="AP13" s="1829"/>
      <c r="AQ13" s="1829"/>
      <c r="AR13" s="1829"/>
      <c r="AS13" s="1829"/>
      <c r="AT13" s="1081"/>
      <c r="AU13" s="1081"/>
      <c r="AV13" s="1081"/>
      <c r="AW13" s="1081"/>
      <c r="AX13" s="1081"/>
      <c r="AY13" s="1081"/>
      <c r="AZ13" s="1081"/>
      <c r="BA13" s="1081"/>
      <c r="BB13" s="1081"/>
      <c r="BC13" s="1081"/>
      <c r="BD13" s="1081"/>
      <c r="BE13" s="1082"/>
      <c r="BM13" s="1075" t="s">
        <v>1907</v>
      </c>
    </row>
    <row r="14" spans="1:65" ht="15" thickBot="1">
      <c r="A14" s="1078"/>
      <c r="B14" s="1078"/>
      <c r="C14" s="1078"/>
      <c r="D14" s="1078"/>
      <c r="E14" s="1078"/>
      <c r="F14" s="1078"/>
      <c r="G14" s="1078"/>
      <c r="H14" s="1078"/>
      <c r="I14" s="1078"/>
      <c r="J14" s="1078"/>
      <c r="K14" s="1078"/>
      <c r="L14" s="1078"/>
      <c r="M14" s="1078"/>
      <c r="N14" s="1078"/>
      <c r="O14" s="1078"/>
      <c r="P14" s="1078"/>
      <c r="Q14" s="1078"/>
      <c r="R14" s="1078"/>
      <c r="S14" s="1078"/>
      <c r="T14" s="1078"/>
      <c r="U14" s="1078"/>
      <c r="V14" s="1078"/>
      <c r="W14" s="1078"/>
      <c r="X14" s="1078"/>
      <c r="Y14" s="1078"/>
      <c r="Z14" s="1078"/>
      <c r="AA14" s="1830" t="s">
        <v>1908</v>
      </c>
      <c r="AB14" s="1830"/>
      <c r="AC14" s="1830"/>
      <c r="AD14" s="1830"/>
      <c r="AE14" s="1830"/>
      <c r="AF14" s="1830"/>
      <c r="AG14" s="1830"/>
      <c r="AH14" s="1830"/>
      <c r="AI14" s="1830"/>
      <c r="AJ14" s="1830"/>
      <c r="AK14" s="1830"/>
      <c r="AL14" s="1830"/>
      <c r="AM14" s="1830"/>
      <c r="AN14" s="1830"/>
      <c r="AO14" s="1831"/>
      <c r="AP14" s="1832"/>
      <c r="AQ14" s="1832"/>
      <c r="AR14" s="1832"/>
      <c r="AS14" s="1832"/>
      <c r="AT14" s="1081"/>
      <c r="AU14" s="1081"/>
      <c r="AV14" s="1081"/>
      <c r="AW14" s="1081"/>
      <c r="AX14" s="1081"/>
      <c r="AY14" s="1081"/>
      <c r="AZ14" s="1081"/>
      <c r="BA14" s="1081"/>
      <c r="BB14" s="1081"/>
      <c r="BC14" s="1081"/>
      <c r="BD14" s="1081"/>
      <c r="BE14" s="1082"/>
    </row>
    <row r="15" spans="1:65" ht="15" thickBot="1">
      <c r="A15" s="1078"/>
      <c r="B15" s="1834" t="s">
        <v>1909</v>
      </c>
      <c r="C15" s="1835"/>
      <c r="D15" s="1835"/>
      <c r="E15" s="1835"/>
      <c r="F15" s="1835"/>
      <c r="G15" s="1835"/>
      <c r="H15" s="1835"/>
      <c r="I15" s="1835"/>
      <c r="J15" s="1835"/>
      <c r="K15" s="1835"/>
      <c r="L15" s="1835"/>
      <c r="M15" s="1835"/>
      <c r="N15" s="1835"/>
      <c r="O15" s="1835"/>
      <c r="P15" s="1835"/>
      <c r="Q15" s="1835"/>
      <c r="R15" s="1836"/>
      <c r="S15" s="1837" t="str">
        <f>IF(Application!AB214="","",Application!AB214)</f>
        <v/>
      </c>
      <c r="T15" s="1837"/>
      <c r="U15" s="1837"/>
      <c r="V15" s="1837"/>
      <c r="W15" s="1838"/>
      <c r="X15" s="1081"/>
      <c r="Y15" s="1078"/>
      <c r="Z15" s="1078"/>
      <c r="AA15" s="1827" t="s">
        <v>1910</v>
      </c>
      <c r="AB15" s="1827"/>
      <c r="AC15" s="1827"/>
      <c r="AD15" s="1827"/>
      <c r="AE15" s="1827"/>
      <c r="AF15" s="1827"/>
      <c r="AG15" s="1827"/>
      <c r="AH15" s="1827"/>
      <c r="AI15" s="1827"/>
      <c r="AJ15" s="1827"/>
      <c r="AK15" s="1827"/>
      <c r="AL15" s="1827"/>
      <c r="AM15" s="1827"/>
      <c r="AN15" s="1827"/>
      <c r="AO15" s="1831"/>
      <c r="AP15" s="1832"/>
      <c r="AQ15" s="1832"/>
      <c r="AR15" s="1832"/>
      <c r="AS15" s="1832"/>
      <c r="AT15" s="1081"/>
      <c r="AU15" s="1081"/>
      <c r="AV15" s="1081"/>
      <c r="AW15" s="1081"/>
      <c r="AX15" s="1081"/>
      <c r="AY15" s="1081"/>
      <c r="AZ15" s="1081"/>
      <c r="BA15" s="1081"/>
      <c r="BB15" s="1081"/>
      <c r="BC15" s="1081"/>
      <c r="BD15" s="1081"/>
      <c r="BE15" s="1082"/>
    </row>
    <row r="16" spans="1:65" ht="15" thickBot="1">
      <c r="A16" s="1077"/>
      <c r="B16" s="1078"/>
      <c r="C16" s="1078"/>
      <c r="D16" s="1078"/>
      <c r="E16" s="1078"/>
      <c r="F16" s="1078"/>
      <c r="G16" s="1078"/>
      <c r="H16" s="1078"/>
      <c r="I16" s="1078"/>
      <c r="J16" s="1078"/>
      <c r="K16" s="1078"/>
      <c r="L16" s="1078"/>
      <c r="M16" s="1078"/>
      <c r="N16" s="1078"/>
      <c r="O16" s="1078"/>
      <c r="P16" s="1078"/>
      <c r="Q16" s="1078"/>
      <c r="R16" s="1078"/>
      <c r="S16" s="1078"/>
      <c r="T16" s="1078"/>
      <c r="U16" s="1078"/>
      <c r="V16" s="1078"/>
      <c r="W16" s="1078"/>
      <c r="X16" s="1078"/>
      <c r="Y16" s="1078"/>
      <c r="Z16" s="1078"/>
      <c r="AA16" s="1078"/>
      <c r="AB16" s="1078"/>
      <c r="AC16" s="1078"/>
      <c r="AD16" s="1078"/>
      <c r="AE16" s="1078"/>
      <c r="AF16" s="1078"/>
      <c r="AG16" s="1078"/>
      <c r="AH16" s="1078"/>
      <c r="AI16" s="1078"/>
      <c r="AJ16" s="1078"/>
      <c r="AK16" s="1078"/>
      <c r="AL16" s="1078"/>
      <c r="AM16" s="1078"/>
      <c r="AN16" s="1078"/>
      <c r="AO16" s="1078"/>
      <c r="AP16" s="1078"/>
      <c r="AQ16" s="1078"/>
      <c r="AR16" s="1078"/>
      <c r="AS16" s="1078"/>
      <c r="AT16" s="1078"/>
      <c r="AU16" s="1078"/>
      <c r="AV16" s="1078"/>
      <c r="AW16" s="1078"/>
      <c r="AX16" s="1078"/>
      <c r="AY16" s="1078"/>
      <c r="AZ16" s="1078"/>
      <c r="BA16" s="1078"/>
      <c r="BB16" s="1078"/>
      <c r="BC16" s="1078"/>
      <c r="BD16" s="1078"/>
      <c r="BE16" s="1082"/>
    </row>
    <row r="17" spans="1:58" ht="14.5">
      <c r="A17" s="1078"/>
      <c r="B17" s="1839" t="s">
        <v>1911</v>
      </c>
      <c r="C17" s="1840"/>
      <c r="D17" s="1840"/>
      <c r="E17" s="1840"/>
      <c r="F17" s="1840"/>
      <c r="G17" s="1840"/>
      <c r="H17" s="1840"/>
      <c r="I17" s="1840"/>
      <c r="J17" s="1840"/>
      <c r="K17" s="1840"/>
      <c r="L17" s="1840"/>
      <c r="M17" s="1840"/>
      <c r="N17" s="1840"/>
      <c r="O17" s="1840"/>
      <c r="P17" s="1840"/>
      <c r="Q17" s="1840"/>
      <c r="R17" s="1840"/>
      <c r="S17" s="1840"/>
      <c r="T17" s="1840"/>
      <c r="U17" s="1840"/>
      <c r="V17" s="1840"/>
      <c r="W17" s="1840"/>
      <c r="X17" s="1840"/>
      <c r="Y17" s="1840"/>
      <c r="Z17" s="1840"/>
      <c r="AA17" s="1840"/>
      <c r="AB17" s="1840"/>
      <c r="AC17" s="1840"/>
      <c r="AD17" s="1840"/>
      <c r="AE17" s="1840"/>
      <c r="AF17" s="1840"/>
      <c r="AG17" s="1840"/>
      <c r="AH17" s="1840"/>
      <c r="AI17" s="1840"/>
      <c r="AJ17" s="1840"/>
      <c r="AK17" s="1840"/>
      <c r="AL17" s="1840"/>
      <c r="AM17" s="1840"/>
      <c r="AN17" s="1840"/>
      <c r="AO17" s="1840"/>
      <c r="AP17" s="1840"/>
      <c r="AQ17" s="1840"/>
      <c r="AR17" s="1840"/>
      <c r="AS17" s="1840"/>
      <c r="AT17" s="1840"/>
      <c r="AU17" s="1840"/>
      <c r="AV17" s="1840"/>
      <c r="AW17" s="1840"/>
      <c r="AX17" s="1840"/>
      <c r="AY17" s="1841"/>
      <c r="AZ17" s="1078"/>
      <c r="BA17" s="1078"/>
      <c r="BB17" s="1078"/>
      <c r="BC17" s="1078"/>
      <c r="BD17" s="1078"/>
      <c r="BE17" s="1082"/>
      <c r="BF17" s="1076"/>
    </row>
    <row r="18" spans="1:58" ht="15.75" customHeight="1">
      <c r="A18" s="1078"/>
      <c r="B18" s="1842" t="s">
        <v>1912</v>
      </c>
      <c r="C18" s="1843"/>
      <c r="D18" s="1843"/>
      <c r="E18" s="1843"/>
      <c r="F18" s="1843"/>
      <c r="G18" s="1843"/>
      <c r="H18" s="1843"/>
      <c r="I18" s="1844"/>
      <c r="J18" s="1845" t="s">
        <v>1913</v>
      </c>
      <c r="K18" s="1846"/>
      <c r="L18" s="1846"/>
      <c r="M18" s="1846"/>
      <c r="N18" s="1846"/>
      <c r="O18" s="1847"/>
      <c r="P18" s="1845" t="s">
        <v>827</v>
      </c>
      <c r="Q18" s="1846"/>
      <c r="R18" s="1846"/>
      <c r="S18" s="1846"/>
      <c r="T18" s="1846"/>
      <c r="U18" s="1847"/>
      <c r="V18" s="1845" t="s">
        <v>828</v>
      </c>
      <c r="W18" s="1846"/>
      <c r="X18" s="1846"/>
      <c r="Y18" s="1846"/>
      <c r="Z18" s="1846"/>
      <c r="AA18" s="1847"/>
      <c r="AB18" s="1845" t="s">
        <v>829</v>
      </c>
      <c r="AC18" s="1846"/>
      <c r="AD18" s="1846"/>
      <c r="AE18" s="1846"/>
      <c r="AF18" s="1846"/>
      <c r="AG18" s="1847"/>
      <c r="AH18" s="1845" t="s">
        <v>830</v>
      </c>
      <c r="AI18" s="1846"/>
      <c r="AJ18" s="1846"/>
      <c r="AK18" s="1846"/>
      <c r="AL18" s="1846"/>
      <c r="AM18" s="1847"/>
      <c r="AN18" s="1845" t="s">
        <v>831</v>
      </c>
      <c r="AO18" s="1846"/>
      <c r="AP18" s="1846"/>
      <c r="AQ18" s="1846"/>
      <c r="AR18" s="1846"/>
      <c r="AS18" s="1847"/>
      <c r="AT18" s="1845" t="s">
        <v>1914</v>
      </c>
      <c r="AU18" s="1846"/>
      <c r="AV18" s="1846"/>
      <c r="AW18" s="1846"/>
      <c r="AX18" s="1846"/>
      <c r="AY18" s="1848"/>
      <c r="AZ18" s="1078"/>
      <c r="BA18" s="1078"/>
      <c r="BB18" s="1078"/>
      <c r="BC18" s="1078"/>
      <c r="BD18" s="1078"/>
      <c r="BE18" s="1082"/>
    </row>
    <row r="19" spans="1:58" ht="14.5">
      <c r="A19" s="1078"/>
      <c r="B19" s="1849">
        <v>0.3</v>
      </c>
      <c r="C19" s="1850"/>
      <c r="D19" s="1850"/>
      <c r="E19" s="1850"/>
      <c r="F19" s="1850"/>
      <c r="G19" s="1850"/>
      <c r="H19" s="1850"/>
      <c r="I19" s="1851"/>
      <c r="J19" s="1852">
        <f t="shared" ref="J19:J24" si="0">SUM(P19:AS19)</f>
        <v>0</v>
      </c>
      <c r="K19" s="1853"/>
      <c r="L19" s="1853"/>
      <c r="M19" s="1853"/>
      <c r="N19" s="1853"/>
      <c r="O19" s="1854"/>
      <c r="P19" s="1852" cm="1">
        <f t="array" ref="P19">SUMPRODUCT((Application!$B$718:$B$752 = 'CalHFA Addendum'!P$18)*(Application!$AC$718:$AC$752 = 'CalHFA Addendum'!$B19),Application!$G$718:$G$752)</f>
        <v>0</v>
      </c>
      <c r="Q19" s="1853"/>
      <c r="R19" s="1853"/>
      <c r="S19" s="1853"/>
      <c r="T19" s="1853"/>
      <c r="U19" s="1854"/>
      <c r="V19" s="1852" cm="1">
        <f t="array" ref="V19">SUMPRODUCT((Application!$B$714:$B$738 = 'CalHFA Addendum'!V$18)*(Application!$AC$714:$AC$738 = 'CalHFA Addendum'!$B19),Application!$G$714:$G$738)</f>
        <v>0</v>
      </c>
      <c r="W19" s="1853"/>
      <c r="X19" s="1853"/>
      <c r="Y19" s="1853"/>
      <c r="Z19" s="1853"/>
      <c r="AA19" s="1854"/>
      <c r="AB19" s="1852" cm="1">
        <f t="array" ref="AB19">SUMPRODUCT((Application!$B$714:$B$738 = 'CalHFA Addendum'!AB$18)*(Application!$AC$714:$AC$738 = 'CalHFA Addendum'!$B19),Application!$G$714:$G$738)</f>
        <v>0</v>
      </c>
      <c r="AC19" s="1853"/>
      <c r="AD19" s="1853"/>
      <c r="AE19" s="1853"/>
      <c r="AF19" s="1853"/>
      <c r="AG19" s="1854"/>
      <c r="AH19" s="1852" cm="1">
        <f t="array" ref="AH19">SUMPRODUCT((Application!$B$714:$B$738 = 'CalHFA Addendum'!AH$18)*(Application!$AC$714:$AC$738 = 'CalHFA Addendum'!$B19),Application!$G$714:$G$738)</f>
        <v>0</v>
      </c>
      <c r="AI19" s="1853"/>
      <c r="AJ19" s="1853"/>
      <c r="AK19" s="1853"/>
      <c r="AL19" s="1853"/>
      <c r="AM19" s="1854"/>
      <c r="AN19" s="1852" cm="1">
        <f t="array" ref="AN19">SUMPRODUCT((Application!$B$714:$B$738 = 'CalHFA Addendum'!AN$18)*(Application!$AC$714:$AC$738 = 'CalHFA Addendum'!$B19),Application!$G$714:$G$738)</f>
        <v>0</v>
      </c>
      <c r="AO19" s="1853"/>
      <c r="AP19" s="1853"/>
      <c r="AQ19" s="1853"/>
      <c r="AR19" s="1853"/>
      <c r="AS19" s="1854"/>
      <c r="AT19" s="1855">
        <f t="shared" ref="AT19:AT29" si="1">J19/$J$29</f>
        <v>0</v>
      </c>
      <c r="AU19" s="1856"/>
      <c r="AV19" s="1856"/>
      <c r="AW19" s="1856"/>
      <c r="AX19" s="1856"/>
      <c r="AY19" s="1857"/>
      <c r="AZ19" s="1083"/>
      <c r="BA19" s="1078"/>
      <c r="BB19" s="1078"/>
      <c r="BC19" s="1078"/>
      <c r="BD19" s="1078"/>
      <c r="BE19" s="1082"/>
    </row>
    <row r="20" spans="1:58" ht="15" customHeight="1">
      <c r="A20" s="1078"/>
      <c r="B20" s="1849">
        <v>0.4</v>
      </c>
      <c r="C20" s="1850"/>
      <c r="D20" s="1850"/>
      <c r="E20" s="1850"/>
      <c r="F20" s="1850"/>
      <c r="G20" s="1850"/>
      <c r="H20" s="1850"/>
      <c r="I20" s="1851"/>
      <c r="J20" s="1852">
        <f t="shared" si="0"/>
        <v>0</v>
      </c>
      <c r="K20" s="1853"/>
      <c r="L20" s="1853"/>
      <c r="M20" s="1853"/>
      <c r="N20" s="1853"/>
      <c r="O20" s="1854"/>
      <c r="P20" s="1852" cm="1">
        <f t="array" ref="P20">SUMPRODUCT((Application!$B$718:$B$752 = 'CalHFA Addendum'!P$18)*(Application!$AC$718:$AC$752 = 'CalHFA Addendum'!$B20),Application!$G$718:$G$752)</f>
        <v>0</v>
      </c>
      <c r="Q20" s="1853"/>
      <c r="R20" s="1853"/>
      <c r="S20" s="1853"/>
      <c r="T20" s="1853"/>
      <c r="U20" s="1854"/>
      <c r="V20" s="1852" cm="1">
        <f t="array" ref="V20">SUMPRODUCT((Application!$B$714:$B$738 = 'CalHFA Addendum'!V$18)*(Application!$AC$714:$AC$738 = 'CalHFA Addendum'!$B20),Application!$G$714:$G$738)</f>
        <v>0</v>
      </c>
      <c r="W20" s="1853"/>
      <c r="X20" s="1853"/>
      <c r="Y20" s="1853"/>
      <c r="Z20" s="1853"/>
      <c r="AA20" s="1854"/>
      <c r="AB20" s="1852" cm="1">
        <f t="array" ref="AB20">SUMPRODUCT((Application!$B$714:$B$738 = 'CalHFA Addendum'!AB$18)*(Application!$AC$714:$AC$738 = 'CalHFA Addendum'!$B20),Application!$G$714:$G$738)</f>
        <v>0</v>
      </c>
      <c r="AC20" s="1853"/>
      <c r="AD20" s="1853"/>
      <c r="AE20" s="1853"/>
      <c r="AF20" s="1853"/>
      <c r="AG20" s="1854"/>
      <c r="AH20" s="1852" cm="1">
        <f t="array" ref="AH20">SUMPRODUCT((Application!$B$714:$B$738 = 'CalHFA Addendum'!AH$18)*(Application!$AC$714:$AC$738 = 'CalHFA Addendum'!$B20),Application!$G$714:$G$738)</f>
        <v>0</v>
      </c>
      <c r="AI20" s="1853"/>
      <c r="AJ20" s="1853"/>
      <c r="AK20" s="1853"/>
      <c r="AL20" s="1853"/>
      <c r="AM20" s="1854"/>
      <c r="AN20" s="1852" cm="1">
        <f t="array" ref="AN20">SUMPRODUCT((Application!$B$714:$B$738 = 'CalHFA Addendum'!AN$18)*(Application!$AC$714:$AC$738 = 'CalHFA Addendum'!$B20),Application!$G$714:$G$738)</f>
        <v>0</v>
      </c>
      <c r="AO20" s="1853"/>
      <c r="AP20" s="1853"/>
      <c r="AQ20" s="1853"/>
      <c r="AR20" s="1853"/>
      <c r="AS20" s="1854"/>
      <c r="AT20" s="1855">
        <f t="shared" si="1"/>
        <v>0</v>
      </c>
      <c r="AU20" s="1856"/>
      <c r="AV20" s="1856"/>
      <c r="AW20" s="1856"/>
      <c r="AX20" s="1856"/>
      <c r="AY20" s="1857"/>
      <c r="AZ20" s="1078"/>
      <c r="BA20" s="1078"/>
      <c r="BB20" s="1078"/>
      <c r="BC20" s="1078"/>
      <c r="BD20" s="1078"/>
      <c r="BE20" s="1082"/>
    </row>
    <row r="21" spans="1:58" ht="14.5">
      <c r="A21" s="1078"/>
      <c r="B21" s="1849">
        <v>0.5</v>
      </c>
      <c r="C21" s="1850"/>
      <c r="D21" s="1850"/>
      <c r="E21" s="1850"/>
      <c r="F21" s="1850"/>
      <c r="G21" s="1850"/>
      <c r="H21" s="1850"/>
      <c r="I21" s="1851"/>
      <c r="J21" s="1852">
        <f t="shared" si="0"/>
        <v>27</v>
      </c>
      <c r="K21" s="1853"/>
      <c r="L21" s="1853"/>
      <c r="M21" s="1853"/>
      <c r="N21" s="1853"/>
      <c r="O21" s="1854"/>
      <c r="P21" s="1852" cm="1">
        <f t="array" ref="P21">SUMPRODUCT((Application!$B$714:$B$738 = 'CalHFA Addendum'!P$18)*(Application!$AC$714:$AC$738 = 'CalHFA Addendum'!$B21),Application!$G$714:$G$738)</f>
        <v>0</v>
      </c>
      <c r="Q21" s="1853"/>
      <c r="R21" s="1853"/>
      <c r="S21" s="1853"/>
      <c r="T21" s="1853"/>
      <c r="U21" s="1854"/>
      <c r="V21" s="1852" cm="1">
        <f t="array" ref="V21">SUMPRODUCT((Application!$B$714:$B$738 = 'CalHFA Addendum'!V$18)*(Application!$AC$714:$AC$738 = 'CalHFA Addendum'!$B21),Application!$G$714:$G$738)</f>
        <v>8</v>
      </c>
      <c r="W21" s="1853"/>
      <c r="X21" s="1853"/>
      <c r="Y21" s="1853"/>
      <c r="Z21" s="1853"/>
      <c r="AA21" s="1854"/>
      <c r="AB21" s="1852" cm="1">
        <f t="array" ref="AB21">SUMPRODUCT((Application!$B$714:$B$738 = 'CalHFA Addendum'!AB$18)*(Application!$AC$714:$AC$738 = 'CalHFA Addendum'!$B21),Application!$G$714:$G$738)</f>
        <v>10</v>
      </c>
      <c r="AC21" s="1853"/>
      <c r="AD21" s="1853"/>
      <c r="AE21" s="1853"/>
      <c r="AF21" s="1853"/>
      <c r="AG21" s="1854"/>
      <c r="AH21" s="1852" cm="1">
        <f t="array" ref="AH21">SUMPRODUCT((Application!$B$714:$B$738 = 'CalHFA Addendum'!AH$18)*(Application!$AC$714:$AC$738 = 'CalHFA Addendum'!$B21),Application!$G$714:$G$738)</f>
        <v>9</v>
      </c>
      <c r="AI21" s="1853"/>
      <c r="AJ21" s="1853"/>
      <c r="AK21" s="1853"/>
      <c r="AL21" s="1853"/>
      <c r="AM21" s="1854"/>
      <c r="AN21" s="1852" cm="1">
        <f t="array" ref="AN21">SUMPRODUCT((Application!$B$714:$B$738 = 'CalHFA Addendum'!AN$18)*(Application!$AC$714:$AC$738 = 'CalHFA Addendum'!$B21),Application!$G$714:$G$738)</f>
        <v>0</v>
      </c>
      <c r="AO21" s="1853"/>
      <c r="AP21" s="1853"/>
      <c r="AQ21" s="1853"/>
      <c r="AR21" s="1853"/>
      <c r="AS21" s="1854"/>
      <c r="AT21" s="1855">
        <f t="shared" si="1"/>
        <v>0.9642857142857143</v>
      </c>
      <c r="AU21" s="1856"/>
      <c r="AV21" s="1856"/>
      <c r="AW21" s="1856"/>
      <c r="AX21" s="1856"/>
      <c r="AY21" s="1857"/>
      <c r="AZ21" s="1078"/>
      <c r="BA21" s="1078"/>
      <c r="BB21" s="1078"/>
      <c r="BC21" s="1078"/>
      <c r="BD21" s="1078"/>
      <c r="BE21" s="1082"/>
    </row>
    <row r="22" spans="1:58" ht="14.5">
      <c r="A22" s="1078"/>
      <c r="B22" s="1849">
        <v>0.6</v>
      </c>
      <c r="C22" s="1850"/>
      <c r="D22" s="1850"/>
      <c r="E22" s="1850"/>
      <c r="F22" s="1850"/>
      <c r="G22" s="1850"/>
      <c r="H22" s="1850"/>
      <c r="I22" s="1851"/>
      <c r="J22" s="1852">
        <f t="shared" si="0"/>
        <v>0</v>
      </c>
      <c r="K22" s="1853"/>
      <c r="L22" s="1853"/>
      <c r="M22" s="1853"/>
      <c r="N22" s="1853"/>
      <c r="O22" s="1854"/>
      <c r="P22" s="1852" cm="1">
        <f t="array" ref="P22">SUMPRODUCT((Application!$B$714:$B$738 = 'CalHFA Addendum'!P$18)*(Application!$AC$714:$AC$738 = 'CalHFA Addendum'!$B22),Application!$G$714:$G$738)</f>
        <v>0</v>
      </c>
      <c r="Q22" s="1853"/>
      <c r="R22" s="1853"/>
      <c r="S22" s="1853"/>
      <c r="T22" s="1853"/>
      <c r="U22" s="1854"/>
      <c r="V22" s="1852" cm="1">
        <f t="array" ref="V22">SUMPRODUCT((Application!$B$714:$B$738 = 'CalHFA Addendum'!V$18)*(Application!$AC$714:$AC$738 = 'CalHFA Addendum'!$B22),Application!$G$714:$G$738)</f>
        <v>0</v>
      </c>
      <c r="W22" s="1853"/>
      <c r="X22" s="1853"/>
      <c r="Y22" s="1853"/>
      <c r="Z22" s="1853"/>
      <c r="AA22" s="1854"/>
      <c r="AB22" s="1852" cm="1">
        <f t="array" ref="AB22">SUMPRODUCT((Application!$B$714:$B$738 = 'CalHFA Addendum'!AB$18)*(Application!$AC$714:$AC$738 = 'CalHFA Addendum'!$B22),Application!$G$714:$G$738)</f>
        <v>0</v>
      </c>
      <c r="AC22" s="1853"/>
      <c r="AD22" s="1853"/>
      <c r="AE22" s="1853"/>
      <c r="AF22" s="1853"/>
      <c r="AG22" s="1854"/>
      <c r="AH22" s="1852" cm="1">
        <f t="array" ref="AH22">SUMPRODUCT((Application!$B$714:$B$738 = 'CalHFA Addendum'!AH$18)*(Application!$AC$714:$AC$738 = 'CalHFA Addendum'!$B22),Application!$G$714:$G$738)</f>
        <v>0</v>
      </c>
      <c r="AI22" s="1853"/>
      <c r="AJ22" s="1853"/>
      <c r="AK22" s="1853"/>
      <c r="AL22" s="1853"/>
      <c r="AM22" s="1854"/>
      <c r="AN22" s="1852" cm="1">
        <f t="array" ref="AN22">SUMPRODUCT((Application!$B$714:$B$738 = 'CalHFA Addendum'!AN$18)*(Application!$AC$714:$AC$738 = 'CalHFA Addendum'!$B22),Application!$G$714:$G$738)</f>
        <v>0</v>
      </c>
      <c r="AO22" s="1853"/>
      <c r="AP22" s="1853"/>
      <c r="AQ22" s="1853"/>
      <c r="AR22" s="1853"/>
      <c r="AS22" s="1854"/>
      <c r="AT22" s="1855">
        <f t="shared" si="1"/>
        <v>0</v>
      </c>
      <c r="AU22" s="1856"/>
      <c r="AV22" s="1856"/>
      <c r="AW22" s="1856"/>
      <c r="AX22" s="1856"/>
      <c r="AY22" s="1857"/>
      <c r="AZ22" s="1078"/>
      <c r="BA22" s="1078"/>
      <c r="BB22" s="1078"/>
      <c r="BC22" s="1078"/>
      <c r="BD22" s="1078"/>
      <c r="BE22" s="1082"/>
    </row>
    <row r="23" spans="1:58" ht="14.5">
      <c r="A23" s="1078"/>
      <c r="B23" s="1849">
        <v>0.7</v>
      </c>
      <c r="C23" s="1850"/>
      <c r="D23" s="1850"/>
      <c r="E23" s="1850"/>
      <c r="F23" s="1850"/>
      <c r="G23" s="1850"/>
      <c r="H23" s="1850"/>
      <c r="I23" s="1851"/>
      <c r="J23" s="1852">
        <f t="shared" si="0"/>
        <v>0</v>
      </c>
      <c r="K23" s="1853"/>
      <c r="L23" s="1853"/>
      <c r="M23" s="1853"/>
      <c r="N23" s="1853"/>
      <c r="O23" s="1854"/>
      <c r="P23" s="1852" cm="1">
        <f t="array" ref="P23">SUMPRODUCT((Application!$B$714:$B$738 = 'CalHFA Addendum'!P$18)*(Application!$AC$714:$AC$738 = 'CalHFA Addendum'!$B23),Application!$G$714:$G$738)</f>
        <v>0</v>
      </c>
      <c r="Q23" s="1853"/>
      <c r="R23" s="1853"/>
      <c r="S23" s="1853"/>
      <c r="T23" s="1853"/>
      <c r="U23" s="1854"/>
      <c r="V23" s="1852" cm="1">
        <f t="array" ref="V23">SUMPRODUCT((Application!$B$714:$B$738 = 'CalHFA Addendum'!V$18)*(Application!$AC$714:$AC$738 = 'CalHFA Addendum'!$B23),Application!$G$714:$G$738)</f>
        <v>0</v>
      </c>
      <c r="W23" s="1853"/>
      <c r="X23" s="1853"/>
      <c r="Y23" s="1853"/>
      <c r="Z23" s="1853"/>
      <c r="AA23" s="1854"/>
      <c r="AB23" s="1852" cm="1">
        <f t="array" ref="AB23">SUMPRODUCT((Application!$B$714:$B$738 = 'CalHFA Addendum'!AB$18)*(Application!$AC$714:$AC$738 = 'CalHFA Addendum'!$B23),Application!$G$714:$G$738)</f>
        <v>0</v>
      </c>
      <c r="AC23" s="1853"/>
      <c r="AD23" s="1853"/>
      <c r="AE23" s="1853"/>
      <c r="AF23" s="1853"/>
      <c r="AG23" s="1854"/>
      <c r="AH23" s="1852" cm="1">
        <f t="array" ref="AH23">SUMPRODUCT((Application!$B$714:$B$738 = 'CalHFA Addendum'!AH$18)*(Application!$AC$714:$AC$738 = 'CalHFA Addendum'!$B23),Application!$G$714:$G$738)</f>
        <v>0</v>
      </c>
      <c r="AI23" s="1853"/>
      <c r="AJ23" s="1853"/>
      <c r="AK23" s="1853"/>
      <c r="AL23" s="1853"/>
      <c r="AM23" s="1854"/>
      <c r="AN23" s="1852" cm="1">
        <f t="array" ref="AN23">SUMPRODUCT((Application!$B$714:$B$738 = 'CalHFA Addendum'!AN$18)*(Application!$AC$714:$AC$738 = 'CalHFA Addendum'!$B23),Application!$G$714:$G$738)</f>
        <v>0</v>
      </c>
      <c r="AO23" s="1853"/>
      <c r="AP23" s="1853"/>
      <c r="AQ23" s="1853"/>
      <c r="AR23" s="1853"/>
      <c r="AS23" s="1854"/>
      <c r="AT23" s="1855">
        <f t="shared" si="1"/>
        <v>0</v>
      </c>
      <c r="AU23" s="1856"/>
      <c r="AV23" s="1856"/>
      <c r="AW23" s="1856"/>
      <c r="AX23" s="1856"/>
      <c r="AY23" s="1857"/>
      <c r="AZ23" s="1078"/>
      <c r="BA23" s="1078"/>
      <c r="BB23" s="1078"/>
      <c r="BC23" s="1078"/>
      <c r="BD23" s="1078"/>
      <c r="BE23" s="1082"/>
    </row>
    <row r="24" spans="1:58" ht="14.5">
      <c r="A24" s="1078"/>
      <c r="B24" s="1849">
        <v>0.8</v>
      </c>
      <c r="C24" s="1850"/>
      <c r="D24" s="1850"/>
      <c r="E24" s="1850"/>
      <c r="F24" s="1850"/>
      <c r="G24" s="1850"/>
      <c r="H24" s="1850"/>
      <c r="I24" s="1851"/>
      <c r="J24" s="1852">
        <f t="shared" si="0"/>
        <v>0</v>
      </c>
      <c r="K24" s="1853"/>
      <c r="L24" s="1853"/>
      <c r="M24" s="1853"/>
      <c r="N24" s="1853"/>
      <c r="O24" s="1854"/>
      <c r="P24" s="1852" cm="1">
        <f t="array" ref="P24">SUMPRODUCT((Application!$B$714:$B$738 = 'CalHFA Addendum'!P$18)*(Application!$AC$714:$AC$738 = 'CalHFA Addendum'!$B24),Application!$G$714:$G$738)</f>
        <v>0</v>
      </c>
      <c r="Q24" s="1853"/>
      <c r="R24" s="1853"/>
      <c r="S24" s="1853"/>
      <c r="T24" s="1853"/>
      <c r="U24" s="1854"/>
      <c r="V24" s="1852" cm="1">
        <f t="array" ref="V24">SUMPRODUCT((Application!$B$714:$B$738 = 'CalHFA Addendum'!V$18)*(Application!$AC$714:$AC$738 = 'CalHFA Addendum'!$B24),Application!$G$714:$G$738)</f>
        <v>0</v>
      </c>
      <c r="W24" s="1853"/>
      <c r="X24" s="1853"/>
      <c r="Y24" s="1853"/>
      <c r="Z24" s="1853"/>
      <c r="AA24" s="1854"/>
      <c r="AB24" s="1852" cm="1">
        <f t="array" ref="AB24">SUMPRODUCT((Application!$B$714:$B$738 = 'CalHFA Addendum'!AB$18)*(Application!$AC$714:$AC$738 = 'CalHFA Addendum'!$B24),Application!$G$714:$G$738)</f>
        <v>0</v>
      </c>
      <c r="AC24" s="1853"/>
      <c r="AD24" s="1853"/>
      <c r="AE24" s="1853"/>
      <c r="AF24" s="1853"/>
      <c r="AG24" s="1854"/>
      <c r="AH24" s="1852" cm="1">
        <f t="array" ref="AH24">SUMPRODUCT((Application!$B$714:$B$738 = 'CalHFA Addendum'!AH$18)*(Application!$AC$714:$AC$738 = 'CalHFA Addendum'!$B24),Application!$G$714:$G$738)</f>
        <v>0</v>
      </c>
      <c r="AI24" s="1853"/>
      <c r="AJ24" s="1853"/>
      <c r="AK24" s="1853"/>
      <c r="AL24" s="1853"/>
      <c r="AM24" s="1854"/>
      <c r="AN24" s="1852" cm="1">
        <f t="array" ref="AN24">SUMPRODUCT((Application!$B$714:$B$738 = 'CalHFA Addendum'!AN$18)*(Application!$AC$714:$AC$738 = 'CalHFA Addendum'!$B24),Application!$G$714:$G$738)</f>
        <v>0</v>
      </c>
      <c r="AO24" s="1853"/>
      <c r="AP24" s="1853"/>
      <c r="AQ24" s="1853"/>
      <c r="AR24" s="1853"/>
      <c r="AS24" s="1854"/>
      <c r="AT24" s="1855">
        <f t="shared" si="1"/>
        <v>0</v>
      </c>
      <c r="AU24" s="1856"/>
      <c r="AV24" s="1856"/>
      <c r="AW24" s="1856"/>
      <c r="AX24" s="1856"/>
      <c r="AY24" s="1857"/>
      <c r="AZ24" s="1078"/>
      <c r="BA24" s="1078"/>
      <c r="BB24" s="1078"/>
      <c r="BC24" s="1078"/>
      <c r="BD24" s="1078"/>
      <c r="BE24" s="1082"/>
    </row>
    <row r="25" spans="1:58" ht="14.5">
      <c r="A25" s="1078"/>
      <c r="B25" s="1849">
        <v>0.9</v>
      </c>
      <c r="C25" s="1850"/>
      <c r="D25" s="1850"/>
      <c r="E25" s="1850"/>
      <c r="F25" s="1850"/>
      <c r="G25" s="1850"/>
      <c r="H25" s="1850"/>
      <c r="I25" s="1851"/>
      <c r="J25" s="1858"/>
      <c r="K25" s="1859"/>
      <c r="L25" s="1859"/>
      <c r="M25" s="1859"/>
      <c r="N25" s="1859"/>
      <c r="O25" s="1860"/>
      <c r="P25" s="1858"/>
      <c r="Q25" s="1859"/>
      <c r="R25" s="1859"/>
      <c r="S25" s="1859"/>
      <c r="T25" s="1859"/>
      <c r="U25" s="1860"/>
      <c r="V25" s="1858"/>
      <c r="W25" s="1859"/>
      <c r="X25" s="1859"/>
      <c r="Y25" s="1859"/>
      <c r="Z25" s="1859"/>
      <c r="AA25" s="1860"/>
      <c r="AB25" s="1858"/>
      <c r="AC25" s="1859"/>
      <c r="AD25" s="1859"/>
      <c r="AE25" s="1859"/>
      <c r="AF25" s="1859"/>
      <c r="AG25" s="1860"/>
      <c r="AH25" s="1858"/>
      <c r="AI25" s="1859"/>
      <c r="AJ25" s="1859"/>
      <c r="AK25" s="1859"/>
      <c r="AL25" s="1859"/>
      <c r="AM25" s="1860"/>
      <c r="AN25" s="1858"/>
      <c r="AO25" s="1859"/>
      <c r="AP25" s="1859"/>
      <c r="AQ25" s="1859"/>
      <c r="AR25" s="1859"/>
      <c r="AS25" s="1860"/>
      <c r="AT25" s="1855">
        <f t="shared" si="1"/>
        <v>0</v>
      </c>
      <c r="AU25" s="1856"/>
      <c r="AV25" s="1856"/>
      <c r="AW25" s="1856"/>
      <c r="AX25" s="1856"/>
      <c r="AY25" s="1857"/>
      <c r="AZ25" s="1078"/>
      <c r="BA25" s="1078"/>
      <c r="BB25" s="1078"/>
      <c r="BC25" s="1078"/>
      <c r="BD25" s="1078"/>
      <c r="BE25" s="1082"/>
    </row>
    <row r="26" spans="1:58" ht="14.5">
      <c r="A26" s="1078"/>
      <c r="B26" s="1849">
        <v>1</v>
      </c>
      <c r="C26" s="1850"/>
      <c r="D26" s="1850"/>
      <c r="E26" s="1850"/>
      <c r="F26" s="1850"/>
      <c r="G26" s="1850"/>
      <c r="H26" s="1850"/>
      <c r="I26" s="1851"/>
      <c r="J26" s="1858"/>
      <c r="K26" s="1859"/>
      <c r="L26" s="1859"/>
      <c r="M26" s="1859"/>
      <c r="N26" s="1859"/>
      <c r="O26" s="1860"/>
      <c r="P26" s="1858"/>
      <c r="Q26" s="1859"/>
      <c r="R26" s="1859"/>
      <c r="S26" s="1859"/>
      <c r="T26" s="1859"/>
      <c r="U26" s="1860"/>
      <c r="V26" s="1858"/>
      <c r="W26" s="1859"/>
      <c r="X26" s="1859"/>
      <c r="Y26" s="1859"/>
      <c r="Z26" s="1859"/>
      <c r="AA26" s="1860"/>
      <c r="AB26" s="1858"/>
      <c r="AC26" s="1859"/>
      <c r="AD26" s="1859"/>
      <c r="AE26" s="1859"/>
      <c r="AF26" s="1859"/>
      <c r="AG26" s="1860"/>
      <c r="AH26" s="1858"/>
      <c r="AI26" s="1859"/>
      <c r="AJ26" s="1859"/>
      <c r="AK26" s="1859"/>
      <c r="AL26" s="1859"/>
      <c r="AM26" s="1860"/>
      <c r="AN26" s="1858"/>
      <c r="AO26" s="1859"/>
      <c r="AP26" s="1859"/>
      <c r="AQ26" s="1859"/>
      <c r="AR26" s="1859"/>
      <c r="AS26" s="1860"/>
      <c r="AT26" s="1855">
        <f t="shared" si="1"/>
        <v>0</v>
      </c>
      <c r="AU26" s="1856"/>
      <c r="AV26" s="1856"/>
      <c r="AW26" s="1856"/>
      <c r="AX26" s="1856"/>
      <c r="AY26" s="1857"/>
      <c r="AZ26" s="1078"/>
      <c r="BA26" s="1078"/>
      <c r="BB26" s="1078"/>
      <c r="BC26" s="1078"/>
      <c r="BD26" s="1078"/>
      <c r="BE26" s="1082"/>
    </row>
    <row r="27" spans="1:58" ht="14.5">
      <c r="A27" s="1078"/>
      <c r="B27" s="1849">
        <v>1.2</v>
      </c>
      <c r="C27" s="1850"/>
      <c r="D27" s="1850"/>
      <c r="E27" s="1850"/>
      <c r="F27" s="1850"/>
      <c r="G27" s="1850"/>
      <c r="H27" s="1850"/>
      <c r="I27" s="1851"/>
      <c r="J27" s="1858"/>
      <c r="K27" s="1859"/>
      <c r="L27" s="1859"/>
      <c r="M27" s="1859"/>
      <c r="N27" s="1859"/>
      <c r="O27" s="1860"/>
      <c r="P27" s="1858"/>
      <c r="Q27" s="1859"/>
      <c r="R27" s="1859"/>
      <c r="S27" s="1859"/>
      <c r="T27" s="1859"/>
      <c r="U27" s="1860"/>
      <c r="V27" s="1858"/>
      <c r="W27" s="1859"/>
      <c r="X27" s="1859"/>
      <c r="Y27" s="1859"/>
      <c r="Z27" s="1859"/>
      <c r="AA27" s="1860"/>
      <c r="AB27" s="1858"/>
      <c r="AC27" s="1859"/>
      <c r="AD27" s="1859"/>
      <c r="AE27" s="1859"/>
      <c r="AF27" s="1859"/>
      <c r="AG27" s="1860"/>
      <c r="AH27" s="1858"/>
      <c r="AI27" s="1859"/>
      <c r="AJ27" s="1859"/>
      <c r="AK27" s="1859"/>
      <c r="AL27" s="1859"/>
      <c r="AM27" s="1860"/>
      <c r="AN27" s="1858"/>
      <c r="AO27" s="1859"/>
      <c r="AP27" s="1859"/>
      <c r="AQ27" s="1859"/>
      <c r="AR27" s="1859"/>
      <c r="AS27" s="1860"/>
      <c r="AT27" s="1855">
        <f t="shared" si="1"/>
        <v>0</v>
      </c>
      <c r="AU27" s="1856"/>
      <c r="AV27" s="1856"/>
      <c r="AW27" s="1856"/>
      <c r="AX27" s="1856"/>
      <c r="AY27" s="1857"/>
      <c r="AZ27" s="1078"/>
      <c r="BA27" s="1078"/>
      <c r="BB27" s="1078"/>
      <c r="BC27" s="1078"/>
      <c r="BD27" s="1078"/>
      <c r="BE27" s="1082"/>
    </row>
    <row r="28" spans="1:58" ht="15" thickBot="1">
      <c r="A28" s="1078"/>
      <c r="B28" s="1861" t="s">
        <v>1915</v>
      </c>
      <c r="C28" s="1862"/>
      <c r="D28" s="1862"/>
      <c r="E28" s="1862"/>
      <c r="F28" s="1862"/>
      <c r="G28" s="1862"/>
      <c r="H28" s="1862"/>
      <c r="I28" s="1863"/>
      <c r="J28" s="1864">
        <f>SUM(P28:AS28)</f>
        <v>1</v>
      </c>
      <c r="K28" s="1865"/>
      <c r="L28" s="1865"/>
      <c r="M28" s="1865"/>
      <c r="N28" s="1865"/>
      <c r="O28" s="1866"/>
      <c r="P28" s="1864">
        <f>_xlfn.IFNA(VLOOKUP(P$18,Application!$J$773:$S$776,6,FALSE), 0)</f>
        <v>0</v>
      </c>
      <c r="Q28" s="1865"/>
      <c r="R28" s="1865"/>
      <c r="S28" s="1865"/>
      <c r="T28" s="1865"/>
      <c r="U28" s="1866"/>
      <c r="V28" s="1864">
        <f>_xlfn.IFNA(VLOOKUP(V$18,Application!$J$773:$S$776,6,FALSE), 0)</f>
        <v>0</v>
      </c>
      <c r="W28" s="1865"/>
      <c r="X28" s="1865"/>
      <c r="Y28" s="1865"/>
      <c r="Z28" s="1865"/>
      <c r="AA28" s="1866"/>
      <c r="AB28" s="1864">
        <f>_xlfn.IFNA(VLOOKUP(AB$18,Application!$J$773:$S$776,6,FALSE), 0)</f>
        <v>0</v>
      </c>
      <c r="AC28" s="1865"/>
      <c r="AD28" s="1865"/>
      <c r="AE28" s="1865"/>
      <c r="AF28" s="1865"/>
      <c r="AG28" s="1866"/>
      <c r="AH28" s="1864">
        <f>_xlfn.IFNA(VLOOKUP(AH$18,Application!$J$773:$S$776,6,FALSE), 0)</f>
        <v>1</v>
      </c>
      <c r="AI28" s="1865"/>
      <c r="AJ28" s="1865"/>
      <c r="AK28" s="1865"/>
      <c r="AL28" s="1865"/>
      <c r="AM28" s="1866"/>
      <c r="AN28" s="1864">
        <f>_xlfn.IFNA(VLOOKUP(AN$18,Application!$J$773:$S$776,6,FALSE), 0)</f>
        <v>0</v>
      </c>
      <c r="AO28" s="1865"/>
      <c r="AP28" s="1865"/>
      <c r="AQ28" s="1865"/>
      <c r="AR28" s="1865"/>
      <c r="AS28" s="1866"/>
      <c r="AT28" s="1867">
        <f t="shared" si="1"/>
        <v>3.5714285714285712E-2</v>
      </c>
      <c r="AU28" s="1868"/>
      <c r="AV28" s="1868"/>
      <c r="AW28" s="1868"/>
      <c r="AX28" s="1868"/>
      <c r="AY28" s="1869"/>
      <c r="AZ28" s="1078"/>
      <c r="BA28" s="1078"/>
      <c r="BB28" s="1078"/>
      <c r="BC28" s="1078"/>
      <c r="BD28" s="1078"/>
      <c r="BE28" s="1082"/>
    </row>
    <row r="29" spans="1:58" ht="15" thickBot="1">
      <c r="A29" s="1078"/>
      <c r="B29" s="1898" t="s">
        <v>1913</v>
      </c>
      <c r="C29" s="1871"/>
      <c r="D29" s="1871"/>
      <c r="E29" s="1871"/>
      <c r="F29" s="1871"/>
      <c r="G29" s="1871"/>
      <c r="H29" s="1871"/>
      <c r="I29" s="1872"/>
      <c r="J29" s="1870">
        <f>SUM(J19:O28)</f>
        <v>28</v>
      </c>
      <c r="K29" s="1871"/>
      <c r="L29" s="1871"/>
      <c r="M29" s="1871"/>
      <c r="N29" s="1871"/>
      <c r="O29" s="1872"/>
      <c r="P29" s="1870">
        <f>SUM(P19:U28)</f>
        <v>0</v>
      </c>
      <c r="Q29" s="1871"/>
      <c r="R29" s="1871"/>
      <c r="S29" s="1871"/>
      <c r="T29" s="1871"/>
      <c r="U29" s="1872"/>
      <c r="V29" s="1870">
        <f>SUM(V19:AA28)</f>
        <v>8</v>
      </c>
      <c r="W29" s="1871"/>
      <c r="X29" s="1871"/>
      <c r="Y29" s="1871"/>
      <c r="Z29" s="1871"/>
      <c r="AA29" s="1872"/>
      <c r="AB29" s="1870">
        <f>SUM(AB19:AG28)</f>
        <v>10</v>
      </c>
      <c r="AC29" s="1871"/>
      <c r="AD29" s="1871"/>
      <c r="AE29" s="1871"/>
      <c r="AF29" s="1871"/>
      <c r="AG29" s="1872"/>
      <c r="AH29" s="1870">
        <f>SUM(AH19:AM28)</f>
        <v>10</v>
      </c>
      <c r="AI29" s="1871"/>
      <c r="AJ29" s="1871"/>
      <c r="AK29" s="1871"/>
      <c r="AL29" s="1871"/>
      <c r="AM29" s="1872"/>
      <c r="AN29" s="1870">
        <f>SUM(AN19:AS28)</f>
        <v>0</v>
      </c>
      <c r="AO29" s="1871"/>
      <c r="AP29" s="1871"/>
      <c r="AQ29" s="1871"/>
      <c r="AR29" s="1871"/>
      <c r="AS29" s="1872"/>
      <c r="AT29" s="1873">
        <f t="shared" si="1"/>
        <v>1</v>
      </c>
      <c r="AU29" s="1874"/>
      <c r="AV29" s="1874"/>
      <c r="AW29" s="1874"/>
      <c r="AX29" s="1874"/>
      <c r="AY29" s="1875"/>
      <c r="AZ29" s="1078"/>
      <c r="BA29" s="1078"/>
      <c r="BB29" s="1078"/>
      <c r="BC29" s="1078"/>
      <c r="BD29" s="1078"/>
      <c r="BE29" s="1082"/>
    </row>
    <row r="30" spans="1:58" ht="15" thickBot="1">
      <c r="A30" s="1077"/>
      <c r="B30" s="1078"/>
      <c r="C30" s="1078"/>
      <c r="D30" s="1078"/>
      <c r="E30" s="1078"/>
      <c r="F30" s="1078"/>
      <c r="G30" s="1078"/>
      <c r="H30" s="1078"/>
      <c r="I30" s="1078"/>
      <c r="J30" s="1078"/>
      <c r="K30" s="1078"/>
      <c r="L30" s="1078"/>
      <c r="M30" s="1078"/>
      <c r="N30" s="1078"/>
      <c r="O30" s="1078"/>
      <c r="P30" s="1078"/>
      <c r="Q30" s="1078"/>
      <c r="R30" s="1078"/>
      <c r="S30" s="1078"/>
      <c r="T30" s="1078"/>
      <c r="U30" s="1078"/>
      <c r="V30" s="1078"/>
      <c r="W30" s="1078"/>
      <c r="X30" s="1078"/>
      <c r="Y30" s="1078"/>
      <c r="Z30" s="1078"/>
      <c r="AA30" s="1078"/>
      <c r="AB30" s="1078"/>
      <c r="AC30" s="1078"/>
      <c r="AD30" s="1078"/>
      <c r="AE30" s="1078"/>
      <c r="AF30" s="1078"/>
      <c r="AG30" s="1078"/>
      <c r="AH30" s="1078"/>
      <c r="AI30" s="1078"/>
      <c r="AJ30" s="1078"/>
      <c r="AK30" s="1078"/>
      <c r="AL30" s="1078"/>
      <c r="AM30" s="1078"/>
      <c r="AN30" s="1078"/>
      <c r="AO30" s="1078"/>
      <c r="AP30" s="1078"/>
      <c r="AQ30" s="1078"/>
      <c r="AR30" s="1078"/>
      <c r="AS30" s="1078"/>
      <c r="AT30" s="1078"/>
      <c r="AU30" s="1078"/>
      <c r="AV30" s="1078"/>
      <c r="AW30" s="1078"/>
      <c r="AX30" s="1078"/>
      <c r="AY30" s="1078"/>
      <c r="AZ30" s="1078"/>
      <c r="BA30" s="1078"/>
      <c r="BB30" s="1078"/>
      <c r="BC30" s="1078"/>
      <c r="BD30" s="1078"/>
      <c r="BE30" s="1082"/>
    </row>
    <row r="31" spans="1:58" ht="15" thickBot="1">
      <c r="A31" s="1078"/>
      <c r="B31" s="1876" t="s">
        <v>1916</v>
      </c>
      <c r="C31" s="1877"/>
      <c r="D31" s="1877"/>
      <c r="E31" s="1877"/>
      <c r="F31" s="1877"/>
      <c r="G31" s="1877"/>
      <c r="H31" s="1877"/>
      <c r="I31" s="1877"/>
      <c r="J31" s="1877"/>
      <c r="K31" s="1877"/>
      <c r="L31" s="1877"/>
      <c r="M31" s="1877"/>
      <c r="N31" s="1877"/>
      <c r="O31" s="1877"/>
      <c r="P31" s="1877"/>
      <c r="Q31" s="1877"/>
      <c r="R31" s="1877"/>
      <c r="S31" s="1877"/>
      <c r="T31" s="1877"/>
      <c r="U31" s="1877"/>
      <c r="V31" s="1877"/>
      <c r="W31" s="1877"/>
      <c r="X31" s="1877"/>
      <c r="Y31" s="1877"/>
      <c r="Z31" s="1877"/>
      <c r="AA31" s="1877"/>
      <c r="AB31" s="1877"/>
      <c r="AC31" s="1877"/>
      <c r="AD31" s="1877"/>
      <c r="AE31" s="1877"/>
      <c r="AF31" s="1877"/>
      <c r="AG31" s="1877"/>
      <c r="AH31" s="1877"/>
      <c r="AI31" s="1877"/>
      <c r="AJ31" s="1877"/>
      <c r="AK31" s="1877"/>
      <c r="AL31" s="1877"/>
      <c r="AM31" s="1877"/>
      <c r="AN31" s="1877"/>
      <c r="AO31" s="1877"/>
      <c r="AP31" s="1877"/>
      <c r="AQ31" s="1877"/>
      <c r="AR31" s="1877"/>
      <c r="AS31" s="1877"/>
      <c r="AT31" s="1877"/>
      <c r="AU31" s="1877"/>
      <c r="AV31" s="1877"/>
      <c r="AW31" s="1877"/>
      <c r="AX31" s="1877"/>
      <c r="AY31" s="1877"/>
      <c r="AZ31" s="1877"/>
      <c r="BA31" s="1877"/>
      <c r="BB31" s="1877"/>
      <c r="BC31" s="1877"/>
      <c r="BD31" s="1878"/>
      <c r="BE31" s="1082"/>
    </row>
    <row r="32" spans="1:58" ht="15" thickBot="1">
      <c r="A32" s="1078"/>
      <c r="B32" s="1879" t="s">
        <v>1917</v>
      </c>
      <c r="C32" s="1880"/>
      <c r="D32" s="1880"/>
      <c r="E32" s="1880"/>
      <c r="F32" s="1880"/>
      <c r="G32" s="1880"/>
      <c r="H32" s="1880"/>
      <c r="I32" s="1880"/>
      <c r="J32" s="1883" t="s">
        <v>1918</v>
      </c>
      <c r="K32" s="1884"/>
      <c r="L32" s="1884"/>
      <c r="M32" s="1884"/>
      <c r="N32" s="1883" t="s">
        <v>1919</v>
      </c>
      <c r="O32" s="1884"/>
      <c r="P32" s="1884"/>
      <c r="Q32" s="1886"/>
      <c r="R32" s="1888" t="s">
        <v>1920</v>
      </c>
      <c r="S32" s="1889"/>
      <c r="T32" s="1889"/>
      <c r="U32" s="1889"/>
      <c r="V32" s="1889"/>
      <c r="W32" s="1889"/>
      <c r="X32" s="1889"/>
      <c r="Y32" s="1889"/>
      <c r="Z32" s="1889"/>
      <c r="AA32" s="1889"/>
      <c r="AB32" s="1889"/>
      <c r="AC32" s="1889"/>
      <c r="AD32" s="1889"/>
      <c r="AE32" s="1889"/>
      <c r="AF32" s="1889"/>
      <c r="AG32" s="1889"/>
      <c r="AH32" s="1889"/>
      <c r="AI32" s="1889"/>
      <c r="AJ32" s="1889"/>
      <c r="AK32" s="1889"/>
      <c r="AL32" s="1889"/>
      <c r="AM32" s="1889"/>
      <c r="AN32" s="1889"/>
      <c r="AO32" s="1889"/>
      <c r="AP32" s="1889"/>
      <c r="AQ32" s="1889"/>
      <c r="AR32" s="1889"/>
      <c r="AS32" s="1889"/>
      <c r="AT32" s="1889"/>
      <c r="AU32" s="1889"/>
      <c r="AV32" s="1889"/>
      <c r="AW32" s="1889"/>
      <c r="AX32" s="1889"/>
      <c r="AY32" s="1889"/>
      <c r="AZ32" s="1889"/>
      <c r="BA32" s="1889"/>
      <c r="BB32" s="1889"/>
      <c r="BC32" s="1889"/>
      <c r="BD32" s="1890"/>
      <c r="BE32" s="1082"/>
    </row>
    <row r="33" spans="1:58" ht="15" customHeight="1">
      <c r="A33" s="1078"/>
      <c r="B33" s="1881"/>
      <c r="C33" s="1882"/>
      <c r="D33" s="1882"/>
      <c r="E33" s="1882"/>
      <c r="F33" s="1882"/>
      <c r="G33" s="1882"/>
      <c r="H33" s="1882"/>
      <c r="I33" s="1882"/>
      <c r="J33" s="1885"/>
      <c r="K33" s="1885"/>
      <c r="L33" s="1885"/>
      <c r="M33" s="1885"/>
      <c r="N33" s="1885"/>
      <c r="O33" s="1885"/>
      <c r="P33" s="1885"/>
      <c r="Q33" s="1887"/>
      <c r="R33" s="1891" t="s">
        <v>1921</v>
      </c>
      <c r="S33" s="1892"/>
      <c r="T33" s="1892"/>
      <c r="U33" s="1892"/>
      <c r="V33" s="1892"/>
      <c r="W33" s="1892"/>
      <c r="X33" s="1892"/>
      <c r="Y33" s="1892"/>
      <c r="Z33" s="1892"/>
      <c r="AA33" s="1892"/>
      <c r="AB33" s="1892"/>
      <c r="AC33" s="1892"/>
      <c r="AD33" s="1892"/>
      <c r="AE33" s="1892"/>
      <c r="AF33" s="1892"/>
      <c r="AG33" s="1892"/>
      <c r="AH33" s="1892"/>
      <c r="AI33" s="1892"/>
      <c r="AJ33" s="1892"/>
      <c r="AK33" s="1892"/>
      <c r="AL33" s="1892"/>
      <c r="AM33" s="1892"/>
      <c r="AN33" s="1892"/>
      <c r="AO33" s="1892"/>
      <c r="AP33" s="1892"/>
      <c r="AQ33" s="1892"/>
      <c r="AR33" s="1892"/>
      <c r="AS33" s="1892"/>
      <c r="AT33" s="1892"/>
      <c r="AU33" s="1892"/>
      <c r="AV33" s="1892"/>
      <c r="AW33" s="1892"/>
      <c r="AX33" s="1892"/>
      <c r="AY33" s="1892"/>
      <c r="AZ33" s="1892"/>
      <c r="BA33" s="1892"/>
      <c r="BB33" s="1892"/>
      <c r="BC33" s="1892"/>
      <c r="BD33" s="1893"/>
      <c r="BE33" s="1082"/>
    </row>
    <row r="34" spans="1:58" ht="15.75" customHeight="1" thickBot="1">
      <c r="A34" s="1078"/>
      <c r="B34" s="1881"/>
      <c r="C34" s="1882"/>
      <c r="D34" s="1882"/>
      <c r="E34" s="1882"/>
      <c r="F34" s="1882"/>
      <c r="G34" s="1882"/>
      <c r="H34" s="1882"/>
      <c r="I34" s="1882"/>
      <c r="J34" s="1885"/>
      <c r="K34" s="1885"/>
      <c r="L34" s="1885"/>
      <c r="M34" s="1885"/>
      <c r="N34" s="1885"/>
      <c r="O34" s="1885"/>
      <c r="P34" s="1885"/>
      <c r="Q34" s="1887"/>
      <c r="R34" s="1894"/>
      <c r="S34" s="1895"/>
      <c r="T34" s="1895"/>
      <c r="U34" s="1895"/>
      <c r="V34" s="1895"/>
      <c r="W34" s="1895"/>
      <c r="X34" s="1895"/>
      <c r="Y34" s="1895"/>
      <c r="Z34" s="1895"/>
      <c r="AA34" s="1895"/>
      <c r="AB34" s="1895"/>
      <c r="AC34" s="1895"/>
      <c r="AD34" s="1895"/>
      <c r="AE34" s="1895"/>
      <c r="AF34" s="1895"/>
      <c r="AG34" s="1895"/>
      <c r="AH34" s="1895"/>
      <c r="AI34" s="1895"/>
      <c r="AJ34" s="1895"/>
      <c r="AK34" s="1895"/>
      <c r="AL34" s="1895"/>
      <c r="AM34" s="1895"/>
      <c r="AN34" s="1895"/>
      <c r="AO34" s="1895"/>
      <c r="AP34" s="1895"/>
      <c r="AQ34" s="1895"/>
      <c r="AR34" s="1895"/>
      <c r="AS34" s="1895"/>
      <c r="AT34" s="1895"/>
      <c r="AU34" s="1895"/>
      <c r="AV34" s="1895"/>
      <c r="AW34" s="1895"/>
      <c r="AX34" s="1895"/>
      <c r="AY34" s="1895"/>
      <c r="AZ34" s="1895"/>
      <c r="BA34" s="1895"/>
      <c r="BB34" s="1895"/>
      <c r="BC34" s="1895"/>
      <c r="BD34" s="1896"/>
      <c r="BE34" s="1082"/>
    </row>
    <row r="35" spans="1:58" ht="15.75" customHeight="1">
      <c r="A35" s="1078"/>
      <c r="B35" s="1881"/>
      <c r="C35" s="1882"/>
      <c r="D35" s="1882"/>
      <c r="E35" s="1882"/>
      <c r="F35" s="1882"/>
      <c r="G35" s="1882"/>
      <c r="H35" s="1882"/>
      <c r="I35" s="1882"/>
      <c r="J35" s="1885"/>
      <c r="K35" s="1885"/>
      <c r="L35" s="1885"/>
      <c r="M35" s="1885"/>
      <c r="N35" s="1885"/>
      <c r="O35" s="1885"/>
      <c r="P35" s="1885"/>
      <c r="Q35" s="1885"/>
      <c r="R35" s="1897">
        <v>0.3</v>
      </c>
      <c r="S35" s="1897"/>
      <c r="T35" s="1897"/>
      <c r="U35" s="1897"/>
      <c r="V35" s="1897">
        <v>0.4</v>
      </c>
      <c r="W35" s="1897"/>
      <c r="X35" s="1897"/>
      <c r="Y35" s="1897"/>
      <c r="Z35" s="1897">
        <v>0.5</v>
      </c>
      <c r="AA35" s="1897"/>
      <c r="AB35" s="1897"/>
      <c r="AC35" s="1897"/>
      <c r="AD35" s="1897">
        <v>0.6</v>
      </c>
      <c r="AE35" s="1897"/>
      <c r="AF35" s="1897"/>
      <c r="AG35" s="1897"/>
      <c r="AH35" s="1897">
        <v>0.7</v>
      </c>
      <c r="AI35" s="1897"/>
      <c r="AJ35" s="1897"/>
      <c r="AK35" s="1897"/>
      <c r="AL35" s="1902">
        <v>0.8</v>
      </c>
      <c r="AM35" s="1903"/>
      <c r="AN35" s="1903"/>
      <c r="AO35" s="1904"/>
      <c r="AP35" s="1905">
        <v>1.2</v>
      </c>
      <c r="AQ35" s="1906"/>
      <c r="AR35" s="1907"/>
      <c r="AS35" s="1899" t="s">
        <v>1922</v>
      </c>
      <c r="AT35" s="1900"/>
      <c r="AU35" s="1900"/>
      <c r="AV35" s="1900"/>
      <c r="AW35" s="1900"/>
      <c r="AX35" s="1908"/>
      <c r="AY35" s="1899" t="s">
        <v>1923</v>
      </c>
      <c r="AZ35" s="1900"/>
      <c r="BA35" s="1900"/>
      <c r="BB35" s="1900"/>
      <c r="BC35" s="1900"/>
      <c r="BD35" s="1901"/>
      <c r="BE35" s="1082"/>
    </row>
    <row r="36" spans="1:58" ht="15.75" customHeight="1">
      <c r="A36" s="1078"/>
      <c r="B36" s="1918" t="s">
        <v>1924</v>
      </c>
      <c r="C36" s="1919"/>
      <c r="D36" s="1919"/>
      <c r="E36" s="1919"/>
      <c r="F36" s="1919"/>
      <c r="G36" s="1919"/>
      <c r="H36" s="1919"/>
      <c r="I36" s="1919"/>
      <c r="J36" s="1920" t="s">
        <v>1925</v>
      </c>
      <c r="K36" s="1920"/>
      <c r="L36" s="1920"/>
      <c r="M36" s="1920"/>
      <c r="N36" s="1920">
        <v>55</v>
      </c>
      <c r="O36" s="1920"/>
      <c r="P36" s="1920"/>
      <c r="Q36" s="1920"/>
      <c r="R36" s="1921"/>
      <c r="S36" s="1921"/>
      <c r="T36" s="1921"/>
      <c r="U36" s="1921"/>
      <c r="V36" s="1921"/>
      <c r="W36" s="1921"/>
      <c r="X36" s="1921"/>
      <c r="Y36" s="1921"/>
      <c r="Z36" s="1921"/>
      <c r="AA36" s="1921"/>
      <c r="AB36" s="1921"/>
      <c r="AC36" s="1921"/>
      <c r="AD36" s="1921"/>
      <c r="AE36" s="1921"/>
      <c r="AF36" s="1921"/>
      <c r="AG36" s="1921"/>
      <c r="AH36" s="1921"/>
      <c r="AI36" s="1921"/>
      <c r="AJ36" s="1921"/>
      <c r="AK36" s="1921"/>
      <c r="AL36" s="1909"/>
      <c r="AM36" s="1910"/>
      <c r="AN36" s="1910"/>
      <c r="AO36" s="1911"/>
      <c r="AP36" s="1909"/>
      <c r="AQ36" s="1910"/>
      <c r="AR36" s="1911"/>
      <c r="AS36" s="1912">
        <f t="shared" ref="AS36:AS47" si="2">SUM(R36:AR36)</f>
        <v>0</v>
      </c>
      <c r="AT36" s="1913"/>
      <c r="AU36" s="1913"/>
      <c r="AV36" s="1913"/>
      <c r="AW36" s="1913"/>
      <c r="AX36" s="1914"/>
      <c r="AY36" s="1915">
        <f t="shared" ref="AY36:AY47" si="3">AS36/$J$29</f>
        <v>0</v>
      </c>
      <c r="AZ36" s="1916"/>
      <c r="BA36" s="1916"/>
      <c r="BB36" s="1916"/>
      <c r="BC36" s="1916"/>
      <c r="BD36" s="1917"/>
      <c r="BE36" s="1082"/>
    </row>
    <row r="37" spans="1:58" ht="15.75" customHeight="1">
      <c r="A37" s="1078"/>
      <c r="B37" s="1918" t="s">
        <v>1926</v>
      </c>
      <c r="C37" s="1919"/>
      <c r="D37" s="1919"/>
      <c r="E37" s="1919"/>
      <c r="F37" s="1919"/>
      <c r="G37" s="1919"/>
      <c r="H37" s="1919"/>
      <c r="I37" s="1919"/>
      <c r="J37" s="1920" t="s">
        <v>1927</v>
      </c>
      <c r="K37" s="1920"/>
      <c r="L37" s="1920"/>
      <c r="M37" s="1920"/>
      <c r="N37" s="1920">
        <v>55</v>
      </c>
      <c r="O37" s="1920"/>
      <c r="P37" s="1920"/>
      <c r="Q37" s="1920"/>
      <c r="R37" s="1921"/>
      <c r="S37" s="1921"/>
      <c r="T37" s="1921"/>
      <c r="U37" s="1921"/>
      <c r="V37" s="1921"/>
      <c r="W37" s="1921"/>
      <c r="X37" s="1921"/>
      <c r="Y37" s="1921"/>
      <c r="Z37" s="1921"/>
      <c r="AA37" s="1921"/>
      <c r="AB37" s="1921"/>
      <c r="AC37" s="1921"/>
      <c r="AD37" s="1921"/>
      <c r="AE37" s="1921"/>
      <c r="AF37" s="1921"/>
      <c r="AG37" s="1921"/>
      <c r="AH37" s="1921"/>
      <c r="AI37" s="1921"/>
      <c r="AJ37" s="1921"/>
      <c r="AK37" s="1921"/>
      <c r="AL37" s="1909"/>
      <c r="AM37" s="1910"/>
      <c r="AN37" s="1910"/>
      <c r="AO37" s="1911"/>
      <c r="AP37" s="1909"/>
      <c r="AQ37" s="1910"/>
      <c r="AR37" s="1911"/>
      <c r="AS37" s="1912">
        <f t="shared" si="2"/>
        <v>0</v>
      </c>
      <c r="AT37" s="1913"/>
      <c r="AU37" s="1913"/>
      <c r="AV37" s="1913"/>
      <c r="AW37" s="1913"/>
      <c r="AX37" s="1914"/>
      <c r="AY37" s="1915">
        <f t="shared" si="3"/>
        <v>0</v>
      </c>
      <c r="AZ37" s="1916"/>
      <c r="BA37" s="1916"/>
      <c r="BB37" s="1916"/>
      <c r="BC37" s="1916"/>
      <c r="BD37" s="1917"/>
      <c r="BE37" s="1082"/>
    </row>
    <row r="38" spans="1:58" ht="15.75" customHeight="1">
      <c r="A38" s="1078"/>
      <c r="B38" s="1918" t="s">
        <v>1928</v>
      </c>
      <c r="C38" s="1919"/>
      <c r="D38" s="1919"/>
      <c r="E38" s="1919"/>
      <c r="F38" s="1919"/>
      <c r="G38" s="1919"/>
      <c r="H38" s="1919"/>
      <c r="I38" s="1919"/>
      <c r="J38" s="1920" t="s">
        <v>1929</v>
      </c>
      <c r="K38" s="1920"/>
      <c r="L38" s="1920"/>
      <c r="M38" s="1920"/>
      <c r="N38" s="1920">
        <v>55</v>
      </c>
      <c r="O38" s="1920"/>
      <c r="P38" s="1920"/>
      <c r="Q38" s="1920"/>
      <c r="R38" s="1921"/>
      <c r="S38" s="1921"/>
      <c r="T38" s="1921"/>
      <c r="U38" s="1921"/>
      <c r="V38" s="1921"/>
      <c r="W38" s="1921"/>
      <c r="X38" s="1921"/>
      <c r="Y38" s="1921"/>
      <c r="Z38" s="1921"/>
      <c r="AA38" s="1921"/>
      <c r="AB38" s="1921"/>
      <c r="AC38" s="1921"/>
      <c r="AD38" s="1921"/>
      <c r="AE38" s="1921"/>
      <c r="AF38" s="1921"/>
      <c r="AG38" s="1921"/>
      <c r="AH38" s="1921"/>
      <c r="AI38" s="1921"/>
      <c r="AJ38" s="1921"/>
      <c r="AK38" s="1921"/>
      <c r="AL38" s="1909"/>
      <c r="AM38" s="1910"/>
      <c r="AN38" s="1910"/>
      <c r="AO38" s="1911"/>
      <c r="AP38" s="1909"/>
      <c r="AQ38" s="1910"/>
      <c r="AR38" s="1911"/>
      <c r="AS38" s="1912">
        <f t="shared" si="2"/>
        <v>0</v>
      </c>
      <c r="AT38" s="1913"/>
      <c r="AU38" s="1913"/>
      <c r="AV38" s="1913"/>
      <c r="AW38" s="1913"/>
      <c r="AX38" s="1914"/>
      <c r="AY38" s="1915">
        <f t="shared" si="3"/>
        <v>0</v>
      </c>
      <c r="AZ38" s="1916"/>
      <c r="BA38" s="1916"/>
      <c r="BB38" s="1916"/>
      <c r="BC38" s="1916"/>
      <c r="BD38" s="1917"/>
      <c r="BE38" s="1082"/>
    </row>
    <row r="39" spans="1:58" ht="15.75" customHeight="1">
      <c r="A39" s="1078"/>
      <c r="B39" s="1918" t="s">
        <v>1930</v>
      </c>
      <c r="C39" s="1919"/>
      <c r="D39" s="1919"/>
      <c r="E39" s="1919"/>
      <c r="F39" s="1919"/>
      <c r="G39" s="1919"/>
      <c r="H39" s="1919"/>
      <c r="I39" s="1919"/>
      <c r="J39" s="1920"/>
      <c r="K39" s="1920"/>
      <c r="L39" s="1920"/>
      <c r="M39" s="1920"/>
      <c r="N39" s="1920"/>
      <c r="O39" s="1920"/>
      <c r="P39" s="1920"/>
      <c r="Q39" s="1920"/>
      <c r="R39" s="1921"/>
      <c r="S39" s="1921"/>
      <c r="T39" s="1921"/>
      <c r="U39" s="1921"/>
      <c r="V39" s="1921"/>
      <c r="W39" s="1921"/>
      <c r="X39" s="1921"/>
      <c r="Y39" s="1921"/>
      <c r="Z39" s="1921"/>
      <c r="AA39" s="1921"/>
      <c r="AB39" s="1921"/>
      <c r="AC39" s="1921"/>
      <c r="AD39" s="1921"/>
      <c r="AE39" s="1921"/>
      <c r="AF39" s="1921"/>
      <c r="AG39" s="1921"/>
      <c r="AH39" s="1921"/>
      <c r="AI39" s="1921"/>
      <c r="AJ39" s="1921"/>
      <c r="AK39" s="1921"/>
      <c r="AL39" s="1909"/>
      <c r="AM39" s="1910"/>
      <c r="AN39" s="1910"/>
      <c r="AO39" s="1911"/>
      <c r="AP39" s="1909"/>
      <c r="AQ39" s="1910"/>
      <c r="AR39" s="1911"/>
      <c r="AS39" s="1912">
        <f t="shared" si="2"/>
        <v>0</v>
      </c>
      <c r="AT39" s="1913"/>
      <c r="AU39" s="1913"/>
      <c r="AV39" s="1913"/>
      <c r="AW39" s="1913"/>
      <c r="AX39" s="1914"/>
      <c r="AY39" s="1915">
        <f t="shared" si="3"/>
        <v>0</v>
      </c>
      <c r="AZ39" s="1916"/>
      <c r="BA39" s="1916"/>
      <c r="BB39" s="1916"/>
      <c r="BC39" s="1916"/>
      <c r="BD39" s="1917"/>
      <c r="BE39" s="1082"/>
    </row>
    <row r="40" spans="1:58" ht="15.75" customHeight="1">
      <c r="A40" s="1078"/>
      <c r="B40" s="1918" t="s">
        <v>1930</v>
      </c>
      <c r="C40" s="1919"/>
      <c r="D40" s="1919"/>
      <c r="E40" s="1919"/>
      <c r="F40" s="1919"/>
      <c r="G40" s="1919"/>
      <c r="H40" s="1919"/>
      <c r="I40" s="1919"/>
      <c r="J40" s="1920"/>
      <c r="K40" s="1920"/>
      <c r="L40" s="1920"/>
      <c r="M40" s="1920"/>
      <c r="N40" s="1920"/>
      <c r="O40" s="1920"/>
      <c r="P40" s="1920"/>
      <c r="Q40" s="1920"/>
      <c r="R40" s="1921"/>
      <c r="S40" s="1921"/>
      <c r="T40" s="1921"/>
      <c r="U40" s="1921"/>
      <c r="V40" s="1921"/>
      <c r="W40" s="1921"/>
      <c r="X40" s="1921"/>
      <c r="Y40" s="1921"/>
      <c r="Z40" s="1921"/>
      <c r="AA40" s="1921"/>
      <c r="AB40" s="1921"/>
      <c r="AC40" s="1921"/>
      <c r="AD40" s="1921"/>
      <c r="AE40" s="1921"/>
      <c r="AF40" s="1921"/>
      <c r="AG40" s="1921"/>
      <c r="AH40" s="1921"/>
      <c r="AI40" s="1921"/>
      <c r="AJ40" s="1921"/>
      <c r="AK40" s="1921"/>
      <c r="AL40" s="1909"/>
      <c r="AM40" s="1910"/>
      <c r="AN40" s="1910"/>
      <c r="AO40" s="1911"/>
      <c r="AP40" s="1909"/>
      <c r="AQ40" s="1910"/>
      <c r="AR40" s="1911"/>
      <c r="AS40" s="1912">
        <f t="shared" si="2"/>
        <v>0</v>
      </c>
      <c r="AT40" s="1913"/>
      <c r="AU40" s="1913"/>
      <c r="AV40" s="1913"/>
      <c r="AW40" s="1913"/>
      <c r="AX40" s="1914"/>
      <c r="AY40" s="1915">
        <f t="shared" si="3"/>
        <v>0</v>
      </c>
      <c r="AZ40" s="1916"/>
      <c r="BA40" s="1916"/>
      <c r="BB40" s="1916"/>
      <c r="BC40" s="1916"/>
      <c r="BD40" s="1917"/>
      <c r="BE40" s="1082"/>
    </row>
    <row r="41" spans="1:58" ht="15.75" customHeight="1">
      <c r="A41" s="1078"/>
      <c r="B41" s="1918" t="s">
        <v>1931</v>
      </c>
      <c r="C41" s="1919"/>
      <c r="D41" s="1919"/>
      <c r="E41" s="1919"/>
      <c r="F41" s="1919"/>
      <c r="G41" s="1919"/>
      <c r="H41" s="1919"/>
      <c r="I41" s="1919"/>
      <c r="J41" s="1920"/>
      <c r="K41" s="1920"/>
      <c r="L41" s="1920"/>
      <c r="M41" s="1920"/>
      <c r="N41" s="1920"/>
      <c r="O41" s="1920"/>
      <c r="P41" s="1920"/>
      <c r="Q41" s="1920"/>
      <c r="R41" s="1921"/>
      <c r="S41" s="1921"/>
      <c r="T41" s="1921"/>
      <c r="U41" s="1921"/>
      <c r="V41" s="1921"/>
      <c r="W41" s="1921"/>
      <c r="X41" s="1921"/>
      <c r="Y41" s="1921"/>
      <c r="Z41" s="1921"/>
      <c r="AA41" s="1921"/>
      <c r="AB41" s="1921"/>
      <c r="AC41" s="1921"/>
      <c r="AD41" s="1921"/>
      <c r="AE41" s="1921"/>
      <c r="AF41" s="1921"/>
      <c r="AG41" s="1921"/>
      <c r="AH41" s="1921"/>
      <c r="AI41" s="1921"/>
      <c r="AJ41" s="1921"/>
      <c r="AK41" s="1921"/>
      <c r="AL41" s="1909"/>
      <c r="AM41" s="1910"/>
      <c r="AN41" s="1910"/>
      <c r="AO41" s="1911"/>
      <c r="AP41" s="1909"/>
      <c r="AQ41" s="1910"/>
      <c r="AR41" s="1911"/>
      <c r="AS41" s="1912">
        <f t="shared" si="2"/>
        <v>0</v>
      </c>
      <c r="AT41" s="1913"/>
      <c r="AU41" s="1913"/>
      <c r="AV41" s="1913"/>
      <c r="AW41" s="1913"/>
      <c r="AX41" s="1914"/>
      <c r="AY41" s="1915">
        <f t="shared" si="3"/>
        <v>0</v>
      </c>
      <c r="AZ41" s="1916"/>
      <c r="BA41" s="1916"/>
      <c r="BB41" s="1916"/>
      <c r="BC41" s="1916"/>
      <c r="BD41" s="1917"/>
      <c r="BE41" s="1082"/>
    </row>
    <row r="42" spans="1:58" ht="15.75" customHeight="1">
      <c r="A42" s="1078"/>
      <c r="B42" s="1918" t="s">
        <v>1931</v>
      </c>
      <c r="C42" s="1919"/>
      <c r="D42" s="1919"/>
      <c r="E42" s="1919"/>
      <c r="F42" s="1919"/>
      <c r="G42" s="1919"/>
      <c r="H42" s="1919"/>
      <c r="I42" s="1919"/>
      <c r="J42" s="1920"/>
      <c r="K42" s="1920"/>
      <c r="L42" s="1920"/>
      <c r="M42" s="1920"/>
      <c r="N42" s="1920"/>
      <c r="O42" s="1920"/>
      <c r="P42" s="1920"/>
      <c r="Q42" s="1920"/>
      <c r="R42" s="1921"/>
      <c r="S42" s="1921"/>
      <c r="T42" s="1921"/>
      <c r="U42" s="1921"/>
      <c r="V42" s="1921"/>
      <c r="W42" s="1921"/>
      <c r="X42" s="1921"/>
      <c r="Y42" s="1921"/>
      <c r="Z42" s="1921"/>
      <c r="AA42" s="1921"/>
      <c r="AB42" s="1921"/>
      <c r="AC42" s="1921"/>
      <c r="AD42" s="1921"/>
      <c r="AE42" s="1921"/>
      <c r="AF42" s="1921"/>
      <c r="AG42" s="1921"/>
      <c r="AH42" s="1921"/>
      <c r="AI42" s="1921"/>
      <c r="AJ42" s="1921"/>
      <c r="AK42" s="1921"/>
      <c r="AL42" s="1909"/>
      <c r="AM42" s="1910"/>
      <c r="AN42" s="1910"/>
      <c r="AO42" s="1911"/>
      <c r="AP42" s="1909"/>
      <c r="AQ42" s="1910"/>
      <c r="AR42" s="1911"/>
      <c r="AS42" s="1912">
        <f t="shared" si="2"/>
        <v>0</v>
      </c>
      <c r="AT42" s="1913"/>
      <c r="AU42" s="1913"/>
      <c r="AV42" s="1913"/>
      <c r="AW42" s="1913"/>
      <c r="AX42" s="1914"/>
      <c r="AY42" s="1915">
        <f t="shared" si="3"/>
        <v>0</v>
      </c>
      <c r="AZ42" s="1916"/>
      <c r="BA42" s="1916"/>
      <c r="BB42" s="1916"/>
      <c r="BC42" s="1916"/>
      <c r="BD42" s="1917"/>
      <c r="BE42" s="1082"/>
    </row>
    <row r="43" spans="1:58" ht="15.75" customHeight="1">
      <c r="A43" s="1078"/>
      <c r="B43" s="1922" t="s">
        <v>1932</v>
      </c>
      <c r="C43" s="1923"/>
      <c r="D43" s="1923"/>
      <c r="E43" s="1923"/>
      <c r="F43" s="1923"/>
      <c r="G43" s="1923"/>
      <c r="H43" s="1923"/>
      <c r="I43" s="1923"/>
      <c r="J43" s="1920"/>
      <c r="K43" s="1920"/>
      <c r="L43" s="1920"/>
      <c r="M43" s="1920"/>
      <c r="N43" s="1920"/>
      <c r="O43" s="1920"/>
      <c r="P43" s="1920"/>
      <c r="Q43" s="1920"/>
      <c r="R43" s="1921"/>
      <c r="S43" s="1921"/>
      <c r="T43" s="1921"/>
      <c r="U43" s="1921"/>
      <c r="V43" s="1921"/>
      <c r="W43" s="1921"/>
      <c r="X43" s="1921"/>
      <c r="Y43" s="1921"/>
      <c r="Z43" s="1921"/>
      <c r="AA43" s="1921"/>
      <c r="AB43" s="1921"/>
      <c r="AC43" s="1921"/>
      <c r="AD43" s="1921"/>
      <c r="AE43" s="1921"/>
      <c r="AF43" s="1921"/>
      <c r="AG43" s="1921"/>
      <c r="AH43" s="1921"/>
      <c r="AI43" s="1921"/>
      <c r="AJ43" s="1921"/>
      <c r="AK43" s="1921"/>
      <c r="AL43" s="1909"/>
      <c r="AM43" s="1910"/>
      <c r="AN43" s="1910"/>
      <c r="AO43" s="1911"/>
      <c r="AP43" s="1909"/>
      <c r="AQ43" s="1910"/>
      <c r="AR43" s="1911"/>
      <c r="AS43" s="1912">
        <f t="shared" si="2"/>
        <v>0</v>
      </c>
      <c r="AT43" s="1913"/>
      <c r="AU43" s="1913"/>
      <c r="AV43" s="1913"/>
      <c r="AW43" s="1913"/>
      <c r="AX43" s="1914"/>
      <c r="AY43" s="1915">
        <f t="shared" si="3"/>
        <v>0</v>
      </c>
      <c r="AZ43" s="1916"/>
      <c r="BA43" s="1916"/>
      <c r="BB43" s="1916"/>
      <c r="BC43" s="1916"/>
      <c r="BD43" s="1917"/>
      <c r="BE43" s="1082"/>
    </row>
    <row r="44" spans="1:58" ht="15.75" customHeight="1">
      <c r="A44" s="1078"/>
      <c r="B44" s="1922" t="s">
        <v>1933</v>
      </c>
      <c r="C44" s="1923"/>
      <c r="D44" s="1923"/>
      <c r="E44" s="1923"/>
      <c r="F44" s="1923"/>
      <c r="G44" s="1923"/>
      <c r="H44" s="1923"/>
      <c r="I44" s="1923"/>
      <c r="J44" s="1920"/>
      <c r="K44" s="1920"/>
      <c r="L44" s="1920"/>
      <c r="M44" s="1920"/>
      <c r="N44" s="1920"/>
      <c r="O44" s="1920"/>
      <c r="P44" s="1920"/>
      <c r="Q44" s="1920"/>
      <c r="R44" s="1921"/>
      <c r="S44" s="1921"/>
      <c r="T44" s="1921"/>
      <c r="U44" s="1921"/>
      <c r="V44" s="1921"/>
      <c r="W44" s="1921"/>
      <c r="X44" s="1921"/>
      <c r="Y44" s="1921"/>
      <c r="Z44" s="1921"/>
      <c r="AA44" s="1921"/>
      <c r="AB44" s="1921"/>
      <c r="AC44" s="1921"/>
      <c r="AD44" s="1921"/>
      <c r="AE44" s="1921"/>
      <c r="AF44" s="1921"/>
      <c r="AG44" s="1921"/>
      <c r="AH44" s="1921"/>
      <c r="AI44" s="1921"/>
      <c r="AJ44" s="1921"/>
      <c r="AK44" s="1921"/>
      <c r="AL44" s="1909"/>
      <c r="AM44" s="1910"/>
      <c r="AN44" s="1910"/>
      <c r="AO44" s="1911"/>
      <c r="AP44" s="1909"/>
      <c r="AQ44" s="1910"/>
      <c r="AR44" s="1911"/>
      <c r="AS44" s="1912">
        <f t="shared" si="2"/>
        <v>0</v>
      </c>
      <c r="AT44" s="1913"/>
      <c r="AU44" s="1913"/>
      <c r="AV44" s="1913"/>
      <c r="AW44" s="1913"/>
      <c r="AX44" s="1914"/>
      <c r="AY44" s="1915">
        <f t="shared" si="3"/>
        <v>0</v>
      </c>
      <c r="AZ44" s="1916"/>
      <c r="BA44" s="1916"/>
      <c r="BB44" s="1916"/>
      <c r="BC44" s="1916"/>
      <c r="BD44" s="1917"/>
      <c r="BE44" s="1082"/>
    </row>
    <row r="45" spans="1:58" ht="15.75" customHeight="1">
      <c r="A45" s="1078"/>
      <c r="B45" s="1922" t="s">
        <v>1934</v>
      </c>
      <c r="C45" s="1923"/>
      <c r="D45" s="1923"/>
      <c r="E45" s="1923"/>
      <c r="F45" s="1923"/>
      <c r="G45" s="1923"/>
      <c r="H45" s="1923"/>
      <c r="I45" s="1923"/>
      <c r="J45" s="1920"/>
      <c r="K45" s="1920"/>
      <c r="L45" s="1920"/>
      <c r="M45" s="1920"/>
      <c r="N45" s="1920"/>
      <c r="O45" s="1920"/>
      <c r="P45" s="1920"/>
      <c r="Q45" s="1920"/>
      <c r="R45" s="1921"/>
      <c r="S45" s="1921"/>
      <c r="T45" s="1921"/>
      <c r="U45" s="1921"/>
      <c r="V45" s="1921"/>
      <c r="W45" s="1921"/>
      <c r="X45" s="1921"/>
      <c r="Y45" s="1921"/>
      <c r="Z45" s="1921"/>
      <c r="AA45" s="1921"/>
      <c r="AB45" s="1921"/>
      <c r="AC45" s="1921"/>
      <c r="AD45" s="1921"/>
      <c r="AE45" s="1921"/>
      <c r="AF45" s="1921"/>
      <c r="AG45" s="1921"/>
      <c r="AH45" s="1921"/>
      <c r="AI45" s="1921"/>
      <c r="AJ45" s="1921"/>
      <c r="AK45" s="1921"/>
      <c r="AL45" s="1909"/>
      <c r="AM45" s="1910"/>
      <c r="AN45" s="1910"/>
      <c r="AO45" s="1911"/>
      <c r="AP45" s="1909"/>
      <c r="AQ45" s="1910"/>
      <c r="AR45" s="1911"/>
      <c r="AS45" s="1912">
        <f t="shared" si="2"/>
        <v>0</v>
      </c>
      <c r="AT45" s="1913"/>
      <c r="AU45" s="1913"/>
      <c r="AV45" s="1913"/>
      <c r="AW45" s="1913"/>
      <c r="AX45" s="1914"/>
      <c r="AY45" s="1915">
        <f t="shared" si="3"/>
        <v>0</v>
      </c>
      <c r="AZ45" s="1916"/>
      <c r="BA45" s="1916"/>
      <c r="BB45" s="1916"/>
      <c r="BC45" s="1916"/>
      <c r="BD45" s="1917"/>
      <c r="BE45" s="1082"/>
    </row>
    <row r="46" spans="1:58" ht="15.75" customHeight="1">
      <c r="A46" s="1078"/>
      <c r="B46" s="1922" t="s">
        <v>1935</v>
      </c>
      <c r="C46" s="1923"/>
      <c r="D46" s="1923"/>
      <c r="E46" s="1923"/>
      <c r="F46" s="1923"/>
      <c r="G46" s="1923"/>
      <c r="H46" s="1923"/>
      <c r="I46" s="1923"/>
      <c r="J46" s="1920"/>
      <c r="K46" s="1920"/>
      <c r="L46" s="1920"/>
      <c r="M46" s="1920"/>
      <c r="N46" s="1920">
        <v>99</v>
      </c>
      <c r="O46" s="1920"/>
      <c r="P46" s="1920"/>
      <c r="Q46" s="1920"/>
      <c r="R46" s="1921"/>
      <c r="S46" s="1921"/>
      <c r="T46" s="1921"/>
      <c r="U46" s="1921"/>
      <c r="V46" s="1921"/>
      <c r="W46" s="1921"/>
      <c r="X46" s="1921"/>
      <c r="Y46" s="1921"/>
      <c r="Z46" s="1921"/>
      <c r="AA46" s="1921"/>
      <c r="AB46" s="1921"/>
      <c r="AC46" s="1921"/>
      <c r="AD46" s="1921"/>
      <c r="AE46" s="1921"/>
      <c r="AF46" s="1921"/>
      <c r="AG46" s="1921"/>
      <c r="AH46" s="1921"/>
      <c r="AI46" s="1921"/>
      <c r="AJ46" s="1921"/>
      <c r="AK46" s="1921"/>
      <c r="AL46" s="1909"/>
      <c r="AM46" s="1910"/>
      <c r="AN46" s="1910"/>
      <c r="AO46" s="1911"/>
      <c r="AP46" s="1909"/>
      <c r="AQ46" s="1910"/>
      <c r="AR46" s="1911"/>
      <c r="AS46" s="1912">
        <f t="shared" si="2"/>
        <v>0</v>
      </c>
      <c r="AT46" s="1913"/>
      <c r="AU46" s="1913"/>
      <c r="AV46" s="1913"/>
      <c r="AW46" s="1913"/>
      <c r="AX46" s="1914"/>
      <c r="AY46" s="1915">
        <f t="shared" si="3"/>
        <v>0</v>
      </c>
      <c r="AZ46" s="1916"/>
      <c r="BA46" s="1916"/>
      <c r="BB46" s="1916"/>
      <c r="BC46" s="1916"/>
      <c r="BD46" s="1917"/>
      <c r="BE46" s="1082"/>
    </row>
    <row r="47" spans="1:58" ht="15.75" customHeight="1" thickBot="1">
      <c r="A47" s="1078"/>
      <c r="B47" s="1924" t="s">
        <v>1050</v>
      </c>
      <c r="C47" s="1925"/>
      <c r="D47" s="1925"/>
      <c r="E47" s="1925"/>
      <c r="F47" s="1925"/>
      <c r="G47" s="1925"/>
      <c r="H47" s="1925"/>
      <c r="I47" s="1925"/>
      <c r="J47" s="1926"/>
      <c r="K47" s="1926"/>
      <c r="L47" s="1926"/>
      <c r="M47" s="1926"/>
      <c r="N47" s="1926"/>
      <c r="O47" s="1926"/>
      <c r="P47" s="1926"/>
      <c r="Q47" s="1926"/>
      <c r="R47" s="1927"/>
      <c r="S47" s="1927"/>
      <c r="T47" s="1927"/>
      <c r="U47" s="1927"/>
      <c r="V47" s="1927"/>
      <c r="W47" s="1927"/>
      <c r="X47" s="1927"/>
      <c r="Y47" s="1927"/>
      <c r="Z47" s="1927"/>
      <c r="AA47" s="1927"/>
      <c r="AB47" s="1927"/>
      <c r="AC47" s="1927"/>
      <c r="AD47" s="1927"/>
      <c r="AE47" s="1927"/>
      <c r="AF47" s="1927"/>
      <c r="AG47" s="1927"/>
      <c r="AH47" s="1927"/>
      <c r="AI47" s="1927"/>
      <c r="AJ47" s="1927"/>
      <c r="AK47" s="1927"/>
      <c r="AL47" s="1931"/>
      <c r="AM47" s="1932"/>
      <c r="AN47" s="1932"/>
      <c r="AO47" s="1933"/>
      <c r="AP47" s="1931"/>
      <c r="AQ47" s="1932"/>
      <c r="AR47" s="1933"/>
      <c r="AS47" s="1912">
        <f t="shared" si="2"/>
        <v>0</v>
      </c>
      <c r="AT47" s="1913"/>
      <c r="AU47" s="1913"/>
      <c r="AV47" s="1913"/>
      <c r="AW47" s="1913"/>
      <c r="AX47" s="1914"/>
      <c r="AY47" s="1928">
        <f t="shared" si="3"/>
        <v>0</v>
      </c>
      <c r="AZ47" s="1929"/>
      <c r="BA47" s="1929"/>
      <c r="BB47" s="1929"/>
      <c r="BC47" s="1929"/>
      <c r="BD47" s="1930"/>
      <c r="BE47" s="1082"/>
    </row>
    <row r="48" spans="1:58" ht="15.75" customHeight="1">
      <c r="A48" s="1078"/>
      <c r="B48" s="1084" t="s">
        <v>1936</v>
      </c>
      <c r="C48" s="1078"/>
      <c r="D48" s="1078"/>
      <c r="E48" s="1078"/>
      <c r="F48" s="1078"/>
      <c r="G48" s="1078"/>
      <c r="H48" s="1078"/>
      <c r="I48" s="1078"/>
      <c r="J48" s="1078"/>
      <c r="K48" s="1078"/>
      <c r="L48" s="1078"/>
      <c r="M48" s="1078"/>
      <c r="N48" s="1078"/>
      <c r="O48" s="1078"/>
      <c r="P48" s="1078"/>
      <c r="Q48" s="1078"/>
      <c r="R48" s="1078"/>
      <c r="S48" s="1078"/>
      <c r="T48" s="1078"/>
      <c r="U48" s="1078"/>
      <c r="V48" s="1078"/>
      <c r="W48" s="1078"/>
      <c r="X48" s="1078"/>
      <c r="Y48" s="1078"/>
      <c r="Z48" s="1078"/>
      <c r="AA48" s="1078"/>
      <c r="AB48" s="1078"/>
      <c r="AC48" s="1078"/>
      <c r="AD48" s="1078"/>
      <c r="AE48" s="1078"/>
      <c r="AF48" s="1078"/>
      <c r="AG48" s="1078"/>
      <c r="AH48" s="1078"/>
      <c r="AI48" s="1078"/>
      <c r="AJ48" s="1078"/>
      <c r="AK48" s="1078"/>
      <c r="AL48" s="1078"/>
      <c r="AM48" s="1078"/>
      <c r="AN48" s="1078"/>
      <c r="AO48" s="1078"/>
      <c r="AP48" s="1078"/>
      <c r="AQ48" s="1078"/>
      <c r="AR48" s="1078"/>
      <c r="AS48" s="1078"/>
      <c r="AT48" s="1078"/>
      <c r="AU48" s="1078"/>
      <c r="AV48" s="1078"/>
      <c r="AW48" s="1078"/>
      <c r="AX48" s="1078"/>
      <c r="AY48" s="1078"/>
      <c r="AZ48" s="1078"/>
      <c r="BA48" s="1078"/>
      <c r="BB48" s="1078"/>
      <c r="BC48" s="1078"/>
      <c r="BD48" s="1078"/>
      <c r="BE48" s="1082"/>
      <c r="BF48" s="1076"/>
    </row>
    <row r="49" spans="1:77" ht="15.75" customHeight="1" thickBot="1">
      <c r="A49" s="1078"/>
      <c r="B49" s="1084" t="s">
        <v>1937</v>
      </c>
      <c r="C49" s="1078"/>
      <c r="D49" s="1078"/>
      <c r="E49" s="1078"/>
      <c r="F49" s="1078"/>
      <c r="G49" s="1078"/>
      <c r="H49" s="1078"/>
      <c r="I49" s="1078"/>
      <c r="J49" s="1078"/>
      <c r="K49" s="1078"/>
      <c r="L49" s="1078"/>
      <c r="M49" s="1078"/>
      <c r="N49" s="1078"/>
      <c r="O49" s="1078"/>
      <c r="P49" s="1078"/>
      <c r="Q49" s="1078"/>
      <c r="R49" s="1078"/>
      <c r="S49" s="1078"/>
      <c r="T49" s="1078"/>
      <c r="U49" s="1078"/>
      <c r="V49" s="1078"/>
      <c r="W49" s="1078"/>
      <c r="X49" s="1078"/>
      <c r="Y49" s="1078"/>
      <c r="Z49" s="1078"/>
      <c r="AA49" s="1078"/>
      <c r="AB49" s="1078"/>
      <c r="AC49" s="1078"/>
      <c r="AD49" s="1078"/>
      <c r="AE49" s="1078"/>
      <c r="AF49" s="1078"/>
      <c r="AG49" s="1078"/>
      <c r="AH49" s="1078"/>
      <c r="AI49" s="1078"/>
      <c r="AJ49" s="1078"/>
      <c r="AK49" s="1078"/>
      <c r="AL49" s="1078"/>
      <c r="AM49" s="1078"/>
      <c r="AN49" s="1078"/>
      <c r="AO49" s="1078"/>
      <c r="AP49" s="1080"/>
      <c r="AQ49" s="1080"/>
      <c r="AR49" s="1080"/>
      <c r="AS49" s="1080"/>
      <c r="AT49" s="1080"/>
      <c r="AU49" s="1080"/>
      <c r="AV49" s="1080"/>
      <c r="AW49" s="1080"/>
      <c r="AX49" s="1078"/>
      <c r="AY49" s="1078"/>
      <c r="AZ49" s="1078"/>
      <c r="BA49" s="1078"/>
      <c r="BB49" s="1078"/>
      <c r="BC49" s="1078"/>
      <c r="BD49" s="1078"/>
      <c r="BE49" s="1082"/>
      <c r="BF49" s="1076"/>
    </row>
    <row r="50" spans="1:77" ht="15.75" customHeight="1">
      <c r="A50" s="1078"/>
      <c r="B50" s="1934" t="s">
        <v>1938</v>
      </c>
      <c r="C50" s="1935"/>
      <c r="D50" s="1935"/>
      <c r="E50" s="1935"/>
      <c r="F50" s="1935"/>
      <c r="G50" s="1935"/>
      <c r="H50" s="1935"/>
      <c r="I50" s="1935"/>
      <c r="J50" s="1935"/>
      <c r="K50" s="1935"/>
      <c r="L50" s="1935"/>
      <c r="M50" s="1935"/>
      <c r="N50" s="1935"/>
      <c r="O50" s="1935"/>
      <c r="P50" s="1935"/>
      <c r="Q50" s="1935"/>
      <c r="R50" s="1935"/>
      <c r="S50" s="1935"/>
      <c r="T50" s="1935"/>
      <c r="U50" s="1935"/>
      <c r="V50" s="1935"/>
      <c r="W50" s="1935"/>
      <c r="X50" s="1935"/>
      <c r="Y50" s="1935"/>
      <c r="Z50" s="1935"/>
      <c r="AA50" s="1935"/>
      <c r="AB50" s="1935"/>
      <c r="AC50" s="1935"/>
      <c r="AD50" s="1935"/>
      <c r="AE50" s="1935"/>
      <c r="AF50" s="1935"/>
      <c r="AG50" s="1935"/>
      <c r="AH50" s="1935"/>
      <c r="AI50" s="1935"/>
      <c r="AJ50" s="1935"/>
      <c r="AK50" s="1935"/>
      <c r="AL50" s="1935"/>
      <c r="AM50" s="1935"/>
      <c r="AN50" s="1935"/>
      <c r="AO50" s="1936"/>
      <c r="AP50" s="1080"/>
      <c r="AQ50" s="1080"/>
      <c r="AR50" s="1080"/>
      <c r="AS50" s="1080"/>
      <c r="AT50" s="1080"/>
      <c r="AU50" s="1080"/>
      <c r="AV50" s="1080"/>
      <c r="AW50" s="1080"/>
      <c r="AX50" s="1078"/>
      <c r="AY50" s="1078"/>
      <c r="AZ50" s="1078"/>
      <c r="BA50" s="1078"/>
      <c r="BB50" s="1078"/>
      <c r="BC50" s="1078"/>
      <c r="BD50" s="1078"/>
      <c r="BE50" s="1082"/>
    </row>
    <row r="51" spans="1:77" ht="33.75" customHeight="1">
      <c r="A51" s="1078"/>
      <c r="B51" s="1937" t="s">
        <v>1939</v>
      </c>
      <c r="C51" s="1938"/>
      <c r="D51" s="1938"/>
      <c r="E51" s="1938"/>
      <c r="F51" s="1938"/>
      <c r="G51" s="1938"/>
      <c r="H51" s="1938"/>
      <c r="I51" s="1938"/>
      <c r="J51" s="1938" t="s">
        <v>1940</v>
      </c>
      <c r="K51" s="1938"/>
      <c r="L51" s="1938"/>
      <c r="M51" s="1938"/>
      <c r="N51" s="1938"/>
      <c r="O51" s="1938"/>
      <c r="P51" s="1938"/>
      <c r="Q51" s="1938"/>
      <c r="R51" s="1939" t="s">
        <v>1941</v>
      </c>
      <c r="S51" s="1939"/>
      <c r="T51" s="1939"/>
      <c r="U51" s="1939"/>
      <c r="V51" s="1939"/>
      <c r="W51" s="1939"/>
      <c r="X51" s="1939"/>
      <c r="Y51" s="1939"/>
      <c r="Z51" s="1939" t="s">
        <v>1942</v>
      </c>
      <c r="AA51" s="1939"/>
      <c r="AB51" s="1939"/>
      <c r="AC51" s="1939"/>
      <c r="AD51" s="1939"/>
      <c r="AE51" s="1939"/>
      <c r="AF51" s="1939"/>
      <c r="AG51" s="1939"/>
      <c r="AH51" s="1939" t="s">
        <v>1943</v>
      </c>
      <c r="AI51" s="1939"/>
      <c r="AJ51" s="1939"/>
      <c r="AK51" s="1939"/>
      <c r="AL51" s="1939"/>
      <c r="AM51" s="1939"/>
      <c r="AN51" s="1939"/>
      <c r="AO51" s="1940"/>
      <c r="AP51" s="1080"/>
      <c r="AQ51" s="1080"/>
      <c r="AR51" s="1080"/>
      <c r="AS51" s="1080"/>
      <c r="AT51" s="1080"/>
      <c r="AU51" s="1080"/>
      <c r="AV51" s="1080"/>
      <c r="AW51" s="1080"/>
      <c r="AX51" s="1083"/>
      <c r="AY51" s="1078"/>
      <c r="AZ51" s="1078"/>
      <c r="BA51" s="1078"/>
      <c r="BB51" s="1078"/>
      <c r="BC51" s="1078"/>
      <c r="BD51" s="1078"/>
      <c r="BE51" s="1082"/>
    </row>
    <row r="52" spans="1:77" ht="15.75" customHeight="1">
      <c r="A52" s="1078"/>
      <c r="B52" s="1922" t="s">
        <v>1944</v>
      </c>
      <c r="C52" s="1923"/>
      <c r="D52" s="1923"/>
      <c r="E52" s="1923"/>
      <c r="F52" s="1923"/>
      <c r="G52" s="1923"/>
      <c r="H52" s="1923"/>
      <c r="I52" s="1923"/>
      <c r="J52" s="1941">
        <v>0</v>
      </c>
      <c r="K52" s="1941"/>
      <c r="L52" s="1941"/>
      <c r="M52" s="1941"/>
      <c r="N52" s="1941"/>
      <c r="O52" s="1941"/>
      <c r="P52" s="1941"/>
      <c r="Q52" s="1941"/>
      <c r="R52" s="1942">
        <v>0</v>
      </c>
      <c r="S52" s="1942"/>
      <c r="T52" s="1942"/>
      <c r="U52" s="1942"/>
      <c r="V52" s="1942"/>
      <c r="W52" s="1942"/>
      <c r="X52" s="1942"/>
      <c r="Y52" s="1942"/>
      <c r="Z52" s="1943">
        <v>0</v>
      </c>
      <c r="AA52" s="1943"/>
      <c r="AB52" s="1943"/>
      <c r="AC52" s="1943"/>
      <c r="AD52" s="1943"/>
      <c r="AE52" s="1943"/>
      <c r="AF52" s="1943"/>
      <c r="AG52" s="1943"/>
      <c r="AH52" s="1944"/>
      <c r="AI52" s="1944"/>
      <c r="AJ52" s="1944"/>
      <c r="AK52" s="1944"/>
      <c r="AL52" s="1944"/>
      <c r="AM52" s="1944"/>
      <c r="AN52" s="1944"/>
      <c r="AO52" s="1945"/>
      <c r="AP52" s="1080"/>
      <c r="AQ52" s="1080"/>
      <c r="AR52" s="1080"/>
      <c r="AS52" s="1080"/>
      <c r="AT52" s="1080"/>
      <c r="AU52" s="1080"/>
      <c r="AV52" s="1080"/>
      <c r="AW52" s="1080"/>
      <c r="AX52" s="1083"/>
      <c r="AY52" s="1078"/>
      <c r="AZ52" s="1078"/>
      <c r="BA52" s="1078"/>
      <c r="BB52" s="1078"/>
      <c r="BC52" s="1078"/>
      <c r="BD52" s="1078"/>
      <c r="BE52" s="1082"/>
    </row>
    <row r="53" spans="1:77" ht="15.75" customHeight="1">
      <c r="A53" s="1078"/>
      <c r="B53" s="1922" t="s">
        <v>1945</v>
      </c>
      <c r="C53" s="1923"/>
      <c r="D53" s="1923"/>
      <c r="E53" s="1923"/>
      <c r="F53" s="1923"/>
      <c r="G53" s="1923"/>
      <c r="H53" s="1923"/>
      <c r="I53" s="1923"/>
      <c r="J53" s="1941">
        <v>0</v>
      </c>
      <c r="K53" s="1941"/>
      <c r="L53" s="1941"/>
      <c r="M53" s="1941"/>
      <c r="N53" s="1941"/>
      <c r="O53" s="1941"/>
      <c r="P53" s="1941"/>
      <c r="Q53" s="1941"/>
      <c r="R53" s="1942">
        <v>0</v>
      </c>
      <c r="S53" s="1942"/>
      <c r="T53" s="1942"/>
      <c r="U53" s="1942"/>
      <c r="V53" s="1942"/>
      <c r="W53" s="1942"/>
      <c r="X53" s="1942"/>
      <c r="Y53" s="1942"/>
      <c r="Z53" s="1943">
        <v>0</v>
      </c>
      <c r="AA53" s="1943"/>
      <c r="AB53" s="1943"/>
      <c r="AC53" s="1943"/>
      <c r="AD53" s="1943"/>
      <c r="AE53" s="1943"/>
      <c r="AF53" s="1943"/>
      <c r="AG53" s="1943"/>
      <c r="AH53" s="1944"/>
      <c r="AI53" s="1944"/>
      <c r="AJ53" s="1944"/>
      <c r="AK53" s="1944"/>
      <c r="AL53" s="1944"/>
      <c r="AM53" s="1944"/>
      <c r="AN53" s="1944"/>
      <c r="AO53" s="1945"/>
      <c r="AP53" s="1080"/>
      <c r="AQ53" s="1080"/>
      <c r="AR53" s="1080"/>
      <c r="AS53" s="1080"/>
      <c r="AT53" s="1080"/>
      <c r="AU53" s="1080"/>
      <c r="AV53" s="1080"/>
      <c r="AW53" s="1080"/>
      <c r="AX53" s="1078"/>
      <c r="AY53" s="1078"/>
      <c r="AZ53" s="1078"/>
      <c r="BA53" s="1078"/>
      <c r="BB53" s="1078"/>
      <c r="BC53" s="1078"/>
      <c r="BD53" s="1078"/>
      <c r="BE53" s="1082"/>
    </row>
    <row r="54" spans="1:77" ht="15.75" customHeight="1">
      <c r="A54" s="1078"/>
      <c r="B54" s="1922"/>
      <c r="C54" s="1923"/>
      <c r="D54" s="1923"/>
      <c r="E54" s="1923"/>
      <c r="F54" s="1923"/>
      <c r="G54" s="1923"/>
      <c r="H54" s="1923"/>
      <c r="I54" s="1923"/>
      <c r="J54" s="1941"/>
      <c r="K54" s="1941"/>
      <c r="L54" s="1941"/>
      <c r="M54" s="1941"/>
      <c r="N54" s="1941"/>
      <c r="O54" s="1941"/>
      <c r="P54" s="1941"/>
      <c r="Q54" s="1941"/>
      <c r="R54" s="1942"/>
      <c r="S54" s="1942"/>
      <c r="T54" s="1942"/>
      <c r="U54" s="1942"/>
      <c r="V54" s="1942"/>
      <c r="W54" s="1942"/>
      <c r="X54" s="1942"/>
      <c r="Y54" s="1942"/>
      <c r="Z54" s="1943"/>
      <c r="AA54" s="1943"/>
      <c r="AB54" s="1943"/>
      <c r="AC54" s="1943"/>
      <c r="AD54" s="1943"/>
      <c r="AE54" s="1943"/>
      <c r="AF54" s="1943"/>
      <c r="AG54" s="1943"/>
      <c r="AH54" s="1944"/>
      <c r="AI54" s="1944"/>
      <c r="AJ54" s="1944"/>
      <c r="AK54" s="1944"/>
      <c r="AL54" s="1944"/>
      <c r="AM54" s="1944"/>
      <c r="AN54" s="1944"/>
      <c r="AO54" s="1945"/>
      <c r="AP54" s="1080"/>
      <c r="AQ54" s="1080"/>
      <c r="AR54" s="1080"/>
      <c r="AS54" s="1080"/>
      <c r="AT54" s="1080"/>
      <c r="AU54" s="1080"/>
      <c r="AV54" s="1080"/>
      <c r="AW54" s="1080"/>
      <c r="AX54" s="1078"/>
      <c r="AY54" s="1078"/>
      <c r="AZ54" s="1078"/>
      <c r="BA54" s="1078"/>
      <c r="BB54" s="1078"/>
      <c r="BC54" s="1078"/>
      <c r="BD54" s="1078"/>
      <c r="BE54" s="1082"/>
    </row>
    <row r="55" spans="1:77" ht="15.75" customHeight="1">
      <c r="A55" s="1078"/>
      <c r="B55" s="1922"/>
      <c r="C55" s="1923"/>
      <c r="D55" s="1923"/>
      <c r="E55" s="1923"/>
      <c r="F55" s="1923"/>
      <c r="G55" s="1923"/>
      <c r="H55" s="1923"/>
      <c r="I55" s="1923"/>
      <c r="J55" s="1941"/>
      <c r="K55" s="1941"/>
      <c r="L55" s="1941"/>
      <c r="M55" s="1941"/>
      <c r="N55" s="1941"/>
      <c r="O55" s="1941"/>
      <c r="P55" s="1941"/>
      <c r="Q55" s="1941"/>
      <c r="R55" s="1942"/>
      <c r="S55" s="1942"/>
      <c r="T55" s="1942"/>
      <c r="U55" s="1942"/>
      <c r="V55" s="1942"/>
      <c r="W55" s="1942"/>
      <c r="X55" s="1942"/>
      <c r="Y55" s="1942"/>
      <c r="Z55" s="1943"/>
      <c r="AA55" s="1943"/>
      <c r="AB55" s="1943"/>
      <c r="AC55" s="1943"/>
      <c r="AD55" s="1943"/>
      <c r="AE55" s="1943"/>
      <c r="AF55" s="1943"/>
      <c r="AG55" s="1943"/>
      <c r="AH55" s="1944"/>
      <c r="AI55" s="1944"/>
      <c r="AJ55" s="1944"/>
      <c r="AK55" s="1944"/>
      <c r="AL55" s="1944"/>
      <c r="AM55" s="1944"/>
      <c r="AN55" s="1944"/>
      <c r="AO55" s="1945"/>
      <c r="AP55" s="1080"/>
      <c r="AQ55" s="1080"/>
      <c r="AR55" s="1080"/>
      <c r="AS55" s="1080"/>
      <c r="AT55" s="1080" t="s">
        <v>254</v>
      </c>
      <c r="AU55" s="1080"/>
      <c r="AV55" s="1080"/>
      <c r="AW55" s="1080"/>
      <c r="AX55" s="1078"/>
      <c r="AY55" s="1078"/>
      <c r="AZ55" s="1078"/>
      <c r="BA55" s="1078"/>
      <c r="BB55" s="1078"/>
      <c r="BC55" s="1078"/>
      <c r="BD55" s="1078"/>
      <c r="BE55" s="1082"/>
    </row>
    <row r="56" spans="1:77" ht="15.75" customHeight="1">
      <c r="A56" s="1078"/>
      <c r="B56" s="1922"/>
      <c r="C56" s="1923"/>
      <c r="D56" s="1923"/>
      <c r="E56" s="1923"/>
      <c r="F56" s="1923"/>
      <c r="G56" s="1923"/>
      <c r="H56" s="1923"/>
      <c r="I56" s="1923"/>
      <c r="J56" s="1941"/>
      <c r="K56" s="1941"/>
      <c r="L56" s="1941"/>
      <c r="M56" s="1941"/>
      <c r="N56" s="1941"/>
      <c r="O56" s="1941"/>
      <c r="P56" s="1941"/>
      <c r="Q56" s="1941"/>
      <c r="R56" s="1942"/>
      <c r="S56" s="1942"/>
      <c r="T56" s="1942"/>
      <c r="U56" s="1942"/>
      <c r="V56" s="1942"/>
      <c r="W56" s="1942"/>
      <c r="X56" s="1942"/>
      <c r="Y56" s="1942"/>
      <c r="Z56" s="1943"/>
      <c r="AA56" s="1943"/>
      <c r="AB56" s="1943"/>
      <c r="AC56" s="1943"/>
      <c r="AD56" s="1943"/>
      <c r="AE56" s="1943"/>
      <c r="AF56" s="1943"/>
      <c r="AG56" s="1943"/>
      <c r="AH56" s="1944"/>
      <c r="AI56" s="1944"/>
      <c r="AJ56" s="1944"/>
      <c r="AK56" s="1944"/>
      <c r="AL56" s="1944"/>
      <c r="AM56" s="1944"/>
      <c r="AN56" s="1944"/>
      <c r="AO56" s="1945"/>
      <c r="AP56" s="1080"/>
      <c r="AQ56" s="1080"/>
      <c r="AR56" s="1080"/>
      <c r="AS56" s="1080"/>
      <c r="AT56" s="1080"/>
      <c r="AU56" s="1080"/>
      <c r="AV56" s="1080"/>
      <c r="AW56" s="1080"/>
      <c r="AX56" s="1078"/>
      <c r="AY56" s="1078"/>
      <c r="AZ56" s="1078"/>
      <c r="BA56" s="1078"/>
      <c r="BB56" s="1078"/>
      <c r="BC56" s="1078"/>
      <c r="BD56" s="1078"/>
      <c r="BE56" s="1082"/>
    </row>
    <row r="57" spans="1:77" s="1086" customFormat="1" ht="15.75" customHeight="1" thickBot="1">
      <c r="A57" s="1080"/>
      <c r="B57" s="1955" t="s">
        <v>1913</v>
      </c>
      <c r="C57" s="1956"/>
      <c r="D57" s="1956"/>
      <c r="E57" s="1956"/>
      <c r="F57" s="1956"/>
      <c r="G57" s="1956"/>
      <c r="H57" s="1956"/>
      <c r="I57" s="1956"/>
      <c r="J57" s="1956"/>
      <c r="K57" s="1956"/>
      <c r="L57" s="1956"/>
      <c r="M57" s="1956"/>
      <c r="N57" s="1956"/>
      <c r="O57" s="1956"/>
      <c r="P57" s="1956"/>
      <c r="Q57" s="1956"/>
      <c r="R57" s="1957">
        <f>SUM(R52:Y56)</f>
        <v>0</v>
      </c>
      <c r="S57" s="1957"/>
      <c r="T57" s="1957"/>
      <c r="U57" s="1957"/>
      <c r="V57" s="1957"/>
      <c r="W57" s="1957"/>
      <c r="X57" s="1957"/>
      <c r="Y57" s="1957"/>
      <c r="Z57" s="1958">
        <f>SUM(Z52:AG56)</f>
        <v>0</v>
      </c>
      <c r="AA57" s="1958"/>
      <c r="AB57" s="1958"/>
      <c r="AC57" s="1958"/>
      <c r="AD57" s="1958"/>
      <c r="AE57" s="1958"/>
      <c r="AF57" s="1958"/>
      <c r="AG57" s="1958"/>
      <c r="AH57" s="1959"/>
      <c r="AI57" s="1959"/>
      <c r="AJ57" s="1959"/>
      <c r="AK57" s="1959"/>
      <c r="AL57" s="1959"/>
      <c r="AM57" s="1959"/>
      <c r="AN57" s="1959"/>
      <c r="AO57" s="1960"/>
      <c r="AP57" s="1080"/>
      <c r="AQ57" s="1080"/>
      <c r="AR57" s="1080"/>
      <c r="AS57" s="1080"/>
      <c r="AT57" s="1080"/>
      <c r="AU57" s="1080"/>
      <c r="AV57" s="1080"/>
      <c r="AW57" s="1080"/>
      <c r="AX57" s="1080"/>
      <c r="AY57" s="1080"/>
      <c r="AZ57" s="1080"/>
      <c r="BA57" s="1080"/>
      <c r="BB57" s="1080"/>
      <c r="BC57" s="1080"/>
      <c r="BD57" s="1080"/>
      <c r="BE57" s="1085"/>
      <c r="BN57" s="1145"/>
      <c r="BO57" s="1145"/>
      <c r="BP57" s="1145"/>
      <c r="BQ57" s="1145"/>
      <c r="BR57" s="1145"/>
      <c r="BS57" s="1145"/>
      <c r="BT57" s="1145"/>
      <c r="BU57" s="1145"/>
      <c r="BV57" s="1145"/>
      <c r="BW57" s="1145"/>
      <c r="BX57" s="1145"/>
      <c r="BY57" s="1145"/>
    </row>
    <row r="58" spans="1:77" ht="15.75" customHeight="1" thickBot="1">
      <c r="A58" s="1078"/>
      <c r="B58" s="1078"/>
      <c r="C58" s="1078"/>
      <c r="D58" s="1078"/>
      <c r="E58" s="1078"/>
      <c r="F58" s="1078"/>
      <c r="G58" s="1078"/>
      <c r="H58" s="1078"/>
      <c r="I58" s="1078"/>
      <c r="J58" s="1078"/>
      <c r="K58" s="1078"/>
      <c r="L58" s="1078"/>
      <c r="M58" s="1078"/>
      <c r="N58" s="1078"/>
      <c r="O58" s="1078"/>
      <c r="P58" s="1078"/>
      <c r="Q58" s="1078"/>
      <c r="R58" s="1078"/>
      <c r="S58" s="1078"/>
      <c r="T58" s="1078"/>
      <c r="U58" s="1078"/>
      <c r="V58" s="1078"/>
      <c r="W58" s="1078"/>
      <c r="X58" s="1078"/>
      <c r="Y58" s="1078"/>
      <c r="Z58" s="1078"/>
      <c r="AA58" s="1078"/>
      <c r="AB58" s="1078"/>
      <c r="AC58" s="1078"/>
      <c r="AD58" s="1078"/>
      <c r="AE58" s="1078"/>
      <c r="AF58" s="1078"/>
      <c r="AG58" s="1078"/>
      <c r="AH58" s="1078"/>
      <c r="AI58" s="1078"/>
      <c r="AJ58" s="1078"/>
      <c r="AK58" s="1078"/>
      <c r="AL58" s="1078"/>
      <c r="AM58" s="1078"/>
      <c r="AN58" s="1078"/>
      <c r="AO58" s="1078"/>
      <c r="AP58" s="1078"/>
      <c r="AQ58" s="1078"/>
      <c r="AR58" s="1078"/>
      <c r="AS58" s="1078"/>
      <c r="AT58" s="1078"/>
      <c r="AU58" s="1078"/>
      <c r="AV58" s="1078"/>
      <c r="AW58" s="1078"/>
      <c r="AX58" s="1078"/>
      <c r="AY58" s="1078"/>
      <c r="AZ58" s="1078"/>
      <c r="BA58" s="1078"/>
      <c r="BB58" s="1078"/>
      <c r="BC58" s="1078"/>
      <c r="BD58" s="1078"/>
      <c r="BE58" s="1082"/>
    </row>
    <row r="59" spans="1:77" ht="15.75" customHeight="1">
      <c r="A59" s="1078"/>
      <c r="B59" s="1946" t="s">
        <v>1939</v>
      </c>
      <c r="C59" s="1947"/>
      <c r="D59" s="1947"/>
      <c r="E59" s="1947"/>
      <c r="F59" s="1947"/>
      <c r="G59" s="1947"/>
      <c r="H59" s="1947"/>
      <c r="I59" s="1948"/>
      <c r="J59" s="1840" t="s">
        <v>1946</v>
      </c>
      <c r="K59" s="1840"/>
      <c r="L59" s="1840"/>
      <c r="M59" s="1840"/>
      <c r="N59" s="1840"/>
      <c r="O59" s="1840"/>
      <c r="P59" s="1840"/>
      <c r="Q59" s="1840"/>
      <c r="R59" s="1840"/>
      <c r="S59" s="1840"/>
      <c r="T59" s="1840"/>
      <c r="U59" s="1840"/>
      <c r="V59" s="1840"/>
      <c r="W59" s="1840"/>
      <c r="X59" s="1840"/>
      <c r="Y59" s="1840"/>
      <c r="Z59" s="1840"/>
      <c r="AA59" s="1840"/>
      <c r="AB59" s="1840"/>
      <c r="AC59" s="1840"/>
      <c r="AD59" s="1840"/>
      <c r="AE59" s="1840"/>
      <c r="AF59" s="1840"/>
      <c r="AG59" s="1840"/>
      <c r="AH59" s="1840"/>
      <c r="AI59" s="1840"/>
      <c r="AJ59" s="1840"/>
      <c r="AK59" s="1840"/>
      <c r="AL59" s="1840"/>
      <c r="AM59" s="1840"/>
      <c r="AN59" s="1840"/>
      <c r="AO59" s="1840"/>
      <c r="AP59" s="1840"/>
      <c r="AQ59" s="1840"/>
      <c r="AR59" s="1840"/>
      <c r="AS59" s="1840"/>
      <c r="AT59" s="1840"/>
      <c r="AU59" s="1840"/>
      <c r="AV59" s="1840"/>
      <c r="AW59" s="1841"/>
      <c r="AX59" s="1078"/>
      <c r="AY59" s="1078"/>
      <c r="AZ59" s="1078"/>
      <c r="BA59" s="1078"/>
      <c r="BB59" s="1078"/>
      <c r="BC59" s="1078"/>
      <c r="BD59" s="1078"/>
      <c r="BE59" s="1082"/>
    </row>
    <row r="60" spans="1:77" ht="15.75" customHeight="1">
      <c r="A60" s="1078"/>
      <c r="B60" s="1949" t="str">
        <f>IF(B52="", "", B52)</f>
        <v>Services Company 1</v>
      </c>
      <c r="C60" s="1950"/>
      <c r="D60" s="1950"/>
      <c r="E60" s="1950"/>
      <c r="F60" s="1950"/>
      <c r="G60" s="1950"/>
      <c r="H60" s="1950"/>
      <c r="I60" s="1951"/>
      <c r="J60" s="1952"/>
      <c r="K60" s="1953"/>
      <c r="L60" s="1953"/>
      <c r="M60" s="1953"/>
      <c r="N60" s="1953"/>
      <c r="O60" s="1953"/>
      <c r="P60" s="1953"/>
      <c r="Q60" s="1953"/>
      <c r="R60" s="1953"/>
      <c r="S60" s="1953"/>
      <c r="T60" s="1953"/>
      <c r="U60" s="1953"/>
      <c r="V60" s="1953"/>
      <c r="W60" s="1953"/>
      <c r="X60" s="1953"/>
      <c r="Y60" s="1953"/>
      <c r="Z60" s="1953"/>
      <c r="AA60" s="1953"/>
      <c r="AB60" s="1953"/>
      <c r="AC60" s="1953"/>
      <c r="AD60" s="1953"/>
      <c r="AE60" s="1953"/>
      <c r="AF60" s="1953"/>
      <c r="AG60" s="1953"/>
      <c r="AH60" s="1953"/>
      <c r="AI60" s="1953"/>
      <c r="AJ60" s="1953"/>
      <c r="AK60" s="1953"/>
      <c r="AL60" s="1953"/>
      <c r="AM60" s="1953"/>
      <c r="AN60" s="1953"/>
      <c r="AO60" s="1953"/>
      <c r="AP60" s="1953"/>
      <c r="AQ60" s="1953"/>
      <c r="AR60" s="1953"/>
      <c r="AS60" s="1953"/>
      <c r="AT60" s="1953"/>
      <c r="AU60" s="1953"/>
      <c r="AV60" s="1953"/>
      <c r="AW60" s="1954"/>
      <c r="AX60" s="1078"/>
      <c r="AY60" s="1078"/>
      <c r="AZ60" s="1078"/>
      <c r="BA60" s="1078"/>
      <c r="BB60" s="1078"/>
      <c r="BC60" s="1078"/>
      <c r="BD60" s="1078"/>
      <c r="BE60" s="1082"/>
    </row>
    <row r="61" spans="1:77" ht="15.75" customHeight="1">
      <c r="A61" s="1078"/>
      <c r="B61" s="1949" t="str">
        <f>IF(B53="", "", B53)</f>
        <v>Services Company 2</v>
      </c>
      <c r="C61" s="1950"/>
      <c r="D61" s="1950"/>
      <c r="E61" s="1950"/>
      <c r="F61" s="1950"/>
      <c r="G61" s="1950"/>
      <c r="H61" s="1950"/>
      <c r="I61" s="1951"/>
      <c r="J61" s="1952"/>
      <c r="K61" s="1953"/>
      <c r="L61" s="1953"/>
      <c r="M61" s="1953"/>
      <c r="N61" s="1953"/>
      <c r="O61" s="1953"/>
      <c r="P61" s="1953"/>
      <c r="Q61" s="1953"/>
      <c r="R61" s="1953"/>
      <c r="S61" s="1953"/>
      <c r="T61" s="1953"/>
      <c r="U61" s="1953"/>
      <c r="V61" s="1953"/>
      <c r="W61" s="1953"/>
      <c r="X61" s="1953"/>
      <c r="Y61" s="1953"/>
      <c r="Z61" s="1953"/>
      <c r="AA61" s="1953"/>
      <c r="AB61" s="1953"/>
      <c r="AC61" s="1953"/>
      <c r="AD61" s="1953"/>
      <c r="AE61" s="1953"/>
      <c r="AF61" s="1953"/>
      <c r="AG61" s="1953"/>
      <c r="AH61" s="1953"/>
      <c r="AI61" s="1953"/>
      <c r="AJ61" s="1953"/>
      <c r="AK61" s="1953"/>
      <c r="AL61" s="1953"/>
      <c r="AM61" s="1953"/>
      <c r="AN61" s="1953"/>
      <c r="AO61" s="1953"/>
      <c r="AP61" s="1953"/>
      <c r="AQ61" s="1953"/>
      <c r="AR61" s="1953"/>
      <c r="AS61" s="1953"/>
      <c r="AT61" s="1953"/>
      <c r="AU61" s="1953"/>
      <c r="AV61" s="1953"/>
      <c r="AW61" s="1954"/>
      <c r="AX61" s="1078"/>
      <c r="AY61" s="1078"/>
      <c r="AZ61" s="1078"/>
      <c r="BA61" s="1078"/>
      <c r="BB61" s="1078"/>
      <c r="BC61" s="1078"/>
      <c r="BD61" s="1078"/>
      <c r="BE61" s="1082"/>
    </row>
    <row r="62" spans="1:77" ht="15.75" customHeight="1">
      <c r="A62" s="1078"/>
      <c r="B62" s="1949" t="str">
        <f>IF(B54="", "", B54)</f>
        <v/>
      </c>
      <c r="C62" s="1950"/>
      <c r="D62" s="1950"/>
      <c r="E62" s="1950"/>
      <c r="F62" s="1950"/>
      <c r="G62" s="1950"/>
      <c r="H62" s="1950"/>
      <c r="I62" s="1951"/>
      <c r="J62" s="1952"/>
      <c r="K62" s="1953"/>
      <c r="L62" s="1953"/>
      <c r="M62" s="1953"/>
      <c r="N62" s="1953"/>
      <c r="O62" s="1953"/>
      <c r="P62" s="1953"/>
      <c r="Q62" s="1953"/>
      <c r="R62" s="1953"/>
      <c r="S62" s="1953"/>
      <c r="T62" s="1953"/>
      <c r="U62" s="1953"/>
      <c r="V62" s="1953"/>
      <c r="W62" s="1953"/>
      <c r="X62" s="1953"/>
      <c r="Y62" s="1953"/>
      <c r="Z62" s="1953"/>
      <c r="AA62" s="1953"/>
      <c r="AB62" s="1953"/>
      <c r="AC62" s="1953"/>
      <c r="AD62" s="1953"/>
      <c r="AE62" s="1953"/>
      <c r="AF62" s="1953"/>
      <c r="AG62" s="1953"/>
      <c r="AH62" s="1953"/>
      <c r="AI62" s="1953"/>
      <c r="AJ62" s="1953"/>
      <c r="AK62" s="1953"/>
      <c r="AL62" s="1953"/>
      <c r="AM62" s="1953"/>
      <c r="AN62" s="1953"/>
      <c r="AO62" s="1953"/>
      <c r="AP62" s="1953"/>
      <c r="AQ62" s="1953"/>
      <c r="AR62" s="1953"/>
      <c r="AS62" s="1953"/>
      <c r="AT62" s="1953"/>
      <c r="AU62" s="1953"/>
      <c r="AV62" s="1953"/>
      <c r="AW62" s="1954"/>
      <c r="AX62" s="1078"/>
      <c r="AY62" s="1078"/>
      <c r="AZ62" s="1078"/>
      <c r="BA62" s="1078"/>
      <c r="BB62" s="1078"/>
      <c r="BC62" s="1078"/>
      <c r="BD62" s="1078"/>
      <c r="BE62" s="1082"/>
    </row>
    <row r="63" spans="1:77" ht="15.75" customHeight="1">
      <c r="A63" s="1078"/>
      <c r="B63" s="1949" t="str">
        <f>IF(B55="", "", B55)</f>
        <v/>
      </c>
      <c r="C63" s="1950"/>
      <c r="D63" s="1950"/>
      <c r="E63" s="1950"/>
      <c r="F63" s="1950"/>
      <c r="G63" s="1950"/>
      <c r="H63" s="1950"/>
      <c r="I63" s="1951"/>
      <c r="J63" s="1952"/>
      <c r="K63" s="1953"/>
      <c r="L63" s="1953"/>
      <c r="M63" s="1953"/>
      <c r="N63" s="1953"/>
      <c r="O63" s="1953"/>
      <c r="P63" s="1953"/>
      <c r="Q63" s="1953"/>
      <c r="R63" s="1953"/>
      <c r="S63" s="1953"/>
      <c r="T63" s="1953"/>
      <c r="U63" s="1953"/>
      <c r="V63" s="1953"/>
      <c r="W63" s="1953"/>
      <c r="X63" s="1953"/>
      <c r="Y63" s="1953"/>
      <c r="Z63" s="1953"/>
      <c r="AA63" s="1953"/>
      <c r="AB63" s="1953"/>
      <c r="AC63" s="1953"/>
      <c r="AD63" s="1953"/>
      <c r="AE63" s="1953"/>
      <c r="AF63" s="1953"/>
      <c r="AG63" s="1953"/>
      <c r="AH63" s="1953"/>
      <c r="AI63" s="1953"/>
      <c r="AJ63" s="1953"/>
      <c r="AK63" s="1953"/>
      <c r="AL63" s="1953"/>
      <c r="AM63" s="1953"/>
      <c r="AN63" s="1953"/>
      <c r="AO63" s="1953"/>
      <c r="AP63" s="1953"/>
      <c r="AQ63" s="1953"/>
      <c r="AR63" s="1953"/>
      <c r="AS63" s="1953"/>
      <c r="AT63" s="1953"/>
      <c r="AU63" s="1953"/>
      <c r="AV63" s="1953"/>
      <c r="AW63" s="1954"/>
      <c r="AX63" s="1078"/>
      <c r="AY63" s="1078"/>
      <c r="AZ63" s="1078"/>
      <c r="BA63" s="1078"/>
      <c r="BB63" s="1078"/>
      <c r="BC63" s="1078"/>
      <c r="BD63" s="1078"/>
      <c r="BE63" s="1082"/>
    </row>
    <row r="64" spans="1:77" ht="15.75" customHeight="1" thickBot="1">
      <c r="A64" s="1078"/>
      <c r="B64" s="1971" t="str">
        <f>IF(B56="", "", B56)</f>
        <v/>
      </c>
      <c r="C64" s="1972"/>
      <c r="D64" s="1972"/>
      <c r="E64" s="1972"/>
      <c r="F64" s="1972"/>
      <c r="G64" s="1972"/>
      <c r="H64" s="1972"/>
      <c r="I64" s="1973"/>
      <c r="J64" s="1974"/>
      <c r="K64" s="1975"/>
      <c r="L64" s="1975"/>
      <c r="M64" s="1975"/>
      <c r="N64" s="1975"/>
      <c r="O64" s="1975"/>
      <c r="P64" s="1975"/>
      <c r="Q64" s="1975"/>
      <c r="R64" s="1975"/>
      <c r="S64" s="1975"/>
      <c r="T64" s="1975"/>
      <c r="U64" s="1975"/>
      <c r="V64" s="1975"/>
      <c r="W64" s="1975"/>
      <c r="X64" s="1975"/>
      <c r="Y64" s="1975"/>
      <c r="Z64" s="1975"/>
      <c r="AA64" s="1975"/>
      <c r="AB64" s="1975"/>
      <c r="AC64" s="1975"/>
      <c r="AD64" s="1975"/>
      <c r="AE64" s="1975"/>
      <c r="AF64" s="1975"/>
      <c r="AG64" s="1975"/>
      <c r="AH64" s="1975"/>
      <c r="AI64" s="1975"/>
      <c r="AJ64" s="1975"/>
      <c r="AK64" s="1975"/>
      <c r="AL64" s="1975"/>
      <c r="AM64" s="1975"/>
      <c r="AN64" s="1975"/>
      <c r="AO64" s="1975"/>
      <c r="AP64" s="1975"/>
      <c r="AQ64" s="1975"/>
      <c r="AR64" s="1975"/>
      <c r="AS64" s="1975"/>
      <c r="AT64" s="1975"/>
      <c r="AU64" s="1975"/>
      <c r="AV64" s="1975"/>
      <c r="AW64" s="1976"/>
      <c r="AX64" s="1078"/>
      <c r="AY64" s="1078"/>
      <c r="AZ64" s="1078"/>
      <c r="BA64" s="1078"/>
      <c r="BB64" s="1078"/>
      <c r="BC64" s="1078"/>
      <c r="BD64" s="1078"/>
      <c r="BE64" s="1082"/>
    </row>
    <row r="65" spans="1:94" ht="15.75" customHeight="1">
      <c r="A65" s="1078"/>
      <c r="B65" s="1078"/>
      <c r="C65" s="1078"/>
      <c r="D65" s="1078"/>
      <c r="E65" s="1078"/>
      <c r="F65" s="1078"/>
      <c r="G65" s="1078"/>
      <c r="H65" s="1078"/>
      <c r="I65" s="1078"/>
      <c r="J65" s="1078"/>
      <c r="K65" s="1078"/>
      <c r="L65" s="1078"/>
      <c r="M65" s="1078"/>
      <c r="N65" s="1078"/>
      <c r="O65" s="1078"/>
      <c r="P65" s="1078"/>
      <c r="Q65" s="1078"/>
      <c r="R65" s="1078"/>
      <c r="S65" s="1078"/>
      <c r="T65" s="1078"/>
      <c r="U65" s="1078"/>
      <c r="V65" s="1078"/>
      <c r="W65" s="1078"/>
      <c r="X65" s="1078"/>
      <c r="Y65" s="1078"/>
      <c r="Z65" s="1078"/>
      <c r="AA65" s="1078"/>
      <c r="AB65" s="1078"/>
      <c r="AC65" s="1078"/>
      <c r="AD65" s="1078"/>
      <c r="AE65" s="1078"/>
      <c r="AF65" s="1078"/>
      <c r="AG65" s="1078"/>
      <c r="AH65" s="1078"/>
      <c r="AI65" s="1078"/>
      <c r="AJ65" s="1078"/>
      <c r="AK65" s="1078"/>
      <c r="AL65" s="1078"/>
      <c r="AM65" s="1078"/>
      <c r="AN65" s="1078"/>
      <c r="AO65" s="1078"/>
      <c r="AP65" s="1078"/>
      <c r="AQ65" s="1078"/>
      <c r="AR65" s="1078"/>
      <c r="AS65" s="1078"/>
      <c r="AT65" s="1078"/>
      <c r="AU65" s="1078"/>
      <c r="AV65" s="1078"/>
      <c r="AW65" s="1078"/>
      <c r="AX65" s="1078"/>
      <c r="AY65" s="1078"/>
      <c r="AZ65" s="1078"/>
      <c r="BA65" s="1078"/>
      <c r="BB65" s="1078"/>
      <c r="BC65" s="1078"/>
      <c r="BD65" s="1078"/>
      <c r="BE65" s="1082"/>
    </row>
    <row r="66" spans="1:94" ht="15.75" customHeight="1">
      <c r="A66" s="1078"/>
      <c r="B66" s="1086" t="s">
        <v>1947</v>
      </c>
      <c r="C66" s="1086"/>
      <c r="D66" s="1086"/>
      <c r="E66" s="1086"/>
      <c r="F66" s="1086"/>
      <c r="G66" s="1086"/>
      <c r="H66" s="1086"/>
      <c r="I66" s="1086"/>
      <c r="J66" s="1086"/>
      <c r="K66" s="1086"/>
      <c r="L66" s="1078"/>
      <c r="M66" s="1078"/>
      <c r="N66" s="1078"/>
      <c r="O66" s="1078"/>
      <c r="P66" s="1078"/>
      <c r="Q66" s="1078"/>
      <c r="R66" s="1078"/>
      <c r="S66" s="1078"/>
      <c r="T66" s="1078"/>
      <c r="U66" s="1078"/>
      <c r="V66" s="1078"/>
      <c r="W66" s="1078"/>
      <c r="X66" s="1078"/>
      <c r="Y66" s="1078"/>
      <c r="Z66" s="1078"/>
      <c r="AA66" s="1078"/>
      <c r="AB66" s="1078"/>
      <c r="AC66" s="1078"/>
      <c r="AD66" s="1078"/>
      <c r="AE66" s="1078"/>
      <c r="AF66" s="1078"/>
      <c r="AG66" s="1078"/>
      <c r="AH66" s="1078"/>
      <c r="AI66" s="1078"/>
      <c r="AJ66" s="1078"/>
      <c r="AK66" s="1078"/>
      <c r="AL66" s="1078"/>
      <c r="AM66" s="1078"/>
      <c r="AN66" s="1078"/>
      <c r="AO66" s="1078"/>
      <c r="AP66" s="1078"/>
      <c r="AQ66" s="1078"/>
      <c r="AR66" s="1078"/>
      <c r="AS66" s="1078"/>
      <c r="AT66" s="1078"/>
      <c r="AU66" s="1078"/>
      <c r="AV66" s="1078"/>
      <c r="AW66" s="1078"/>
      <c r="AX66" s="1078"/>
      <c r="AY66" s="1078"/>
      <c r="AZ66" s="1078"/>
      <c r="BA66" s="1078"/>
      <c r="BB66" s="1078"/>
      <c r="BC66" s="1078"/>
      <c r="BD66" s="1078"/>
      <c r="BE66" s="1082"/>
    </row>
    <row r="67" spans="1:94" ht="15.75" customHeight="1" thickBot="1">
      <c r="A67" s="1078"/>
      <c r="B67" s="1078"/>
      <c r="C67" s="1078"/>
      <c r="D67" s="1078"/>
      <c r="E67" s="1078"/>
      <c r="F67" s="1078"/>
      <c r="G67" s="1078"/>
      <c r="H67" s="1078"/>
      <c r="I67" s="1078"/>
      <c r="J67" s="1078"/>
      <c r="K67" s="1078"/>
      <c r="L67" s="1078"/>
      <c r="M67" s="1078"/>
      <c r="N67" s="1078"/>
      <c r="O67" s="1078"/>
      <c r="P67" s="1078"/>
      <c r="Q67" s="1078"/>
      <c r="R67" s="1078"/>
      <c r="S67" s="1078"/>
      <c r="T67" s="1078"/>
      <c r="U67" s="1078"/>
      <c r="V67" s="1078"/>
      <c r="W67" s="1078"/>
      <c r="X67" s="1078"/>
      <c r="Y67" s="1078"/>
      <c r="Z67" s="1078"/>
      <c r="AA67" s="1078"/>
      <c r="AB67" s="1078"/>
      <c r="AC67" s="1078"/>
      <c r="AD67" s="1078"/>
      <c r="AE67" s="1078"/>
      <c r="AF67" s="1078"/>
      <c r="AG67" s="1078"/>
      <c r="AH67" s="1078"/>
      <c r="AI67" s="1078"/>
      <c r="AJ67" s="1078"/>
      <c r="AK67" s="1078"/>
      <c r="AL67" s="1078"/>
      <c r="AM67" s="1078"/>
      <c r="AN67" s="1078"/>
      <c r="AO67" s="1078"/>
      <c r="AP67" s="1078"/>
      <c r="AQ67" s="1078"/>
      <c r="AR67" s="1078"/>
      <c r="AS67" s="1078"/>
      <c r="AT67" s="1078"/>
      <c r="AU67" s="1078"/>
      <c r="AV67" s="1078"/>
      <c r="AW67" s="1078"/>
      <c r="AX67" s="1078"/>
      <c r="AY67" s="1078"/>
      <c r="AZ67" s="1078"/>
      <c r="BA67" s="1078"/>
      <c r="BB67" s="1078"/>
      <c r="BC67" s="1078"/>
      <c r="BD67" s="1078"/>
      <c r="BE67" s="1082"/>
    </row>
    <row r="68" spans="1:94" ht="15.75" customHeight="1" thickBot="1">
      <c r="A68" s="1078"/>
      <c r="B68" s="1839" t="s">
        <v>1948</v>
      </c>
      <c r="C68" s="1840"/>
      <c r="D68" s="1840"/>
      <c r="E68" s="1840"/>
      <c r="F68" s="1840"/>
      <c r="G68" s="1840"/>
      <c r="H68" s="1840"/>
      <c r="I68" s="1840"/>
      <c r="J68" s="1840"/>
      <c r="K68" s="1840"/>
      <c r="L68" s="1840"/>
      <c r="M68" s="1840"/>
      <c r="N68" s="1840"/>
      <c r="O68" s="1840"/>
      <c r="P68" s="1840"/>
      <c r="Q68" s="1840"/>
      <c r="R68" s="1840"/>
      <c r="S68" s="1840"/>
      <c r="T68" s="1840"/>
      <c r="U68" s="1840"/>
      <c r="V68" s="1840"/>
      <c r="W68" s="1840"/>
      <c r="X68" s="1840"/>
      <c r="Y68" s="1840"/>
      <c r="Z68" s="1840"/>
      <c r="AA68" s="1841"/>
      <c r="AB68" s="1078"/>
      <c r="AC68" s="1983" t="s">
        <v>1949</v>
      </c>
      <c r="AD68" s="1984"/>
      <c r="AE68" s="1984"/>
      <c r="AF68" s="1984"/>
      <c r="AG68" s="1984"/>
      <c r="AH68" s="1984"/>
      <c r="AI68" s="1984"/>
      <c r="AJ68" s="1984"/>
      <c r="AK68" s="1984"/>
      <c r="AL68" s="1984"/>
      <c r="AM68" s="1984"/>
      <c r="AN68" s="1984"/>
      <c r="AO68" s="1984"/>
      <c r="AP68" s="1984"/>
      <c r="AQ68" s="1984"/>
      <c r="AR68" s="1984"/>
      <c r="AS68" s="1984"/>
      <c r="AT68" s="1984"/>
      <c r="AU68" s="1984"/>
      <c r="AV68" s="1961" t="s">
        <v>692</v>
      </c>
      <c r="AW68" s="1962"/>
      <c r="AX68" s="1962"/>
      <c r="AY68" s="1962"/>
      <c r="AZ68" s="1962"/>
      <c r="BA68" s="1962"/>
      <c r="BB68" s="1962"/>
      <c r="BC68" s="1963"/>
      <c r="BD68" s="1078"/>
      <c r="BE68" s="1082"/>
      <c r="BM68" s="1087" t="s">
        <v>1950</v>
      </c>
    </row>
    <row r="69" spans="1:94" ht="15.75" customHeight="1" thickTop="1" thickBot="1">
      <c r="A69" s="1078"/>
      <c r="B69" s="1964" t="s">
        <v>1951</v>
      </c>
      <c r="C69" s="1965"/>
      <c r="D69" s="1965"/>
      <c r="E69" s="1965"/>
      <c r="F69" s="1965"/>
      <c r="G69" s="1965"/>
      <c r="H69" s="1965"/>
      <c r="I69" s="1965"/>
      <c r="J69" s="1965"/>
      <c r="K69" s="1965"/>
      <c r="L69" s="1965"/>
      <c r="M69" s="1965"/>
      <c r="N69" s="1965"/>
      <c r="O69" s="1966" t="s">
        <v>1952</v>
      </c>
      <c r="P69" s="1967"/>
      <c r="Q69" s="1967"/>
      <c r="R69" s="1967"/>
      <c r="S69" s="1967"/>
      <c r="T69" s="1967"/>
      <c r="U69" s="1967"/>
      <c r="V69" s="1967"/>
      <c r="W69" s="1967"/>
      <c r="X69" s="1967"/>
      <c r="Y69" s="1967"/>
      <c r="Z69" s="1967"/>
      <c r="AA69" s="1968"/>
      <c r="AB69" s="1078"/>
      <c r="AC69" s="1969" t="s">
        <v>1953</v>
      </c>
      <c r="AD69" s="1970"/>
      <c r="AE69" s="1970"/>
      <c r="AF69" s="1970"/>
      <c r="AG69" s="1970"/>
      <c r="AH69" s="1970"/>
      <c r="AI69" s="1970"/>
      <c r="AJ69" s="1970"/>
      <c r="AK69" s="1970"/>
      <c r="AL69" s="1970"/>
      <c r="AM69" s="1970"/>
      <c r="AN69" s="1970"/>
      <c r="AO69" s="1970"/>
      <c r="AP69" s="1970"/>
      <c r="AQ69" s="1970"/>
      <c r="AR69" s="1970"/>
      <c r="AS69" s="1970"/>
      <c r="AT69" s="1970"/>
      <c r="AU69" s="1970"/>
      <c r="AV69" s="1961" t="s">
        <v>692</v>
      </c>
      <c r="AW69" s="1962"/>
      <c r="AX69" s="1962"/>
      <c r="AY69" s="1962"/>
      <c r="AZ69" s="1962"/>
      <c r="BA69" s="1962"/>
      <c r="BB69" s="1962"/>
      <c r="BC69" s="1963"/>
      <c r="BD69" s="1078"/>
      <c r="BE69" s="1082"/>
      <c r="BM69" s="1088" t="s">
        <v>842</v>
      </c>
    </row>
    <row r="70" spans="1:94" ht="15.75" customHeight="1">
      <c r="A70" s="1078"/>
      <c r="B70" s="1918" t="s">
        <v>1954</v>
      </c>
      <c r="C70" s="1919"/>
      <c r="D70" s="1919"/>
      <c r="E70" s="1919"/>
      <c r="F70" s="1919"/>
      <c r="G70" s="1919"/>
      <c r="H70" s="1919"/>
      <c r="I70" s="1919"/>
      <c r="J70" s="1919"/>
      <c r="K70" s="1919"/>
      <c r="L70" s="1919"/>
      <c r="M70" s="1919"/>
      <c r="N70" s="1919"/>
      <c r="O70" s="1977">
        <v>0</v>
      </c>
      <c r="P70" s="1977"/>
      <c r="Q70" s="1977"/>
      <c r="R70" s="1977"/>
      <c r="S70" s="1977"/>
      <c r="T70" s="1977"/>
      <c r="U70" s="1977"/>
      <c r="V70" s="1977"/>
      <c r="W70" s="1977"/>
      <c r="X70" s="1977"/>
      <c r="Y70" s="1977"/>
      <c r="Z70" s="1977"/>
      <c r="AA70" s="1978"/>
      <c r="AB70" s="1078"/>
      <c r="AC70" s="1934" t="s">
        <v>1955</v>
      </c>
      <c r="AD70" s="1935"/>
      <c r="AE70" s="1935"/>
      <c r="AF70" s="1979"/>
      <c r="AG70" s="1979"/>
      <c r="AH70" s="1979"/>
      <c r="AI70" s="1979"/>
      <c r="AJ70" s="1979"/>
      <c r="AK70" s="1979"/>
      <c r="AL70" s="1979"/>
      <c r="AM70" s="1979"/>
      <c r="AN70" s="1979"/>
      <c r="AO70" s="1979"/>
      <c r="AP70" s="1979"/>
      <c r="AQ70" s="1979"/>
      <c r="AR70" s="1979"/>
      <c r="AS70" s="1979"/>
      <c r="AT70" s="1979"/>
      <c r="AU70" s="1980"/>
      <c r="AV70" s="1078"/>
      <c r="AW70" s="1078"/>
      <c r="AX70" s="1078"/>
      <c r="AY70" s="1078"/>
      <c r="AZ70" s="1078"/>
      <c r="BA70" s="1078"/>
      <c r="BB70" s="1078"/>
      <c r="BC70" s="1078"/>
      <c r="BD70" s="1078"/>
      <c r="BE70" s="1082"/>
      <c r="BM70" s="1089" t="s">
        <v>692</v>
      </c>
    </row>
    <row r="71" spans="1:94" ht="15.75" customHeight="1" thickBot="1">
      <c r="A71" s="1078"/>
      <c r="B71" s="1918" t="s">
        <v>1956</v>
      </c>
      <c r="C71" s="1919"/>
      <c r="D71" s="1919"/>
      <c r="E71" s="1919"/>
      <c r="F71" s="1919"/>
      <c r="G71" s="1919"/>
      <c r="H71" s="1919"/>
      <c r="I71" s="1919"/>
      <c r="J71" s="1919"/>
      <c r="K71" s="1919"/>
      <c r="L71" s="1919"/>
      <c r="M71" s="1919"/>
      <c r="N71" s="1919"/>
      <c r="O71" s="1977">
        <v>0</v>
      </c>
      <c r="P71" s="1977"/>
      <c r="Q71" s="1977"/>
      <c r="R71" s="1977"/>
      <c r="S71" s="1977"/>
      <c r="T71" s="1977"/>
      <c r="U71" s="1977"/>
      <c r="V71" s="1977"/>
      <c r="W71" s="1977"/>
      <c r="X71" s="1977"/>
      <c r="Y71" s="1977"/>
      <c r="Z71" s="1977"/>
      <c r="AA71" s="1978"/>
      <c r="AB71" s="1078"/>
      <c r="AC71" s="1981" t="s">
        <v>1957</v>
      </c>
      <c r="AD71" s="1982"/>
      <c r="AE71" s="1982"/>
      <c r="AF71" s="1975"/>
      <c r="AG71" s="1975"/>
      <c r="AH71" s="1975"/>
      <c r="AI71" s="1975"/>
      <c r="AJ71" s="1975"/>
      <c r="AK71" s="1975"/>
      <c r="AL71" s="1975"/>
      <c r="AM71" s="1975"/>
      <c r="AN71" s="1975"/>
      <c r="AO71" s="1975"/>
      <c r="AP71" s="1975"/>
      <c r="AQ71" s="1975"/>
      <c r="AR71" s="1975"/>
      <c r="AS71" s="1975"/>
      <c r="AT71" s="1975"/>
      <c r="AU71" s="1976"/>
      <c r="AV71" s="1078"/>
      <c r="AW71" s="1078"/>
      <c r="AX71" s="1078"/>
      <c r="AY71" s="1078"/>
      <c r="AZ71" s="1078"/>
      <c r="BA71" s="1078"/>
      <c r="BB71" s="1078"/>
      <c r="BC71" s="1078"/>
      <c r="BD71" s="1078"/>
      <c r="BE71" s="1082"/>
      <c r="BM71" s="1075" t="s">
        <v>1958</v>
      </c>
    </row>
    <row r="72" spans="1:94" ht="15.75" customHeight="1">
      <c r="A72" s="1078"/>
      <c r="B72" s="1918" t="s">
        <v>1959</v>
      </c>
      <c r="C72" s="1919"/>
      <c r="D72" s="1919"/>
      <c r="E72" s="1919"/>
      <c r="F72" s="1919"/>
      <c r="G72" s="1919"/>
      <c r="H72" s="1919"/>
      <c r="I72" s="1919"/>
      <c r="J72" s="1919"/>
      <c r="K72" s="1919"/>
      <c r="L72" s="1919"/>
      <c r="M72" s="1919"/>
      <c r="N72" s="1919"/>
      <c r="O72" s="1977">
        <v>0</v>
      </c>
      <c r="P72" s="1977"/>
      <c r="Q72" s="1977"/>
      <c r="R72" s="1977"/>
      <c r="S72" s="1977"/>
      <c r="T72" s="1977"/>
      <c r="U72" s="1977"/>
      <c r="V72" s="1977"/>
      <c r="W72" s="1977"/>
      <c r="X72" s="1977"/>
      <c r="Y72" s="1977"/>
      <c r="Z72" s="1977"/>
      <c r="AA72" s="1978"/>
      <c r="AB72" s="1078"/>
      <c r="AC72" s="2001" t="s">
        <v>1960</v>
      </c>
      <c r="AD72" s="2002"/>
      <c r="AE72" s="2002"/>
      <c r="AF72" s="2002"/>
      <c r="AG72" s="2002"/>
      <c r="AH72" s="2002"/>
      <c r="AI72" s="2002"/>
      <c r="AJ72" s="2002"/>
      <c r="AK72" s="2002"/>
      <c r="AL72" s="2002"/>
      <c r="AM72" s="2002"/>
      <c r="AN72" s="2002"/>
      <c r="AO72" s="2002"/>
      <c r="AP72" s="2002"/>
      <c r="AQ72" s="2002"/>
      <c r="AR72" s="2002"/>
      <c r="AS72" s="2002"/>
      <c r="AT72" s="2002"/>
      <c r="AU72" s="2002"/>
      <c r="AV72" s="1935"/>
      <c r="AW72" s="1935"/>
      <c r="AX72" s="1935"/>
      <c r="AY72" s="1935"/>
      <c r="AZ72" s="1935"/>
      <c r="BA72" s="1935"/>
      <c r="BB72" s="1935"/>
      <c r="BC72" s="1936"/>
      <c r="BD72" s="1078"/>
      <c r="BE72" s="1082"/>
    </row>
    <row r="73" spans="1:94" ht="15.75" customHeight="1">
      <c r="A73" s="1078"/>
      <c r="B73" s="1922" t="s">
        <v>1961</v>
      </c>
      <c r="C73" s="1923"/>
      <c r="D73" s="1923"/>
      <c r="E73" s="1923"/>
      <c r="F73" s="1923"/>
      <c r="G73" s="1923"/>
      <c r="H73" s="1923"/>
      <c r="I73" s="1923"/>
      <c r="J73" s="1923"/>
      <c r="K73" s="1923"/>
      <c r="L73" s="1923"/>
      <c r="M73" s="1923"/>
      <c r="N73" s="1923"/>
      <c r="O73" s="1977">
        <v>0</v>
      </c>
      <c r="P73" s="1977"/>
      <c r="Q73" s="1977"/>
      <c r="R73" s="1977"/>
      <c r="S73" s="1977"/>
      <c r="T73" s="1977"/>
      <c r="U73" s="1977"/>
      <c r="V73" s="1977"/>
      <c r="W73" s="1977"/>
      <c r="X73" s="1977"/>
      <c r="Y73" s="1977"/>
      <c r="Z73" s="1977"/>
      <c r="AA73" s="1978"/>
      <c r="AB73" s="1078"/>
      <c r="AC73" s="2003" t="s">
        <v>1962</v>
      </c>
      <c r="AD73" s="2004"/>
      <c r="AE73" s="2004"/>
      <c r="AF73" s="2004"/>
      <c r="AG73" s="2004"/>
      <c r="AH73" s="2004"/>
      <c r="AI73" s="2004"/>
      <c r="AJ73" s="2004"/>
      <c r="AK73" s="2004"/>
      <c r="AL73" s="2004"/>
      <c r="AM73" s="2004"/>
      <c r="AN73" s="2004"/>
      <c r="AO73" s="2004"/>
      <c r="AP73" s="2004"/>
      <c r="AQ73" s="2004"/>
      <c r="AR73" s="2004"/>
      <c r="AS73" s="2004"/>
      <c r="AT73" s="2004"/>
      <c r="AU73" s="2004"/>
      <c r="AV73" s="2004"/>
      <c r="AW73" s="2004"/>
      <c r="AX73" s="2004"/>
      <c r="AY73" s="2004"/>
      <c r="AZ73" s="2004"/>
      <c r="BA73" s="2004"/>
      <c r="BB73" s="2004"/>
      <c r="BC73" s="2005"/>
      <c r="BD73" s="1078"/>
      <c r="BE73" s="1082"/>
      <c r="CK73" s="1076"/>
      <c r="CL73" s="1076"/>
      <c r="CM73" s="1076"/>
      <c r="CN73" s="1076"/>
      <c r="CO73" s="1076"/>
      <c r="CP73" s="1076"/>
    </row>
    <row r="74" spans="1:94" ht="15.75" customHeight="1">
      <c r="A74" s="1078"/>
      <c r="B74" s="2009"/>
      <c r="C74" s="1941"/>
      <c r="D74" s="1941"/>
      <c r="E74" s="1941"/>
      <c r="F74" s="1941"/>
      <c r="G74" s="1941"/>
      <c r="H74" s="1941"/>
      <c r="I74" s="1941"/>
      <c r="J74" s="1941"/>
      <c r="K74" s="1941"/>
      <c r="L74" s="1941"/>
      <c r="M74" s="1941"/>
      <c r="N74" s="1941"/>
      <c r="O74" s="1977"/>
      <c r="P74" s="1977"/>
      <c r="Q74" s="1977"/>
      <c r="R74" s="1977"/>
      <c r="S74" s="1977"/>
      <c r="T74" s="1977"/>
      <c r="U74" s="1977"/>
      <c r="V74" s="1977"/>
      <c r="W74" s="1977"/>
      <c r="X74" s="1977"/>
      <c r="Y74" s="1977"/>
      <c r="Z74" s="1977"/>
      <c r="AA74" s="1978"/>
      <c r="AB74" s="1078"/>
      <c r="AC74" s="2003"/>
      <c r="AD74" s="2004"/>
      <c r="AE74" s="2004"/>
      <c r="AF74" s="2004"/>
      <c r="AG74" s="2004"/>
      <c r="AH74" s="2004"/>
      <c r="AI74" s="2004"/>
      <c r="AJ74" s="2004"/>
      <c r="AK74" s="2004"/>
      <c r="AL74" s="2004"/>
      <c r="AM74" s="2004"/>
      <c r="AN74" s="2004"/>
      <c r="AO74" s="2004"/>
      <c r="AP74" s="2004"/>
      <c r="AQ74" s="2004"/>
      <c r="AR74" s="2004"/>
      <c r="AS74" s="2004"/>
      <c r="AT74" s="2004"/>
      <c r="AU74" s="2004"/>
      <c r="AV74" s="2004"/>
      <c r="AW74" s="2004"/>
      <c r="AX74" s="2004"/>
      <c r="AY74" s="2004"/>
      <c r="AZ74" s="2004"/>
      <c r="BA74" s="2004"/>
      <c r="BB74" s="2004"/>
      <c r="BC74" s="2005"/>
      <c r="BD74" s="1078"/>
      <c r="BE74" s="1082"/>
      <c r="CK74" s="1076"/>
      <c r="CL74" s="1076"/>
      <c r="CM74" s="1076"/>
      <c r="CN74" s="1076"/>
      <c r="CO74" s="1076"/>
      <c r="CP74" s="1076"/>
    </row>
    <row r="75" spans="1:94" ht="15.75" customHeight="1" thickBot="1">
      <c r="A75" s="1078"/>
      <c r="B75" s="2010" t="s">
        <v>1488</v>
      </c>
      <c r="C75" s="2011"/>
      <c r="D75" s="2011"/>
      <c r="E75" s="2011"/>
      <c r="F75" s="2011"/>
      <c r="G75" s="2011"/>
      <c r="H75" s="2011"/>
      <c r="I75" s="2011"/>
      <c r="J75" s="2011"/>
      <c r="K75" s="2011"/>
      <c r="L75" s="2011"/>
      <c r="M75" s="2011"/>
      <c r="N75" s="2011"/>
      <c r="O75" s="2012">
        <f>SUM(O70:AA74)</f>
        <v>0</v>
      </c>
      <c r="P75" s="2012"/>
      <c r="Q75" s="2012"/>
      <c r="R75" s="2012"/>
      <c r="S75" s="2012"/>
      <c r="T75" s="2012"/>
      <c r="U75" s="2012"/>
      <c r="V75" s="2012"/>
      <c r="W75" s="2012"/>
      <c r="X75" s="2012"/>
      <c r="Y75" s="2012"/>
      <c r="Z75" s="2012"/>
      <c r="AA75" s="2013"/>
      <c r="AB75" s="1078"/>
      <c r="AC75" s="2003"/>
      <c r="AD75" s="2004"/>
      <c r="AE75" s="2004"/>
      <c r="AF75" s="2004"/>
      <c r="AG75" s="2004"/>
      <c r="AH75" s="2004"/>
      <c r="AI75" s="2004"/>
      <c r="AJ75" s="2004"/>
      <c r="AK75" s="2004"/>
      <c r="AL75" s="2004"/>
      <c r="AM75" s="2004"/>
      <c r="AN75" s="2004"/>
      <c r="AO75" s="2004"/>
      <c r="AP75" s="2004"/>
      <c r="AQ75" s="2004"/>
      <c r="AR75" s="2004"/>
      <c r="AS75" s="2004"/>
      <c r="AT75" s="2004"/>
      <c r="AU75" s="2004"/>
      <c r="AV75" s="2004"/>
      <c r="AW75" s="2004"/>
      <c r="AX75" s="2004"/>
      <c r="AY75" s="2004"/>
      <c r="AZ75" s="2004"/>
      <c r="BA75" s="2004"/>
      <c r="BB75" s="2004"/>
      <c r="BC75" s="2005"/>
      <c r="BD75" s="1078"/>
      <c r="BE75" s="1082"/>
      <c r="CK75" s="1076"/>
      <c r="CL75" s="1076"/>
      <c r="CM75" s="1076"/>
      <c r="CN75" s="1076"/>
      <c r="CO75" s="1076"/>
      <c r="CP75" s="1076"/>
    </row>
    <row r="76" spans="1:94" ht="15.75" customHeight="1">
      <c r="A76" s="1078"/>
      <c r="B76" s="1078"/>
      <c r="C76" s="1078"/>
      <c r="D76" s="1078"/>
      <c r="E76" s="1078"/>
      <c r="F76" s="1078"/>
      <c r="G76" s="1078"/>
      <c r="H76" s="1078"/>
      <c r="I76" s="1078"/>
      <c r="J76" s="1078"/>
      <c r="K76" s="1078"/>
      <c r="L76" s="1078"/>
      <c r="M76" s="1078"/>
      <c r="N76" s="1078"/>
      <c r="O76" s="1078"/>
      <c r="P76" s="1078"/>
      <c r="Q76" s="1078"/>
      <c r="R76" s="1078"/>
      <c r="S76" s="1078"/>
      <c r="T76" s="1078"/>
      <c r="U76" s="1078"/>
      <c r="V76" s="1078"/>
      <c r="W76" s="1078"/>
      <c r="X76" s="1078"/>
      <c r="Y76" s="1078"/>
      <c r="Z76" s="1078"/>
      <c r="AA76" s="1078"/>
      <c r="AB76" s="1078"/>
      <c r="AC76" s="2003"/>
      <c r="AD76" s="2004"/>
      <c r="AE76" s="2004"/>
      <c r="AF76" s="2004"/>
      <c r="AG76" s="2004"/>
      <c r="AH76" s="2004"/>
      <c r="AI76" s="2004"/>
      <c r="AJ76" s="2004"/>
      <c r="AK76" s="2004"/>
      <c r="AL76" s="2004"/>
      <c r="AM76" s="2004"/>
      <c r="AN76" s="2004"/>
      <c r="AO76" s="2004"/>
      <c r="AP76" s="2004"/>
      <c r="AQ76" s="2004"/>
      <c r="AR76" s="2004"/>
      <c r="AS76" s="2004"/>
      <c r="AT76" s="2004"/>
      <c r="AU76" s="2004"/>
      <c r="AV76" s="2004"/>
      <c r="AW76" s="2004"/>
      <c r="AX76" s="2004"/>
      <c r="AY76" s="2004"/>
      <c r="AZ76" s="2004"/>
      <c r="BA76" s="2004"/>
      <c r="BB76" s="2004"/>
      <c r="BC76" s="2005"/>
      <c r="BD76" s="1078"/>
      <c r="BE76" s="1082"/>
      <c r="CK76" s="1076"/>
      <c r="CL76" s="1076"/>
      <c r="CM76" s="1076"/>
      <c r="CN76" s="1076"/>
      <c r="CO76" s="1076"/>
      <c r="CP76" s="1076"/>
    </row>
    <row r="77" spans="1:94" ht="15.75" customHeight="1" thickBot="1">
      <c r="A77" s="1078"/>
      <c r="B77" s="1078"/>
      <c r="C77" s="1078"/>
      <c r="D77" s="1078"/>
      <c r="E77" s="1078"/>
      <c r="F77" s="1078"/>
      <c r="G77" s="1078"/>
      <c r="H77" s="1078"/>
      <c r="I77" s="1078"/>
      <c r="J77" s="1078"/>
      <c r="K77" s="1078"/>
      <c r="L77" s="1078"/>
      <c r="M77" s="1078"/>
      <c r="N77" s="1078"/>
      <c r="O77" s="1078"/>
      <c r="P77" s="1078"/>
      <c r="Q77" s="1078"/>
      <c r="R77" s="1078"/>
      <c r="S77" s="1078"/>
      <c r="T77" s="1078"/>
      <c r="U77" s="1078"/>
      <c r="V77" s="1078"/>
      <c r="W77" s="1078"/>
      <c r="X77" s="1078"/>
      <c r="Y77" s="1078"/>
      <c r="Z77" s="1078"/>
      <c r="AA77" s="1078"/>
      <c r="AB77" s="1078"/>
      <c r="AC77" s="2006"/>
      <c r="AD77" s="2007"/>
      <c r="AE77" s="2007"/>
      <c r="AF77" s="2007"/>
      <c r="AG77" s="2007"/>
      <c r="AH77" s="2007"/>
      <c r="AI77" s="2007"/>
      <c r="AJ77" s="2007"/>
      <c r="AK77" s="2007"/>
      <c r="AL77" s="2007"/>
      <c r="AM77" s="2007"/>
      <c r="AN77" s="2007"/>
      <c r="AO77" s="2007"/>
      <c r="AP77" s="2007"/>
      <c r="AQ77" s="2007"/>
      <c r="AR77" s="2007"/>
      <c r="AS77" s="2007"/>
      <c r="AT77" s="2007"/>
      <c r="AU77" s="2007"/>
      <c r="AV77" s="2007"/>
      <c r="AW77" s="2007"/>
      <c r="AX77" s="2007"/>
      <c r="AY77" s="2007"/>
      <c r="AZ77" s="2007"/>
      <c r="BA77" s="2007"/>
      <c r="BB77" s="2007"/>
      <c r="BC77" s="2008"/>
      <c r="BD77" s="1078"/>
      <c r="BE77" s="1082"/>
      <c r="CK77" s="1076"/>
      <c r="CL77" s="1076"/>
      <c r="CM77" s="1076"/>
      <c r="CN77" s="1076"/>
      <c r="CO77" s="1076"/>
      <c r="CP77" s="1076"/>
    </row>
    <row r="78" spans="1:94" ht="15.75" customHeight="1" thickBot="1">
      <c r="A78" s="1078"/>
      <c r="B78" s="1090" t="s">
        <v>1963</v>
      </c>
      <c r="C78" s="1091"/>
      <c r="D78" s="1092"/>
      <c r="E78" s="1092"/>
      <c r="F78" s="1092"/>
      <c r="G78" s="1092"/>
      <c r="H78" s="1092"/>
      <c r="I78" s="1092"/>
      <c r="J78" s="1092"/>
      <c r="K78" s="1092"/>
      <c r="L78" s="1092"/>
      <c r="M78" s="1092"/>
      <c r="N78" s="1092"/>
      <c r="O78" s="1092"/>
      <c r="P78" s="1092"/>
      <c r="Q78" s="1092"/>
      <c r="R78" s="1092"/>
      <c r="S78" s="1092"/>
      <c r="T78" s="1093"/>
      <c r="U78" s="1078"/>
      <c r="V78" s="1078"/>
      <c r="W78" s="1078"/>
      <c r="X78" s="1078"/>
      <c r="Y78" s="1078"/>
      <c r="Z78" s="1078"/>
      <c r="AA78" s="1078"/>
      <c r="AB78" s="1078"/>
      <c r="AC78" s="1078"/>
      <c r="AD78" s="1078"/>
      <c r="AE78" s="1078"/>
      <c r="AF78" s="1078"/>
      <c r="AG78" s="1078"/>
      <c r="AH78" s="1078"/>
      <c r="AI78" s="1078"/>
      <c r="AJ78" s="1078"/>
      <c r="AK78" s="1078"/>
      <c r="AL78" s="1078"/>
      <c r="AM78" s="1078"/>
      <c r="AN78" s="1078"/>
      <c r="AO78" s="1078"/>
      <c r="AP78" s="1078"/>
      <c r="AQ78" s="1078"/>
      <c r="AR78" s="1078"/>
      <c r="AS78" s="1078"/>
      <c r="AT78" s="1078"/>
      <c r="AU78" s="1078"/>
      <c r="AV78" s="1078"/>
      <c r="AW78" s="1078"/>
      <c r="AX78" s="1078"/>
      <c r="AY78" s="1078"/>
      <c r="AZ78" s="1078"/>
      <c r="BA78" s="1078"/>
      <c r="BB78" s="1078"/>
      <c r="BC78" s="1078"/>
      <c r="BD78" s="1078"/>
      <c r="BE78" s="1082"/>
      <c r="CK78" s="1076"/>
      <c r="CL78" s="1076"/>
      <c r="CM78" s="1076"/>
      <c r="CN78" s="1076"/>
      <c r="CO78" s="1076"/>
      <c r="CP78" s="1076"/>
    </row>
    <row r="79" spans="1:94" ht="15.75" customHeight="1">
      <c r="A79" s="1078"/>
      <c r="B79" s="1090" t="s">
        <v>1964</v>
      </c>
      <c r="C79" s="1094"/>
      <c r="D79" s="1094"/>
      <c r="E79" s="1095"/>
      <c r="F79" s="1985"/>
      <c r="G79" s="1986"/>
      <c r="H79" s="1986"/>
      <c r="I79" s="1986"/>
      <c r="J79" s="1986"/>
      <c r="K79" s="1986"/>
      <c r="L79" s="1986"/>
      <c r="M79" s="1986"/>
      <c r="N79" s="1986"/>
      <c r="O79" s="1986"/>
      <c r="P79" s="1986"/>
      <c r="Q79" s="1986"/>
      <c r="R79" s="1986"/>
      <c r="S79" s="1986"/>
      <c r="T79" s="1987"/>
      <c r="U79" s="1078"/>
      <c r="V79" s="1078"/>
      <c r="W79" s="1078"/>
      <c r="X79" s="1078"/>
      <c r="Y79" s="1078"/>
      <c r="Z79" s="1078"/>
      <c r="AA79" s="1078"/>
      <c r="AB79" s="1078"/>
      <c r="AC79" s="1078"/>
      <c r="AD79" s="1078"/>
      <c r="AE79" s="1078"/>
      <c r="AF79" s="1078"/>
      <c r="AG79" s="1078"/>
      <c r="AH79" s="1078"/>
      <c r="AI79" s="1078"/>
      <c r="AJ79" s="1078"/>
      <c r="AK79" s="1078"/>
      <c r="AL79" s="1078"/>
      <c r="AM79" s="1078"/>
      <c r="AN79" s="1078"/>
      <c r="AO79" s="1078"/>
      <c r="AP79" s="1078"/>
      <c r="AQ79" s="1078"/>
      <c r="AR79" s="1078"/>
      <c r="AS79" s="1078"/>
      <c r="AT79" s="1078"/>
      <c r="AU79" s="1078"/>
      <c r="AV79" s="1078"/>
      <c r="AW79" s="1078"/>
      <c r="AX79" s="1078"/>
      <c r="AY79" s="1078"/>
      <c r="AZ79" s="1078"/>
      <c r="BA79" s="1078"/>
      <c r="BB79" s="1078"/>
      <c r="BC79" s="1078"/>
      <c r="BD79" s="1078"/>
      <c r="BE79" s="1082"/>
      <c r="CK79" s="1076"/>
      <c r="CL79" s="1076"/>
      <c r="CM79" s="1076"/>
      <c r="CN79" s="1076"/>
      <c r="CO79" s="1076"/>
      <c r="CP79" s="1076"/>
    </row>
    <row r="80" spans="1:94" ht="15.75" customHeight="1" thickBot="1">
      <c r="A80" s="1078"/>
      <c r="B80" s="1988" t="s">
        <v>1965</v>
      </c>
      <c r="C80" s="1989"/>
      <c r="D80" s="1989"/>
      <c r="E80" s="1989"/>
      <c r="F80" s="1989"/>
      <c r="G80" s="1989"/>
      <c r="H80" s="1989"/>
      <c r="I80" s="1989"/>
      <c r="J80" s="1989"/>
      <c r="K80" s="1989"/>
      <c r="L80" s="1989"/>
      <c r="M80" s="1989"/>
      <c r="N80" s="1989"/>
      <c r="O80" s="1989"/>
      <c r="P80" s="1989"/>
      <c r="Q80" s="1989"/>
      <c r="R80" s="1990" t="str">
        <f>IFERROR(INDEX(BR96:BR98,MATCH(F79,$BQ$96:$BQ$98,0))/SUM($BR$96:$BR$98),"")</f>
        <v/>
      </c>
      <c r="S80" s="1991"/>
      <c r="T80" s="1992"/>
      <c r="U80" s="1078"/>
      <c r="V80" s="1078"/>
      <c r="W80" s="1078"/>
      <c r="X80" s="1078"/>
      <c r="Y80" s="1078"/>
      <c r="Z80" s="1078"/>
      <c r="AA80" s="1078"/>
      <c r="AB80" s="1078"/>
      <c r="AC80" s="1078"/>
      <c r="AD80" s="1078"/>
      <c r="AE80" s="1078"/>
      <c r="AF80" s="1078"/>
      <c r="AG80" s="1078"/>
      <c r="AH80" s="1078"/>
      <c r="AI80" s="1078"/>
      <c r="AJ80" s="1078"/>
      <c r="AK80" s="1078"/>
      <c r="AL80" s="1078"/>
      <c r="AM80" s="1078"/>
      <c r="AN80" s="1078"/>
      <c r="AO80" s="1078"/>
      <c r="AP80" s="1078"/>
      <c r="AQ80" s="1078"/>
      <c r="AR80" s="1078"/>
      <c r="AS80" s="1078"/>
      <c r="AT80" s="1078"/>
      <c r="AU80" s="1078"/>
      <c r="AV80" s="1078"/>
      <c r="AW80" s="1078"/>
      <c r="AX80" s="1078"/>
      <c r="AY80" s="1078"/>
      <c r="AZ80" s="1078"/>
      <c r="BA80" s="1078"/>
      <c r="BB80" s="1078"/>
      <c r="BC80" s="1078"/>
      <c r="BD80" s="1078"/>
      <c r="BE80" s="1082"/>
      <c r="CK80" s="1076"/>
      <c r="CL80" s="1076"/>
      <c r="CM80" s="1076"/>
      <c r="CN80" s="1076"/>
      <c r="CO80" s="1076"/>
      <c r="CP80" s="1076"/>
    </row>
    <row r="81" spans="1:94" ht="15.75" customHeight="1" thickBot="1">
      <c r="A81" s="1078"/>
      <c r="B81" s="1993" t="s">
        <v>1966</v>
      </c>
      <c r="C81" s="1994"/>
      <c r="D81" s="1994"/>
      <c r="E81" s="1994"/>
      <c r="F81" s="1994"/>
      <c r="G81" s="1994"/>
      <c r="H81" s="1994"/>
      <c r="I81" s="1994"/>
      <c r="J81" s="1994"/>
      <c r="K81" s="1994"/>
      <c r="L81" s="1994"/>
      <c r="M81" s="1994"/>
      <c r="N81" s="1994"/>
      <c r="O81" s="1994"/>
      <c r="P81" s="1994"/>
      <c r="Q81" s="1994"/>
      <c r="R81" s="1995" t="s">
        <v>1967</v>
      </c>
      <c r="S81" s="1996"/>
      <c r="T81" s="1997"/>
      <c r="U81" s="1078"/>
      <c r="V81" s="1078"/>
      <c r="W81" s="1078"/>
      <c r="X81" s="1078"/>
      <c r="Y81" s="1078"/>
      <c r="Z81" s="1078"/>
      <c r="AA81" s="1078"/>
      <c r="AB81" s="1078"/>
      <c r="AC81" s="1078"/>
      <c r="AD81" s="1078"/>
      <c r="AE81" s="1078"/>
      <c r="AF81" s="1078"/>
      <c r="AG81" s="1078"/>
      <c r="AH81" s="1078"/>
      <c r="AI81" s="1078"/>
      <c r="AJ81" s="1078"/>
      <c r="AK81" s="1078"/>
      <c r="AL81" s="1078"/>
      <c r="AM81" s="1078"/>
      <c r="AN81" s="1078"/>
      <c r="AO81" s="1078"/>
      <c r="AP81" s="1078"/>
      <c r="AQ81" s="1078"/>
      <c r="AR81" s="1078"/>
      <c r="AS81" s="1078"/>
      <c r="AT81" s="1078"/>
      <c r="AU81" s="1078"/>
      <c r="AV81" s="1078"/>
      <c r="AW81" s="1078"/>
      <c r="AX81" s="1078"/>
      <c r="AY81" s="1078"/>
      <c r="AZ81" s="1078"/>
      <c r="BA81" s="1078"/>
      <c r="BB81" s="1078"/>
      <c r="BC81" s="1078"/>
      <c r="BD81" s="1078"/>
      <c r="BE81" s="1082"/>
      <c r="CK81" s="1076"/>
      <c r="CL81" s="1076"/>
      <c r="CM81" s="1076"/>
      <c r="CN81" s="1076"/>
      <c r="CO81" s="1076"/>
      <c r="CP81" s="1076"/>
    </row>
    <row r="82" spans="1:94" ht="15.75" customHeight="1" thickBot="1">
      <c r="A82" s="1078"/>
      <c r="B82" s="1078"/>
      <c r="C82" s="1078"/>
      <c r="D82" s="1078"/>
      <c r="E82" s="1078"/>
      <c r="F82" s="1078"/>
      <c r="G82" s="1078"/>
      <c r="H82" s="1078"/>
      <c r="I82" s="1078"/>
      <c r="J82" s="1078"/>
      <c r="K82" s="1078"/>
      <c r="L82" s="1078"/>
      <c r="M82" s="1078"/>
      <c r="N82" s="1078"/>
      <c r="O82" s="1078"/>
      <c r="P82" s="1078"/>
      <c r="Q82" s="1078"/>
      <c r="R82" s="1078"/>
      <c r="S82" s="1078"/>
      <c r="T82" s="1078"/>
      <c r="U82" s="1078"/>
      <c r="V82" s="1078"/>
      <c r="W82" s="1078"/>
      <c r="X82" s="1078"/>
      <c r="Y82" s="1078"/>
      <c r="Z82" s="1078"/>
      <c r="AA82" s="1078"/>
      <c r="AB82" s="1078"/>
      <c r="AC82" s="1078"/>
      <c r="AD82" s="1078"/>
      <c r="AE82" s="1078"/>
      <c r="AF82" s="1078"/>
      <c r="AG82" s="1078"/>
      <c r="AH82" s="1078"/>
      <c r="AI82" s="1078"/>
      <c r="AJ82" s="1078"/>
      <c r="AK82" s="1078"/>
      <c r="AL82" s="1078"/>
      <c r="AM82" s="1078"/>
      <c r="AN82" s="1078"/>
      <c r="AO82" s="1078"/>
      <c r="AP82" s="1078"/>
      <c r="AQ82" s="1078"/>
      <c r="AR82" s="1078"/>
      <c r="AS82" s="1078"/>
      <c r="AT82" s="1078"/>
      <c r="AU82" s="1078"/>
      <c r="AV82" s="1078"/>
      <c r="AW82" s="1078"/>
      <c r="AX82" s="1078"/>
      <c r="AY82" s="1078"/>
      <c r="AZ82" s="1078"/>
      <c r="BA82" s="1078"/>
      <c r="BB82" s="1078"/>
      <c r="BC82" s="1078"/>
      <c r="BD82" s="1078"/>
      <c r="BE82" s="1082"/>
      <c r="CK82" s="1076"/>
      <c r="CL82" s="1076"/>
      <c r="CM82" s="1076"/>
      <c r="CN82" s="1076"/>
      <c r="CO82" s="1076"/>
      <c r="CP82" s="1076"/>
    </row>
    <row r="83" spans="1:94" ht="15.75" customHeight="1">
      <c r="A83" s="1078"/>
      <c r="B83" s="1998" t="s">
        <v>1968</v>
      </c>
      <c r="C83" s="1999"/>
      <c r="D83" s="1999"/>
      <c r="E83" s="1999"/>
      <c r="F83" s="1999"/>
      <c r="G83" s="1999"/>
      <c r="H83" s="1999"/>
      <c r="I83" s="1999"/>
      <c r="J83" s="1999"/>
      <c r="K83" s="1999"/>
      <c r="L83" s="1999"/>
      <c r="M83" s="1999"/>
      <c r="N83" s="1999"/>
      <c r="O83" s="1999"/>
      <c r="P83" s="1999"/>
      <c r="Q83" s="1999"/>
      <c r="R83" s="1999"/>
      <c r="S83" s="1999"/>
      <c r="T83" s="1999"/>
      <c r="U83" s="1999"/>
      <c r="V83" s="1999"/>
      <c r="W83" s="1999"/>
      <c r="X83" s="1999"/>
      <c r="Y83" s="1999"/>
      <c r="Z83" s="1999"/>
      <c r="AA83" s="1999"/>
      <c r="AB83" s="1999"/>
      <c r="AC83" s="1999"/>
      <c r="AD83" s="1999"/>
      <c r="AE83" s="1999"/>
      <c r="AF83" s="1999"/>
      <c r="AG83" s="1999"/>
      <c r="AH83" s="2000"/>
      <c r="AI83" s="1078"/>
      <c r="AJ83" s="2016" t="s">
        <v>1969</v>
      </c>
      <c r="AK83" s="2017"/>
      <c r="AL83" s="2017"/>
      <c r="AM83" s="2017"/>
      <c r="AN83" s="2017"/>
      <c r="AO83" s="2017"/>
      <c r="AP83" s="2017"/>
      <c r="AQ83" s="2017"/>
      <c r="AR83" s="2017"/>
      <c r="AS83" s="2017"/>
      <c r="AT83" s="2017"/>
      <c r="AU83" s="2017"/>
      <c r="AV83" s="2017"/>
      <c r="AW83" s="2017"/>
      <c r="AX83" s="2017"/>
      <c r="AY83" s="2020" t="s">
        <v>842</v>
      </c>
      <c r="AZ83" s="2020"/>
      <c r="BA83" s="2020"/>
      <c r="BB83" s="2021"/>
      <c r="BC83" s="1078"/>
      <c r="BD83" s="1078"/>
      <c r="BE83" s="1082"/>
      <c r="CK83" s="1076"/>
      <c r="CL83" s="1076"/>
      <c r="CM83" s="1076"/>
      <c r="CN83" s="1076"/>
      <c r="CO83" s="1076"/>
      <c r="CP83" s="1076"/>
    </row>
    <row r="84" spans="1:94" ht="15.75" customHeight="1">
      <c r="A84" s="1078"/>
      <c r="B84" s="1937"/>
      <c r="C84" s="1938"/>
      <c r="D84" s="1938"/>
      <c r="E84" s="1938"/>
      <c r="F84" s="1938"/>
      <c r="G84" s="1938"/>
      <c r="H84" s="1938"/>
      <c r="I84" s="1938" t="s">
        <v>1970</v>
      </c>
      <c r="J84" s="1938"/>
      <c r="K84" s="1938"/>
      <c r="L84" s="1938"/>
      <c r="M84" s="1938"/>
      <c r="N84" s="1938"/>
      <c r="O84" s="1938" t="s">
        <v>1971</v>
      </c>
      <c r="P84" s="1938"/>
      <c r="Q84" s="1938"/>
      <c r="R84" s="1938"/>
      <c r="S84" s="1938"/>
      <c r="T84" s="1938"/>
      <c r="U84" s="1938"/>
      <c r="V84" s="2024" t="s">
        <v>1972</v>
      </c>
      <c r="W84" s="2024"/>
      <c r="X84" s="2024"/>
      <c r="Y84" s="2024"/>
      <c r="Z84" s="2024"/>
      <c r="AA84" s="2024"/>
      <c r="AB84" s="2025" t="s">
        <v>1973</v>
      </c>
      <c r="AC84" s="2025"/>
      <c r="AD84" s="2025"/>
      <c r="AE84" s="2025"/>
      <c r="AF84" s="2025"/>
      <c r="AG84" s="2025"/>
      <c r="AH84" s="2026"/>
      <c r="AI84" s="1078"/>
      <c r="AJ84" s="2018"/>
      <c r="AK84" s="2019"/>
      <c r="AL84" s="2019"/>
      <c r="AM84" s="2019"/>
      <c r="AN84" s="2019"/>
      <c r="AO84" s="2019"/>
      <c r="AP84" s="2019"/>
      <c r="AQ84" s="2019"/>
      <c r="AR84" s="2019"/>
      <c r="AS84" s="2019"/>
      <c r="AT84" s="2019"/>
      <c r="AU84" s="2019"/>
      <c r="AV84" s="2019"/>
      <c r="AW84" s="2019"/>
      <c r="AX84" s="2019"/>
      <c r="AY84" s="2022"/>
      <c r="AZ84" s="2022"/>
      <c r="BA84" s="2022"/>
      <c r="BB84" s="2023"/>
      <c r="BC84" s="1078"/>
      <c r="BD84" s="1078"/>
      <c r="BE84" s="1082"/>
      <c r="CK84" s="1076"/>
      <c r="CL84" s="1076"/>
      <c r="CM84" s="1076"/>
      <c r="CN84" s="1076"/>
      <c r="CO84" s="1076"/>
      <c r="CP84" s="1076"/>
    </row>
    <row r="85" spans="1:94" ht="15.75" customHeight="1">
      <c r="A85" s="1078"/>
      <c r="B85" s="1937"/>
      <c r="C85" s="1938"/>
      <c r="D85" s="1938"/>
      <c r="E85" s="1938"/>
      <c r="F85" s="1938"/>
      <c r="G85" s="1938"/>
      <c r="H85" s="1938"/>
      <c r="I85" s="1938"/>
      <c r="J85" s="1938"/>
      <c r="K85" s="1938"/>
      <c r="L85" s="1938"/>
      <c r="M85" s="1938"/>
      <c r="N85" s="1938"/>
      <c r="O85" s="1938"/>
      <c r="P85" s="1938"/>
      <c r="Q85" s="1938"/>
      <c r="R85" s="1938"/>
      <c r="S85" s="1938"/>
      <c r="T85" s="1938"/>
      <c r="U85" s="1938"/>
      <c r="V85" s="2024"/>
      <c r="W85" s="2024"/>
      <c r="X85" s="2024"/>
      <c r="Y85" s="2024"/>
      <c r="Z85" s="2024"/>
      <c r="AA85" s="2024"/>
      <c r="AB85" s="2025"/>
      <c r="AC85" s="2025"/>
      <c r="AD85" s="2025"/>
      <c r="AE85" s="2025"/>
      <c r="AF85" s="2025"/>
      <c r="AG85" s="2025"/>
      <c r="AH85" s="2026"/>
      <c r="AI85" s="1078"/>
      <c r="AJ85" s="2018"/>
      <c r="AK85" s="2019"/>
      <c r="AL85" s="2019"/>
      <c r="AM85" s="2019"/>
      <c r="AN85" s="2019"/>
      <c r="AO85" s="2019"/>
      <c r="AP85" s="2019"/>
      <c r="AQ85" s="2019"/>
      <c r="AR85" s="2019"/>
      <c r="AS85" s="2019"/>
      <c r="AT85" s="2019"/>
      <c r="AU85" s="2019"/>
      <c r="AV85" s="2019"/>
      <c r="AW85" s="2019"/>
      <c r="AX85" s="2019"/>
      <c r="AY85" s="2022"/>
      <c r="AZ85" s="2022"/>
      <c r="BA85" s="2022"/>
      <c r="BB85" s="2023"/>
      <c r="BC85" s="1078"/>
      <c r="BD85" s="1078"/>
      <c r="BE85" s="1082"/>
      <c r="CK85" s="1076"/>
      <c r="CL85" s="1076"/>
      <c r="CM85" s="1076"/>
      <c r="CN85" s="1076"/>
      <c r="CO85" s="1076"/>
      <c r="CP85" s="1076"/>
    </row>
    <row r="86" spans="1:94" ht="15.75" customHeight="1">
      <c r="A86" s="1078"/>
      <c r="B86" s="1937" t="s">
        <v>1974</v>
      </c>
      <c r="C86" s="1938"/>
      <c r="D86" s="1938"/>
      <c r="E86" s="1938"/>
      <c r="F86" s="1938"/>
      <c r="G86" s="1938"/>
      <c r="H86" s="1938"/>
      <c r="I86" s="2014">
        <v>0</v>
      </c>
      <c r="J86" s="2014"/>
      <c r="K86" s="2014"/>
      <c r="L86" s="2014"/>
      <c r="M86" s="2014"/>
      <c r="N86" s="2014"/>
      <c r="O86" s="2014">
        <v>0</v>
      </c>
      <c r="P86" s="2014"/>
      <c r="Q86" s="2014"/>
      <c r="R86" s="2014"/>
      <c r="S86" s="2014"/>
      <c r="T86" s="2014"/>
      <c r="U86" s="2014"/>
      <c r="V86" s="2014">
        <v>0</v>
      </c>
      <c r="W86" s="2014"/>
      <c r="X86" s="2014"/>
      <c r="Y86" s="2014"/>
      <c r="Z86" s="2014"/>
      <c r="AA86" s="2014"/>
      <c r="AB86" s="2014">
        <v>0</v>
      </c>
      <c r="AC86" s="2014"/>
      <c r="AD86" s="2014"/>
      <c r="AE86" s="2014"/>
      <c r="AF86" s="2014"/>
      <c r="AG86" s="2014"/>
      <c r="AH86" s="2015"/>
      <c r="AI86" s="1078"/>
      <c r="AJ86" s="2018"/>
      <c r="AK86" s="2019"/>
      <c r="AL86" s="2019"/>
      <c r="AM86" s="2019"/>
      <c r="AN86" s="2019"/>
      <c r="AO86" s="2019"/>
      <c r="AP86" s="2019"/>
      <c r="AQ86" s="2019"/>
      <c r="AR86" s="2019"/>
      <c r="AS86" s="2019"/>
      <c r="AT86" s="2019"/>
      <c r="AU86" s="2019"/>
      <c r="AV86" s="2019"/>
      <c r="AW86" s="2019"/>
      <c r="AX86" s="2019"/>
      <c r="AY86" s="2022"/>
      <c r="AZ86" s="2022"/>
      <c r="BA86" s="2022"/>
      <c r="BB86" s="2023"/>
      <c r="BC86" s="1078"/>
      <c r="BD86" s="1078"/>
      <c r="BE86" s="1082"/>
      <c r="CK86" s="1076"/>
      <c r="CL86" s="1076"/>
      <c r="CM86" s="1076"/>
      <c r="CN86" s="1076"/>
      <c r="CO86" s="1076"/>
      <c r="CP86" s="1076"/>
    </row>
    <row r="87" spans="1:94" ht="15.75" customHeight="1">
      <c r="A87" s="1078"/>
      <c r="B87" s="1937" t="s">
        <v>1975</v>
      </c>
      <c r="C87" s="1938"/>
      <c r="D87" s="1938"/>
      <c r="E87" s="1938"/>
      <c r="F87" s="1938"/>
      <c r="G87" s="1938"/>
      <c r="H87" s="1938"/>
      <c r="I87" s="2014">
        <v>0</v>
      </c>
      <c r="J87" s="2014"/>
      <c r="K87" s="2014"/>
      <c r="L87" s="2014"/>
      <c r="M87" s="2014"/>
      <c r="N87" s="2014"/>
      <c r="O87" s="2014">
        <v>0</v>
      </c>
      <c r="P87" s="2014"/>
      <c r="Q87" s="2014"/>
      <c r="R87" s="2014"/>
      <c r="S87" s="2014"/>
      <c r="T87" s="2014"/>
      <c r="U87" s="2014"/>
      <c r="V87" s="2014">
        <v>0</v>
      </c>
      <c r="W87" s="2014"/>
      <c r="X87" s="2014"/>
      <c r="Y87" s="2014"/>
      <c r="Z87" s="2014"/>
      <c r="AA87" s="2014"/>
      <c r="AB87" s="2014">
        <v>0</v>
      </c>
      <c r="AC87" s="2014"/>
      <c r="AD87" s="2014"/>
      <c r="AE87" s="2014"/>
      <c r="AF87" s="2014"/>
      <c r="AG87" s="2014"/>
      <c r="AH87" s="2015"/>
      <c r="AI87" s="1078"/>
      <c r="AJ87" s="2003" t="s">
        <v>1976</v>
      </c>
      <c r="AK87" s="2004"/>
      <c r="AL87" s="2004"/>
      <c r="AM87" s="2004"/>
      <c r="AN87" s="2004"/>
      <c r="AO87" s="2004"/>
      <c r="AP87" s="2004"/>
      <c r="AQ87" s="2004"/>
      <c r="AR87" s="2004"/>
      <c r="AS87" s="2004"/>
      <c r="AT87" s="2004"/>
      <c r="AU87" s="2004"/>
      <c r="AV87" s="2004"/>
      <c r="AW87" s="2004"/>
      <c r="AX87" s="2004"/>
      <c r="AY87" s="2004"/>
      <c r="AZ87" s="2004"/>
      <c r="BA87" s="2004"/>
      <c r="BB87" s="2005"/>
      <c r="BC87" s="1078"/>
      <c r="BD87" s="1078"/>
      <c r="BE87" s="1082"/>
      <c r="CK87" s="1076"/>
      <c r="CL87" s="1076"/>
      <c r="CM87" s="1076"/>
      <c r="CN87" s="1076"/>
      <c r="CO87" s="1076"/>
      <c r="CP87" s="1076"/>
    </row>
    <row r="88" spans="1:94" ht="15.75" customHeight="1" thickBot="1">
      <c r="A88" s="1078"/>
      <c r="B88" s="1955" t="s">
        <v>1977</v>
      </c>
      <c r="C88" s="1956"/>
      <c r="D88" s="1956"/>
      <c r="E88" s="1956"/>
      <c r="F88" s="1956"/>
      <c r="G88" s="1956"/>
      <c r="H88" s="1956"/>
      <c r="I88" s="2029">
        <v>0</v>
      </c>
      <c r="J88" s="2029"/>
      <c r="K88" s="2029"/>
      <c r="L88" s="2029"/>
      <c r="M88" s="2029"/>
      <c r="N88" s="2029"/>
      <c r="O88" s="2029">
        <v>0</v>
      </c>
      <c r="P88" s="2029"/>
      <c r="Q88" s="2029"/>
      <c r="R88" s="2029"/>
      <c r="S88" s="2029"/>
      <c r="T88" s="2029"/>
      <c r="U88" s="2029"/>
      <c r="V88" s="2029">
        <v>0</v>
      </c>
      <c r="W88" s="2029"/>
      <c r="X88" s="2029"/>
      <c r="Y88" s="2029"/>
      <c r="Z88" s="2029"/>
      <c r="AA88" s="2029"/>
      <c r="AB88" s="2029">
        <v>0</v>
      </c>
      <c r="AC88" s="2029"/>
      <c r="AD88" s="2029"/>
      <c r="AE88" s="2029"/>
      <c r="AF88" s="2029"/>
      <c r="AG88" s="2029"/>
      <c r="AH88" s="2030"/>
      <c r="AI88" s="1078"/>
      <c r="AJ88" s="2006"/>
      <c r="AK88" s="2007"/>
      <c r="AL88" s="2007"/>
      <c r="AM88" s="2007"/>
      <c r="AN88" s="2007"/>
      <c r="AO88" s="2007"/>
      <c r="AP88" s="2007"/>
      <c r="AQ88" s="2007"/>
      <c r="AR88" s="2007"/>
      <c r="AS88" s="2007"/>
      <c r="AT88" s="2007"/>
      <c r="AU88" s="2007"/>
      <c r="AV88" s="2007"/>
      <c r="AW88" s="2007"/>
      <c r="AX88" s="2007"/>
      <c r="AY88" s="2007"/>
      <c r="AZ88" s="2007"/>
      <c r="BA88" s="2007"/>
      <c r="BB88" s="2008"/>
      <c r="BC88" s="1078"/>
      <c r="BD88" s="1078"/>
      <c r="BE88" s="1082"/>
      <c r="CK88" s="1076"/>
      <c r="CL88" s="1076"/>
      <c r="CM88" s="1076"/>
      <c r="CN88" s="1076"/>
      <c r="CO88" s="1076"/>
      <c r="CP88" s="1076"/>
    </row>
    <row r="89" spans="1:94" ht="15.75" customHeight="1">
      <c r="A89" s="1078"/>
      <c r="B89" s="1078"/>
      <c r="C89" s="1078"/>
      <c r="D89" s="1078"/>
      <c r="E89" s="1078"/>
      <c r="F89" s="1078"/>
      <c r="G89" s="1078"/>
      <c r="H89" s="1078"/>
      <c r="I89" s="1078"/>
      <c r="J89" s="1078"/>
      <c r="K89" s="1078"/>
      <c r="L89" s="1078"/>
      <c r="M89" s="1078"/>
      <c r="N89" s="1078"/>
      <c r="O89" s="1078"/>
      <c r="P89" s="1078"/>
      <c r="Q89" s="1078"/>
      <c r="R89" s="1078"/>
      <c r="S89" s="1078"/>
      <c r="T89" s="1078"/>
      <c r="U89" s="1078"/>
      <c r="V89" s="1078"/>
      <c r="W89" s="1078"/>
      <c r="X89" s="1078"/>
      <c r="Y89" s="1078"/>
      <c r="Z89" s="1078"/>
      <c r="AA89" s="1078"/>
      <c r="AB89" s="1078"/>
      <c r="AC89" s="1078"/>
      <c r="AD89" s="1078"/>
      <c r="AE89" s="1078"/>
      <c r="AF89" s="1078"/>
      <c r="AG89" s="1078"/>
      <c r="AH89" s="1078"/>
      <c r="AI89" s="1078"/>
      <c r="AJ89" s="1078"/>
      <c r="AK89" s="1078"/>
      <c r="AL89" s="1078"/>
      <c r="AM89" s="1078"/>
      <c r="AN89" s="1078"/>
      <c r="AO89" s="1078"/>
      <c r="AP89" s="1078"/>
      <c r="AQ89" s="1078"/>
      <c r="AR89" s="1078"/>
      <c r="AS89" s="1078"/>
      <c r="AT89" s="1078"/>
      <c r="AU89" s="1078"/>
      <c r="AV89" s="1078"/>
      <c r="AW89" s="1078"/>
      <c r="AX89" s="1078"/>
      <c r="AY89" s="1078"/>
      <c r="AZ89" s="1078"/>
      <c r="BA89" s="1078"/>
      <c r="BB89" s="1078"/>
      <c r="BC89" s="1078"/>
      <c r="BD89" s="1078"/>
      <c r="BE89" s="1082"/>
      <c r="CM89" s="1076"/>
      <c r="CN89" s="1076"/>
      <c r="CO89" s="1076"/>
      <c r="CP89" s="1076"/>
    </row>
    <row r="90" spans="1:94" ht="15.75" customHeight="1" thickBot="1">
      <c r="A90" s="1078"/>
      <c r="B90" s="1078"/>
      <c r="C90" s="1078"/>
      <c r="D90" s="1078"/>
      <c r="E90" s="1078"/>
      <c r="F90" s="1078"/>
      <c r="G90" s="1078"/>
      <c r="H90" s="1078"/>
      <c r="I90" s="1078"/>
      <c r="J90" s="1078"/>
      <c r="K90" s="1078"/>
      <c r="L90" s="1078"/>
      <c r="M90" s="1078"/>
      <c r="N90" s="1078"/>
      <c r="O90" s="1078"/>
      <c r="P90" s="1078"/>
      <c r="Q90" s="1078"/>
      <c r="R90" s="1078"/>
      <c r="S90" s="1078"/>
      <c r="T90" s="1078"/>
      <c r="U90" s="1078"/>
      <c r="V90" s="1078"/>
      <c r="W90" s="1078"/>
      <c r="X90" s="1078"/>
      <c r="Y90" s="1078"/>
      <c r="Z90" s="1078"/>
      <c r="AA90" s="1078"/>
      <c r="AB90" s="1078"/>
      <c r="AC90" s="1078"/>
      <c r="AD90" s="1078"/>
      <c r="AE90" s="1078"/>
      <c r="AF90" s="1078"/>
      <c r="AG90" s="1078"/>
      <c r="AH90" s="1078"/>
      <c r="AI90" s="1078"/>
      <c r="AJ90" s="1078"/>
      <c r="AK90" s="1078"/>
      <c r="AL90" s="1078"/>
      <c r="AM90" s="1078"/>
      <c r="AN90" s="1078"/>
      <c r="AO90" s="1078"/>
      <c r="AP90" s="1078"/>
      <c r="AQ90" s="1078"/>
      <c r="AR90" s="1078"/>
      <c r="AS90" s="1078"/>
      <c r="AT90" s="1078"/>
      <c r="AU90" s="1078"/>
      <c r="AV90" s="1078"/>
      <c r="AW90" s="1078"/>
      <c r="AX90" s="1078"/>
      <c r="AY90" s="1078"/>
      <c r="AZ90" s="1078"/>
      <c r="BA90" s="1078"/>
      <c r="BB90" s="1078"/>
      <c r="BC90" s="1078"/>
      <c r="BD90" s="1078"/>
      <c r="BE90" s="1082"/>
      <c r="CM90" s="1076"/>
      <c r="CN90" s="1076"/>
      <c r="CO90" s="1076"/>
      <c r="CP90" s="1076"/>
    </row>
    <row r="91" spans="1:94" ht="15.75" customHeight="1" thickBot="1">
      <c r="A91" s="1078"/>
      <c r="B91" s="1090" t="s">
        <v>1978</v>
      </c>
      <c r="C91" s="1096"/>
      <c r="D91" s="1097"/>
      <c r="E91" s="1098"/>
      <c r="F91" s="1098"/>
      <c r="G91" s="1098"/>
      <c r="H91" s="1098"/>
      <c r="I91" s="1098"/>
      <c r="J91" s="1098"/>
      <c r="K91" s="1098"/>
      <c r="L91" s="1098"/>
      <c r="M91" s="1098"/>
      <c r="N91" s="1098"/>
      <c r="O91" s="1098"/>
      <c r="P91" s="1098"/>
      <c r="Q91" s="1098"/>
      <c r="R91" s="1098"/>
      <c r="S91" s="1098"/>
      <c r="T91" s="1099"/>
      <c r="U91" s="1078"/>
      <c r="V91" s="1078"/>
      <c r="W91" s="1078"/>
      <c r="X91" s="1078"/>
      <c r="Y91" s="1078"/>
      <c r="Z91" s="1078"/>
      <c r="AA91" s="1078"/>
      <c r="AB91" s="1078"/>
      <c r="AC91" s="1078"/>
      <c r="AD91" s="1078"/>
      <c r="AE91" s="1078"/>
      <c r="AF91" s="1078"/>
      <c r="AG91" s="1078"/>
      <c r="AH91" s="1078"/>
      <c r="AI91" s="1078"/>
      <c r="AJ91" s="1078"/>
      <c r="AK91" s="1078"/>
      <c r="AL91" s="1078"/>
      <c r="AM91" s="1078"/>
      <c r="AN91" s="1078"/>
      <c r="AO91" s="1078"/>
      <c r="AP91" s="1078"/>
      <c r="AQ91" s="1078"/>
      <c r="AR91" s="1078"/>
      <c r="AS91" s="1078"/>
      <c r="AT91" s="1078"/>
      <c r="AU91" s="1078"/>
      <c r="AV91" s="1078"/>
      <c r="AW91" s="1078"/>
      <c r="AX91" s="1078"/>
      <c r="AY91" s="1078"/>
      <c r="AZ91" s="1078"/>
      <c r="BA91" s="1078"/>
      <c r="BB91" s="1078"/>
      <c r="BC91" s="1078"/>
      <c r="BD91" s="1078"/>
      <c r="BE91" s="1082"/>
      <c r="BQ91" s="1146"/>
      <c r="CM91" s="1076"/>
      <c r="CN91" s="1076"/>
      <c r="CO91" s="1076"/>
      <c r="CP91" s="1076"/>
    </row>
    <row r="92" spans="1:94" ht="15.75" customHeight="1">
      <c r="A92" s="1078"/>
      <c r="B92" s="1100" t="s">
        <v>1964</v>
      </c>
      <c r="C92" s="1100"/>
      <c r="D92" s="1101"/>
      <c r="E92" s="1102"/>
      <c r="F92" s="1985"/>
      <c r="G92" s="1986"/>
      <c r="H92" s="1986"/>
      <c r="I92" s="1986"/>
      <c r="J92" s="1986"/>
      <c r="K92" s="1986"/>
      <c r="L92" s="1986"/>
      <c r="M92" s="1986"/>
      <c r="N92" s="1986"/>
      <c r="O92" s="1986"/>
      <c r="P92" s="1986"/>
      <c r="Q92" s="1986"/>
      <c r="R92" s="1986"/>
      <c r="S92" s="1986"/>
      <c r="T92" s="1987"/>
      <c r="U92" s="1078"/>
      <c r="V92" s="1078"/>
      <c r="W92" s="1078"/>
      <c r="X92" s="1078"/>
      <c r="Y92" s="1078"/>
      <c r="Z92" s="1078"/>
      <c r="AA92" s="1078"/>
      <c r="AB92" s="1078"/>
      <c r="AC92" s="1078"/>
      <c r="AD92" s="1078"/>
      <c r="AE92" s="1078"/>
      <c r="AF92" s="1078"/>
      <c r="AG92" s="1078"/>
      <c r="AH92" s="1078"/>
      <c r="AI92" s="1078"/>
      <c r="AJ92" s="1078"/>
      <c r="AK92" s="1078"/>
      <c r="AL92" s="1078"/>
      <c r="AM92" s="1078"/>
      <c r="AN92" s="1078"/>
      <c r="AO92" s="1078"/>
      <c r="AP92" s="1078"/>
      <c r="AQ92" s="1078"/>
      <c r="AR92" s="1078"/>
      <c r="AS92" s="1078"/>
      <c r="AT92" s="1078"/>
      <c r="AU92" s="1078"/>
      <c r="AV92" s="1078"/>
      <c r="AW92" s="1078"/>
      <c r="AX92" s="1078"/>
      <c r="AY92" s="1078"/>
      <c r="AZ92" s="1078"/>
      <c r="BA92" s="1078"/>
      <c r="BB92" s="1078"/>
      <c r="BC92" s="1078"/>
      <c r="BD92" s="1078"/>
      <c r="BE92" s="1082"/>
      <c r="CM92" s="1076"/>
      <c r="CN92" s="1076"/>
      <c r="CO92" s="1076"/>
      <c r="CP92" s="1076"/>
    </row>
    <row r="93" spans="1:94" ht="15.75" customHeight="1" thickBot="1">
      <c r="A93" s="1078"/>
      <c r="B93" s="1988" t="s">
        <v>1979</v>
      </c>
      <c r="C93" s="1989"/>
      <c r="D93" s="1989"/>
      <c r="E93" s="1989"/>
      <c r="F93" s="1989"/>
      <c r="G93" s="1989"/>
      <c r="H93" s="1989"/>
      <c r="I93" s="1989"/>
      <c r="J93" s="1989"/>
      <c r="K93" s="1989"/>
      <c r="L93" s="1989"/>
      <c r="M93" s="1989"/>
      <c r="N93" s="1989"/>
      <c r="O93" s="1989"/>
      <c r="P93" s="1989"/>
      <c r="Q93" s="2027"/>
      <c r="R93" s="1990" t="str">
        <f>IFERROR(INDEX(BR96:BR98,MATCH(F92,$BQ$96:$BQ$98,0))/SUM($BR$96:$BR$98),"")</f>
        <v/>
      </c>
      <c r="S93" s="1991"/>
      <c r="T93" s="1992"/>
      <c r="U93" s="1078"/>
      <c r="V93" s="1078"/>
      <c r="W93" s="1078"/>
      <c r="X93" s="1078"/>
      <c r="Y93" s="1078"/>
      <c r="Z93" s="1078"/>
      <c r="AA93" s="1078"/>
      <c r="AB93" s="1078"/>
      <c r="AC93" s="1078"/>
      <c r="AD93" s="1078"/>
      <c r="AE93" s="1078"/>
      <c r="AF93" s="1078"/>
      <c r="AG93" s="1078"/>
      <c r="AH93" s="1078"/>
      <c r="AI93" s="1078"/>
      <c r="AJ93" s="1078"/>
      <c r="AK93" s="1078"/>
      <c r="AL93" s="1078"/>
      <c r="AM93" s="1078"/>
      <c r="AN93" s="1078"/>
      <c r="AO93" s="1078"/>
      <c r="AP93" s="1078"/>
      <c r="AQ93" s="1078"/>
      <c r="AR93" s="1078"/>
      <c r="AS93" s="1078"/>
      <c r="AT93" s="1078"/>
      <c r="AU93" s="1078"/>
      <c r="AV93" s="1078"/>
      <c r="AW93" s="1078"/>
      <c r="AX93" s="1078"/>
      <c r="AY93" s="1078"/>
      <c r="AZ93" s="1078"/>
      <c r="BA93" s="1078"/>
      <c r="BB93" s="1078"/>
      <c r="BC93" s="1078"/>
      <c r="BD93" s="1078"/>
      <c r="BE93" s="1082"/>
      <c r="CM93" s="1076"/>
      <c r="CN93" s="1076"/>
      <c r="CO93" s="1076"/>
      <c r="CP93" s="1076"/>
    </row>
    <row r="94" spans="1:94" ht="15.75" customHeight="1" thickBot="1">
      <c r="A94" s="1078"/>
      <c r="B94" s="1993" t="s">
        <v>1980</v>
      </c>
      <c r="C94" s="1994"/>
      <c r="D94" s="1994"/>
      <c r="E94" s="1994"/>
      <c r="F94" s="1994"/>
      <c r="G94" s="1994"/>
      <c r="H94" s="1994"/>
      <c r="I94" s="1994"/>
      <c r="J94" s="1994"/>
      <c r="K94" s="1994"/>
      <c r="L94" s="1994"/>
      <c r="M94" s="1994"/>
      <c r="N94" s="1994"/>
      <c r="O94" s="1994"/>
      <c r="P94" s="1994"/>
      <c r="Q94" s="2028"/>
      <c r="R94" s="1995" t="s">
        <v>1967</v>
      </c>
      <c r="S94" s="1996"/>
      <c r="T94" s="1997"/>
      <c r="U94" s="1078"/>
      <c r="V94" s="1078"/>
      <c r="W94" s="1078"/>
      <c r="X94" s="1078"/>
      <c r="Y94" s="1078"/>
      <c r="Z94" s="1078"/>
      <c r="AA94" s="1078"/>
      <c r="AB94" s="1078"/>
      <c r="AC94" s="1078"/>
      <c r="AD94" s="1078"/>
      <c r="AE94" s="1078"/>
      <c r="AF94" s="1078"/>
      <c r="AG94" s="1078"/>
      <c r="AH94" s="1078"/>
      <c r="AI94" s="1078"/>
      <c r="AJ94" s="1078"/>
      <c r="AK94" s="1078"/>
      <c r="AL94" s="1078"/>
      <c r="AM94" s="1078"/>
      <c r="AN94" s="1078"/>
      <c r="AO94" s="1078"/>
      <c r="AP94" s="1078"/>
      <c r="AQ94" s="1078"/>
      <c r="AR94" s="1078"/>
      <c r="AS94" s="1078"/>
      <c r="AT94" s="1078"/>
      <c r="AU94" s="1078"/>
      <c r="AV94" s="1078"/>
      <c r="AW94" s="1078"/>
      <c r="AX94" s="1078"/>
      <c r="AY94" s="1078"/>
      <c r="AZ94" s="1078"/>
      <c r="BA94" s="1078"/>
      <c r="BB94" s="1078"/>
      <c r="BC94" s="1078"/>
      <c r="BD94" s="1078"/>
      <c r="BE94" s="1082"/>
      <c r="CM94" s="1076"/>
      <c r="CN94" s="1076"/>
      <c r="CO94" s="1076"/>
      <c r="CP94" s="1076"/>
    </row>
    <row r="95" spans="1:94" ht="15.75" customHeight="1" thickBot="1">
      <c r="A95" s="1078"/>
      <c r="B95" s="1078"/>
      <c r="C95" s="1078"/>
      <c r="D95" s="1078"/>
      <c r="E95" s="1078"/>
      <c r="F95" s="1078"/>
      <c r="G95" s="1078"/>
      <c r="H95" s="1078"/>
      <c r="I95" s="1078"/>
      <c r="J95" s="1078"/>
      <c r="K95" s="1078"/>
      <c r="L95" s="1078"/>
      <c r="M95" s="1078"/>
      <c r="N95" s="1078"/>
      <c r="O95" s="1078"/>
      <c r="P95" s="1078"/>
      <c r="Q95" s="1078"/>
      <c r="R95" s="1078"/>
      <c r="S95" s="1078"/>
      <c r="T95" s="1078"/>
      <c r="U95" s="1078"/>
      <c r="V95" s="1078"/>
      <c r="W95" s="1078"/>
      <c r="X95" s="1078"/>
      <c r="Y95" s="1078"/>
      <c r="Z95" s="1078"/>
      <c r="AA95" s="1078"/>
      <c r="AB95" s="1078"/>
      <c r="AC95" s="1078"/>
      <c r="AD95" s="1078"/>
      <c r="AE95" s="1078"/>
      <c r="AF95" s="1078"/>
      <c r="AG95" s="1078"/>
      <c r="AH95" s="1078"/>
      <c r="AI95" s="1078"/>
      <c r="AJ95" s="1078"/>
      <c r="AK95" s="1078"/>
      <c r="AL95" s="1078"/>
      <c r="AM95" s="1078"/>
      <c r="AN95" s="1078"/>
      <c r="AO95" s="1078"/>
      <c r="AP95" s="1078"/>
      <c r="AQ95" s="1078"/>
      <c r="AR95" s="1078"/>
      <c r="AS95" s="1078"/>
      <c r="AT95" s="1078"/>
      <c r="AU95" s="1078"/>
      <c r="AV95" s="1078"/>
      <c r="AW95" s="1078"/>
      <c r="AX95" s="1078"/>
      <c r="AY95" s="1078"/>
      <c r="AZ95" s="1078"/>
      <c r="BA95" s="1078"/>
      <c r="BB95" s="1078"/>
      <c r="BC95" s="1078"/>
      <c r="BD95" s="1078"/>
      <c r="BE95" s="1082"/>
      <c r="CM95" s="1076"/>
      <c r="CN95" s="1076"/>
      <c r="CO95" s="1076"/>
      <c r="CP95" s="1076"/>
    </row>
    <row r="96" spans="1:94" ht="15.75" customHeight="1">
      <c r="A96" s="1078"/>
      <c r="B96" s="1998" t="s">
        <v>1981</v>
      </c>
      <c r="C96" s="1999"/>
      <c r="D96" s="1999"/>
      <c r="E96" s="1999"/>
      <c r="F96" s="1999"/>
      <c r="G96" s="1999"/>
      <c r="H96" s="1999"/>
      <c r="I96" s="1999"/>
      <c r="J96" s="1999"/>
      <c r="K96" s="1999"/>
      <c r="L96" s="1999"/>
      <c r="M96" s="1999"/>
      <c r="N96" s="1999"/>
      <c r="O96" s="1999"/>
      <c r="P96" s="1999"/>
      <c r="Q96" s="1999"/>
      <c r="R96" s="1999"/>
      <c r="S96" s="1999"/>
      <c r="T96" s="1999"/>
      <c r="U96" s="1999"/>
      <c r="V96" s="1999"/>
      <c r="W96" s="1999"/>
      <c r="X96" s="1999"/>
      <c r="Y96" s="1999"/>
      <c r="Z96" s="1999"/>
      <c r="AA96" s="1999"/>
      <c r="AB96" s="1999"/>
      <c r="AC96" s="1999"/>
      <c r="AD96" s="1999"/>
      <c r="AE96" s="1999"/>
      <c r="AF96" s="1999"/>
      <c r="AG96" s="1999"/>
      <c r="AH96" s="2000"/>
      <c r="AI96" s="1078"/>
      <c r="AJ96" s="2016" t="s">
        <v>1982</v>
      </c>
      <c r="AK96" s="2017"/>
      <c r="AL96" s="2017"/>
      <c r="AM96" s="2017"/>
      <c r="AN96" s="2017"/>
      <c r="AO96" s="2017"/>
      <c r="AP96" s="2017"/>
      <c r="AQ96" s="2017"/>
      <c r="AR96" s="2017"/>
      <c r="AS96" s="2017"/>
      <c r="AT96" s="2017"/>
      <c r="AU96" s="2017"/>
      <c r="AV96" s="2017"/>
      <c r="AW96" s="2017"/>
      <c r="AX96" s="2017"/>
      <c r="AY96" s="2020" t="s">
        <v>842</v>
      </c>
      <c r="AZ96" s="2020"/>
      <c r="BA96" s="2020"/>
      <c r="BB96" s="2021"/>
      <c r="BC96" s="1078"/>
      <c r="BD96" s="1078"/>
      <c r="BE96" s="1082"/>
      <c r="BQ96" s="1144" t="str">
        <f>Application!M243&amp;IF(TRIM(Application!AA249)&lt;&gt;""," ("&amp;Application!AA249&amp;")","")</f>
        <v>San Clemente EAH II, LLC (EAH Inc.)</v>
      </c>
      <c r="BR96" s="1147">
        <f>Application!AH246</f>
        <v>0.01</v>
      </c>
      <c r="CM96" s="1076"/>
      <c r="CN96" s="1076"/>
      <c r="CO96" s="1076"/>
      <c r="CP96" s="1076"/>
    </row>
    <row r="97" spans="1:94" ht="15.75" customHeight="1">
      <c r="A97" s="1078"/>
      <c r="B97" s="1937"/>
      <c r="C97" s="1938"/>
      <c r="D97" s="1938"/>
      <c r="E97" s="1938"/>
      <c r="F97" s="1938"/>
      <c r="G97" s="1938"/>
      <c r="H97" s="1938"/>
      <c r="I97" s="1938" t="s">
        <v>1970</v>
      </c>
      <c r="J97" s="1938"/>
      <c r="K97" s="1938"/>
      <c r="L97" s="1938"/>
      <c r="M97" s="1938"/>
      <c r="N97" s="1938"/>
      <c r="O97" s="1938" t="s">
        <v>1971</v>
      </c>
      <c r="P97" s="1938"/>
      <c r="Q97" s="1938"/>
      <c r="R97" s="1938"/>
      <c r="S97" s="1938"/>
      <c r="T97" s="1938"/>
      <c r="U97" s="1938"/>
      <c r="V97" s="2024" t="s">
        <v>1972</v>
      </c>
      <c r="W97" s="2024"/>
      <c r="X97" s="2024"/>
      <c r="Y97" s="2024"/>
      <c r="Z97" s="2024"/>
      <c r="AA97" s="2024"/>
      <c r="AB97" s="2025" t="s">
        <v>1973</v>
      </c>
      <c r="AC97" s="2025"/>
      <c r="AD97" s="2025"/>
      <c r="AE97" s="2025"/>
      <c r="AF97" s="2025"/>
      <c r="AG97" s="2025"/>
      <c r="AH97" s="2026"/>
      <c r="AI97" s="1078"/>
      <c r="AJ97" s="2018"/>
      <c r="AK97" s="2019"/>
      <c r="AL97" s="2019"/>
      <c r="AM97" s="2019"/>
      <c r="AN97" s="2019"/>
      <c r="AO97" s="2019"/>
      <c r="AP97" s="2019"/>
      <c r="AQ97" s="2019"/>
      <c r="AR97" s="2019"/>
      <c r="AS97" s="2019"/>
      <c r="AT97" s="2019"/>
      <c r="AU97" s="2019"/>
      <c r="AV97" s="2019"/>
      <c r="AW97" s="2019"/>
      <c r="AX97" s="2019"/>
      <c r="AY97" s="2022"/>
      <c r="AZ97" s="2022"/>
      <c r="BA97" s="2022"/>
      <c r="BB97" s="2023"/>
      <c r="BC97" s="1078"/>
      <c r="BD97" s="1078"/>
      <c r="BE97" s="1082"/>
      <c r="BQ97" s="1144" t="str">
        <f>Application!M251&amp;IF(TRIM(Application!AA257)&lt;&gt;""," ("&amp;Application!AA257&amp;")","")</f>
        <v/>
      </c>
      <c r="BR97" s="1147">
        <f>Application!AH254</f>
        <v>0</v>
      </c>
      <c r="CM97" s="1076"/>
      <c r="CN97" s="1076"/>
      <c r="CO97" s="1076"/>
      <c r="CP97" s="1076"/>
    </row>
    <row r="98" spans="1:94" ht="15.75" customHeight="1">
      <c r="A98" s="1078"/>
      <c r="B98" s="1937"/>
      <c r="C98" s="1938"/>
      <c r="D98" s="1938"/>
      <c r="E98" s="1938"/>
      <c r="F98" s="1938"/>
      <c r="G98" s="1938"/>
      <c r="H98" s="1938"/>
      <c r="I98" s="1938"/>
      <c r="J98" s="1938"/>
      <c r="K98" s="1938"/>
      <c r="L98" s="1938"/>
      <c r="M98" s="1938"/>
      <c r="N98" s="1938"/>
      <c r="O98" s="1938"/>
      <c r="P98" s="1938"/>
      <c r="Q98" s="1938"/>
      <c r="R98" s="1938"/>
      <c r="S98" s="1938"/>
      <c r="T98" s="1938"/>
      <c r="U98" s="1938"/>
      <c r="V98" s="2024"/>
      <c r="W98" s="2024"/>
      <c r="X98" s="2024"/>
      <c r="Y98" s="2024"/>
      <c r="Z98" s="2024"/>
      <c r="AA98" s="2024"/>
      <c r="AB98" s="2025"/>
      <c r="AC98" s="2025"/>
      <c r="AD98" s="2025"/>
      <c r="AE98" s="2025"/>
      <c r="AF98" s="2025"/>
      <c r="AG98" s="2025"/>
      <c r="AH98" s="2026"/>
      <c r="AI98" s="1078"/>
      <c r="AJ98" s="2018"/>
      <c r="AK98" s="2019"/>
      <c r="AL98" s="2019"/>
      <c r="AM98" s="2019"/>
      <c r="AN98" s="2019"/>
      <c r="AO98" s="2019"/>
      <c r="AP98" s="2019"/>
      <c r="AQ98" s="2019"/>
      <c r="AR98" s="2019"/>
      <c r="AS98" s="2019"/>
      <c r="AT98" s="2019"/>
      <c r="AU98" s="2019"/>
      <c r="AV98" s="2019"/>
      <c r="AW98" s="2019"/>
      <c r="AX98" s="2019"/>
      <c r="AY98" s="2022"/>
      <c r="AZ98" s="2022"/>
      <c r="BA98" s="2022"/>
      <c r="BB98" s="2023"/>
      <c r="BC98" s="1078"/>
      <c r="BD98" s="1078"/>
      <c r="BE98" s="1082"/>
      <c r="BQ98" s="1144" t="str">
        <f>Application!M259&amp;IF(TRIM(Application!AA265)&lt;&gt;""," ("&amp;Application!AA265&amp;")","")</f>
        <v/>
      </c>
      <c r="BR98" s="1147">
        <f>Application!AH262</f>
        <v>0</v>
      </c>
      <c r="CM98" s="1076"/>
      <c r="CN98" s="1076"/>
      <c r="CO98" s="1076"/>
      <c r="CP98" s="1076"/>
    </row>
    <row r="99" spans="1:94" ht="15.75" customHeight="1">
      <c r="A99" s="1078"/>
      <c r="B99" s="1937" t="s">
        <v>1974</v>
      </c>
      <c r="C99" s="1938"/>
      <c r="D99" s="1938"/>
      <c r="E99" s="1938"/>
      <c r="F99" s="1938"/>
      <c r="G99" s="1938"/>
      <c r="H99" s="1938"/>
      <c r="I99" s="2014">
        <v>0</v>
      </c>
      <c r="J99" s="2014"/>
      <c r="K99" s="2014"/>
      <c r="L99" s="2014"/>
      <c r="M99" s="2014"/>
      <c r="N99" s="2014"/>
      <c r="O99" s="2014">
        <v>0</v>
      </c>
      <c r="P99" s="2014"/>
      <c r="Q99" s="2014"/>
      <c r="R99" s="2014"/>
      <c r="S99" s="2014"/>
      <c r="T99" s="2014"/>
      <c r="U99" s="2014"/>
      <c r="V99" s="2014">
        <v>0</v>
      </c>
      <c r="W99" s="2014"/>
      <c r="X99" s="2014"/>
      <c r="Y99" s="2014"/>
      <c r="Z99" s="2014"/>
      <c r="AA99" s="2014"/>
      <c r="AB99" s="2014">
        <v>0</v>
      </c>
      <c r="AC99" s="2014"/>
      <c r="AD99" s="2014"/>
      <c r="AE99" s="2014"/>
      <c r="AF99" s="2014"/>
      <c r="AG99" s="2014"/>
      <c r="AH99" s="2015"/>
      <c r="AI99" s="1078"/>
      <c r="AJ99" s="2018"/>
      <c r="AK99" s="2019"/>
      <c r="AL99" s="2019"/>
      <c r="AM99" s="2019"/>
      <c r="AN99" s="2019"/>
      <c r="AO99" s="2019"/>
      <c r="AP99" s="2019"/>
      <c r="AQ99" s="2019"/>
      <c r="AR99" s="2019"/>
      <c r="AS99" s="2019"/>
      <c r="AT99" s="2019"/>
      <c r="AU99" s="2019"/>
      <c r="AV99" s="2019"/>
      <c r="AW99" s="2019"/>
      <c r="AX99" s="2019"/>
      <c r="AY99" s="2022"/>
      <c r="AZ99" s="2022"/>
      <c r="BA99" s="2022"/>
      <c r="BB99" s="2023"/>
      <c r="BC99" s="1078"/>
      <c r="BD99" s="1078"/>
      <c r="BE99" s="1082"/>
      <c r="CM99" s="1076"/>
      <c r="CN99" s="1076"/>
      <c r="CO99" s="1076"/>
      <c r="CP99" s="1076"/>
    </row>
    <row r="100" spans="1:94" ht="15.75" customHeight="1">
      <c r="A100" s="1078"/>
      <c r="B100" s="1937" t="s">
        <v>1975</v>
      </c>
      <c r="C100" s="1938"/>
      <c r="D100" s="1938"/>
      <c r="E100" s="1938"/>
      <c r="F100" s="1938"/>
      <c r="G100" s="1938"/>
      <c r="H100" s="1938"/>
      <c r="I100" s="2014">
        <v>0</v>
      </c>
      <c r="J100" s="2014"/>
      <c r="K100" s="2014"/>
      <c r="L100" s="2014"/>
      <c r="M100" s="2014"/>
      <c r="N100" s="2014"/>
      <c r="O100" s="2014">
        <v>0</v>
      </c>
      <c r="P100" s="2014"/>
      <c r="Q100" s="2014"/>
      <c r="R100" s="2014"/>
      <c r="S100" s="2014"/>
      <c r="T100" s="2014"/>
      <c r="U100" s="2014"/>
      <c r="V100" s="2014">
        <v>0</v>
      </c>
      <c r="W100" s="2014"/>
      <c r="X100" s="2014"/>
      <c r="Y100" s="2014"/>
      <c r="Z100" s="2014"/>
      <c r="AA100" s="2014"/>
      <c r="AB100" s="2014">
        <v>0</v>
      </c>
      <c r="AC100" s="2014"/>
      <c r="AD100" s="2014"/>
      <c r="AE100" s="2014"/>
      <c r="AF100" s="2014"/>
      <c r="AG100" s="2014"/>
      <c r="AH100" s="2015"/>
      <c r="AI100" s="1078"/>
      <c r="AJ100" s="2003" t="s">
        <v>1976</v>
      </c>
      <c r="AK100" s="2004"/>
      <c r="AL100" s="2004"/>
      <c r="AM100" s="2004"/>
      <c r="AN100" s="2004"/>
      <c r="AO100" s="2004"/>
      <c r="AP100" s="2004"/>
      <c r="AQ100" s="2004"/>
      <c r="AR100" s="2004"/>
      <c r="AS100" s="2004"/>
      <c r="AT100" s="2004"/>
      <c r="AU100" s="2004"/>
      <c r="AV100" s="2004"/>
      <c r="AW100" s="2004"/>
      <c r="AX100" s="2004"/>
      <c r="AY100" s="2004"/>
      <c r="AZ100" s="2004"/>
      <c r="BA100" s="2004"/>
      <c r="BB100" s="2005"/>
      <c r="BC100" s="1078"/>
      <c r="BD100" s="1078"/>
      <c r="BE100" s="1082"/>
      <c r="CM100" s="1076"/>
      <c r="CN100" s="1076"/>
      <c r="CO100" s="1076"/>
      <c r="CP100" s="1076"/>
    </row>
    <row r="101" spans="1:94" ht="15.75" customHeight="1" thickBot="1">
      <c r="A101" s="1078"/>
      <c r="B101" s="1955" t="s">
        <v>1977</v>
      </c>
      <c r="C101" s="1956"/>
      <c r="D101" s="1956"/>
      <c r="E101" s="1956"/>
      <c r="F101" s="1956"/>
      <c r="G101" s="1956"/>
      <c r="H101" s="1956"/>
      <c r="I101" s="2029">
        <v>0</v>
      </c>
      <c r="J101" s="2029"/>
      <c r="K101" s="2029"/>
      <c r="L101" s="2029"/>
      <c r="M101" s="2029"/>
      <c r="N101" s="2029"/>
      <c r="O101" s="2029">
        <v>0</v>
      </c>
      <c r="P101" s="2029"/>
      <c r="Q101" s="2029"/>
      <c r="R101" s="2029"/>
      <c r="S101" s="2029"/>
      <c r="T101" s="2029"/>
      <c r="U101" s="2029"/>
      <c r="V101" s="2029">
        <v>0</v>
      </c>
      <c r="W101" s="2029"/>
      <c r="X101" s="2029"/>
      <c r="Y101" s="2029"/>
      <c r="Z101" s="2029"/>
      <c r="AA101" s="2029"/>
      <c r="AB101" s="2029">
        <v>0</v>
      </c>
      <c r="AC101" s="2029"/>
      <c r="AD101" s="2029"/>
      <c r="AE101" s="2029"/>
      <c r="AF101" s="2029"/>
      <c r="AG101" s="2029"/>
      <c r="AH101" s="2030"/>
      <c r="AI101" s="1078"/>
      <c r="AJ101" s="2006"/>
      <c r="AK101" s="2007"/>
      <c r="AL101" s="2007"/>
      <c r="AM101" s="2007"/>
      <c r="AN101" s="2007"/>
      <c r="AO101" s="2007"/>
      <c r="AP101" s="2007"/>
      <c r="AQ101" s="2007"/>
      <c r="AR101" s="2007"/>
      <c r="AS101" s="2007"/>
      <c r="AT101" s="2007"/>
      <c r="AU101" s="2007"/>
      <c r="AV101" s="2007"/>
      <c r="AW101" s="2007"/>
      <c r="AX101" s="2007"/>
      <c r="AY101" s="2007"/>
      <c r="AZ101" s="2007"/>
      <c r="BA101" s="2007"/>
      <c r="BB101" s="2008"/>
      <c r="BC101" s="1078"/>
      <c r="BD101" s="1078"/>
      <c r="BE101" s="1082"/>
      <c r="BQ101" s="1144" t="str">
        <f>Application!AA335</f>
        <v>EAH Inc.</v>
      </c>
      <c r="CM101" s="1076"/>
      <c r="CN101" s="1076"/>
      <c r="CO101" s="1076"/>
      <c r="CP101" s="1076"/>
    </row>
    <row r="102" spans="1:94" ht="15.75" customHeight="1" thickBot="1">
      <c r="A102" s="1078"/>
      <c r="B102" s="1078"/>
      <c r="C102" s="1078"/>
      <c r="D102" s="1078"/>
      <c r="E102" s="1078"/>
      <c r="F102" s="1078"/>
      <c r="G102" s="1078"/>
      <c r="H102" s="1078"/>
      <c r="I102" s="1078"/>
      <c r="J102" s="1078"/>
      <c r="K102" s="1078"/>
      <c r="L102" s="1078"/>
      <c r="M102" s="1078"/>
      <c r="N102" s="1078"/>
      <c r="O102" s="1078"/>
      <c r="P102" s="1078"/>
      <c r="Q102" s="1078"/>
      <c r="R102" s="1078"/>
      <c r="S102" s="1078"/>
      <c r="T102" s="1078"/>
      <c r="U102" s="1078"/>
      <c r="V102" s="1078"/>
      <c r="W102" s="1078"/>
      <c r="X102" s="1078"/>
      <c r="Y102" s="1078"/>
      <c r="Z102" s="1078"/>
      <c r="AA102" s="1078"/>
      <c r="AB102" s="1078"/>
      <c r="AC102" s="1078"/>
      <c r="AD102" s="1078"/>
      <c r="AE102" s="1078"/>
      <c r="AF102" s="1078"/>
      <c r="AG102" s="1078"/>
      <c r="AH102" s="1078"/>
      <c r="AI102" s="1078"/>
      <c r="AJ102" s="1078"/>
      <c r="AK102" s="1078"/>
      <c r="AL102" s="1078"/>
      <c r="AM102" s="1078"/>
      <c r="AN102" s="1078"/>
      <c r="AO102" s="1078"/>
      <c r="AP102" s="1078"/>
      <c r="AQ102" s="1078"/>
      <c r="AR102" s="1078"/>
      <c r="AS102" s="1078"/>
      <c r="AT102" s="1078"/>
      <c r="AU102" s="1078"/>
      <c r="AV102" s="1078"/>
      <c r="AW102" s="1078"/>
      <c r="AX102" s="1078"/>
      <c r="AY102" s="1078"/>
      <c r="AZ102" s="1078"/>
      <c r="BA102" s="1078"/>
      <c r="BB102" s="1078"/>
      <c r="BC102" s="1078"/>
      <c r="BD102" s="1078"/>
      <c r="BE102" s="1082"/>
      <c r="BQ102" s="1144">
        <f>Application!P343</f>
        <v>0</v>
      </c>
      <c r="CM102" s="1076"/>
      <c r="CN102" s="1076"/>
      <c r="CO102" s="1076"/>
      <c r="CP102" s="1076"/>
    </row>
    <row r="103" spans="1:94" ht="15.75" customHeight="1" thickBot="1">
      <c r="A103" s="1078"/>
      <c r="B103" s="1097" t="s">
        <v>1983</v>
      </c>
      <c r="C103" s="1091"/>
      <c r="D103" s="1092"/>
      <c r="E103" s="1092"/>
      <c r="F103" s="1103"/>
      <c r="G103" s="1103"/>
      <c r="H103" s="1103"/>
      <c r="I103" s="1103"/>
      <c r="J103" s="1103"/>
      <c r="K103" s="1103"/>
      <c r="L103" s="1103"/>
      <c r="M103" s="1103"/>
      <c r="N103" s="1103"/>
      <c r="O103" s="1104"/>
      <c r="P103" s="1103"/>
      <c r="Q103" s="1103"/>
      <c r="R103" s="1104"/>
      <c r="S103" s="1078" t="s">
        <v>254</v>
      </c>
      <c r="T103" s="1078"/>
      <c r="U103" s="1078"/>
      <c r="V103" s="1078"/>
      <c r="W103" s="1078"/>
      <c r="X103" s="1078"/>
      <c r="Y103" s="1078"/>
      <c r="Z103" s="1078"/>
      <c r="AA103" s="1078"/>
      <c r="AB103" s="1078"/>
      <c r="AC103" s="1078"/>
      <c r="AD103" s="1078"/>
      <c r="AE103" s="1078"/>
      <c r="AF103" s="1078"/>
      <c r="AG103" s="1078"/>
      <c r="AH103" s="1078"/>
      <c r="AI103" s="1078"/>
      <c r="AJ103" s="1078"/>
      <c r="AK103" s="1078"/>
      <c r="AL103" s="1078"/>
      <c r="AM103" s="1078"/>
      <c r="AN103" s="1078"/>
      <c r="AO103" s="1078"/>
      <c r="AP103" s="1078"/>
      <c r="AQ103" s="1078"/>
      <c r="AR103" s="1078"/>
      <c r="AS103" s="1078"/>
      <c r="AT103" s="1078"/>
      <c r="AU103" s="1078"/>
      <c r="AV103" s="1078"/>
      <c r="AW103" s="1078"/>
      <c r="AX103" s="1078"/>
      <c r="AY103" s="1078"/>
      <c r="AZ103" s="1078"/>
      <c r="BA103" s="1078"/>
      <c r="BB103" s="1078"/>
      <c r="BC103" s="1078"/>
      <c r="BD103" s="1078"/>
      <c r="BE103" s="1082"/>
      <c r="CM103" s="1076"/>
      <c r="CN103" s="1076"/>
      <c r="CO103" s="1076"/>
      <c r="CP103" s="1076"/>
    </row>
    <row r="104" spans="1:94" ht="15.75" customHeight="1">
      <c r="A104" s="1078"/>
      <c r="B104" s="1100" t="s">
        <v>1964</v>
      </c>
      <c r="C104" s="1100"/>
      <c r="D104" s="1105"/>
      <c r="E104" s="1106"/>
      <c r="F104" s="2031"/>
      <c r="G104" s="2032"/>
      <c r="H104" s="2032"/>
      <c r="I104" s="2032"/>
      <c r="J104" s="2032"/>
      <c r="K104" s="2032"/>
      <c r="L104" s="2032"/>
      <c r="M104" s="2032"/>
      <c r="N104" s="2032"/>
      <c r="O104" s="2032"/>
      <c r="P104" s="2032"/>
      <c r="Q104" s="2032"/>
      <c r="R104" s="2033"/>
      <c r="S104" s="1078"/>
      <c r="T104" s="1078"/>
      <c r="U104" s="1078"/>
      <c r="V104" s="1078"/>
      <c r="W104" s="1078"/>
      <c r="X104" s="1078"/>
      <c r="Y104" s="1078"/>
      <c r="Z104" s="1078"/>
      <c r="AA104" s="1078"/>
      <c r="AB104" s="1078"/>
      <c r="AC104" s="1078"/>
      <c r="AD104" s="1078"/>
      <c r="AE104" s="1078"/>
      <c r="AF104" s="1078"/>
      <c r="AG104" s="1078"/>
      <c r="AH104" s="1078"/>
      <c r="AI104" s="1078"/>
      <c r="AJ104" s="1078"/>
      <c r="AK104" s="1078"/>
      <c r="AL104" s="1078"/>
      <c r="AM104" s="1078"/>
      <c r="AN104" s="1078"/>
      <c r="AO104" s="1078"/>
      <c r="AP104" s="1078"/>
      <c r="AQ104" s="1078"/>
      <c r="AR104" s="1078"/>
      <c r="AS104" s="1078"/>
      <c r="AT104" s="1078"/>
      <c r="AU104" s="1078"/>
      <c r="AV104" s="1078"/>
      <c r="AW104" s="1078"/>
      <c r="AX104" s="1078"/>
      <c r="AY104" s="1078"/>
      <c r="AZ104" s="1078"/>
      <c r="BA104" s="1078"/>
      <c r="BB104" s="1078"/>
      <c r="BC104" s="1078"/>
      <c r="BD104" s="1078"/>
      <c r="BE104" s="1082"/>
      <c r="CM104" s="1076"/>
      <c r="CN104" s="1076"/>
      <c r="CO104" s="1076"/>
      <c r="CP104" s="1076"/>
    </row>
    <row r="105" spans="1:94" ht="15.75" customHeight="1" thickBot="1">
      <c r="A105" s="1078"/>
      <c r="B105" s="1107" t="s">
        <v>1984</v>
      </c>
      <c r="C105" s="1108"/>
      <c r="D105" s="1109"/>
      <c r="E105" s="1109"/>
      <c r="F105" s="1109"/>
      <c r="G105" s="1109"/>
      <c r="H105" s="1109"/>
      <c r="I105" s="1109"/>
      <c r="J105" s="1109"/>
      <c r="K105" s="1109"/>
      <c r="L105" s="1110"/>
      <c r="M105" s="1109"/>
      <c r="N105" s="1110"/>
      <c r="O105" s="1995" t="str">
        <f>IFERROR(INDEX(BR96:BR98,MATCH(F104,$BQ$96:$BQ$98,0))/SUM($BR$96:$BR$98),"")</f>
        <v/>
      </c>
      <c r="P105" s="1996"/>
      <c r="Q105" s="1996"/>
      <c r="R105" s="1997"/>
      <c r="S105" s="1078"/>
      <c r="T105" s="1078"/>
      <c r="U105" s="1078"/>
      <c r="V105" s="1078"/>
      <c r="W105" s="1078"/>
      <c r="X105" s="1078"/>
      <c r="Y105" s="1078"/>
      <c r="Z105" s="1078"/>
      <c r="AA105" s="1078"/>
      <c r="AB105" s="1078"/>
      <c r="AC105" s="1078"/>
      <c r="AD105" s="1078"/>
      <c r="AE105" s="1078"/>
      <c r="AF105" s="1078"/>
      <c r="AG105" s="1078"/>
      <c r="AH105" s="1078"/>
      <c r="AI105" s="1078"/>
      <c r="AJ105" s="1078"/>
      <c r="AK105" s="1078"/>
      <c r="AL105" s="1078"/>
      <c r="AM105" s="1078"/>
      <c r="AN105" s="1078"/>
      <c r="AO105" s="1078"/>
      <c r="AP105" s="1078"/>
      <c r="AQ105" s="1078"/>
      <c r="AR105" s="1078"/>
      <c r="AS105" s="1078"/>
      <c r="AT105" s="1078"/>
      <c r="AU105" s="1078"/>
      <c r="AV105" s="1078"/>
      <c r="AW105" s="1078"/>
      <c r="AX105" s="1078"/>
      <c r="AY105" s="1078"/>
      <c r="AZ105" s="1078"/>
      <c r="BA105" s="1078"/>
      <c r="BB105" s="1078"/>
      <c r="BC105" s="1078"/>
      <c r="BD105" s="1078"/>
      <c r="BE105" s="1082"/>
      <c r="CM105" s="1076"/>
      <c r="CN105" s="1076"/>
      <c r="CO105" s="1076"/>
      <c r="CP105" s="1076"/>
    </row>
    <row r="106" spans="1:94" ht="15.75" customHeight="1" thickBot="1">
      <c r="A106" s="1078"/>
      <c r="B106" s="1078"/>
      <c r="C106" s="1078"/>
      <c r="D106" s="1078"/>
      <c r="E106" s="1078"/>
      <c r="F106" s="1078"/>
      <c r="G106" s="1078"/>
      <c r="H106" s="1078"/>
      <c r="I106" s="1078"/>
      <c r="J106" s="1078"/>
      <c r="K106" s="1078"/>
      <c r="L106" s="1078"/>
      <c r="M106" s="1078"/>
      <c r="N106" s="1078"/>
      <c r="O106" s="1078"/>
      <c r="P106" s="1111"/>
      <c r="Q106" s="1078"/>
      <c r="R106" s="1078"/>
      <c r="S106" s="1078"/>
      <c r="T106" s="1078"/>
      <c r="U106" s="1078"/>
      <c r="V106" s="1078"/>
      <c r="W106" s="1078"/>
      <c r="X106" s="1078"/>
      <c r="Y106" s="1078"/>
      <c r="Z106" s="1078"/>
      <c r="AA106" s="1078"/>
      <c r="AB106" s="1078"/>
      <c r="AC106" s="1078"/>
      <c r="AD106" s="1078"/>
      <c r="AE106" s="1078"/>
      <c r="AF106" s="1078"/>
      <c r="AG106" s="1078"/>
      <c r="AH106" s="1078"/>
      <c r="AI106" s="1078"/>
      <c r="AJ106" s="1078"/>
      <c r="AK106" s="1078"/>
      <c r="AL106" s="1078"/>
      <c r="AM106" s="1078"/>
      <c r="AN106" s="1078"/>
      <c r="AO106" s="1078"/>
      <c r="AP106" s="1078"/>
      <c r="AQ106" s="1078"/>
      <c r="AR106" s="1078"/>
      <c r="AS106" s="1078"/>
      <c r="AT106" s="1078"/>
      <c r="AU106" s="1078"/>
      <c r="AV106" s="1078"/>
      <c r="AW106" s="1078"/>
      <c r="AX106" s="1078"/>
      <c r="AY106" s="1078"/>
      <c r="AZ106" s="1078"/>
      <c r="BA106" s="1078"/>
      <c r="BB106" s="1078"/>
      <c r="BC106" s="1078"/>
      <c r="BD106" s="1078"/>
      <c r="BE106" s="1082"/>
      <c r="CM106" s="1076"/>
      <c r="CN106" s="1076"/>
      <c r="CO106" s="1076"/>
      <c r="CP106" s="1076"/>
    </row>
    <row r="107" spans="1:94" ht="15.75" customHeight="1">
      <c r="A107" s="1078"/>
      <c r="B107" s="1983" t="s">
        <v>1985</v>
      </c>
      <c r="C107" s="1984"/>
      <c r="D107" s="1984"/>
      <c r="E107" s="1984"/>
      <c r="F107" s="1984"/>
      <c r="G107" s="1984"/>
      <c r="H107" s="1984"/>
      <c r="I107" s="1984"/>
      <c r="J107" s="1984"/>
      <c r="K107" s="1984"/>
      <c r="L107" s="1984"/>
      <c r="M107" s="1984"/>
      <c r="N107" s="1984"/>
      <c r="O107" s="1984"/>
      <c r="P107" s="1984"/>
      <c r="Q107" s="1984"/>
      <c r="R107" s="1984"/>
      <c r="S107" s="1984"/>
      <c r="T107" s="1984"/>
      <c r="U107" s="1984"/>
      <c r="V107" s="1984"/>
      <c r="W107" s="1984"/>
      <c r="X107" s="1984"/>
      <c r="Y107" s="1984"/>
      <c r="Z107" s="1984"/>
      <c r="AA107" s="1984"/>
      <c r="AB107" s="1984"/>
      <c r="AC107" s="1984"/>
      <c r="AD107" s="1984"/>
      <c r="AE107" s="1984"/>
      <c r="AF107" s="1984"/>
      <c r="AG107" s="1984"/>
      <c r="AH107" s="2034"/>
      <c r="AI107" s="1078"/>
      <c r="AJ107" s="1078"/>
      <c r="AK107" s="1078"/>
      <c r="AL107" s="1078"/>
      <c r="AM107" s="1078"/>
      <c r="AN107" s="1078"/>
      <c r="AO107" s="1078"/>
      <c r="AP107" s="1078"/>
      <c r="AQ107" s="1078"/>
      <c r="AR107" s="1078"/>
      <c r="AS107" s="1078"/>
      <c r="AT107" s="1078"/>
      <c r="AU107" s="1078"/>
      <c r="AV107" s="1078"/>
      <c r="AW107" s="1078"/>
      <c r="AX107" s="1078"/>
      <c r="AY107" s="1078"/>
      <c r="AZ107" s="1078"/>
      <c r="BA107" s="1078"/>
      <c r="BB107" s="1078"/>
      <c r="BC107" s="1078"/>
      <c r="BD107" s="1078"/>
      <c r="BE107" s="1082"/>
      <c r="CM107" s="1076"/>
      <c r="CN107" s="1076"/>
      <c r="CO107" s="1076"/>
      <c r="CP107" s="1076"/>
    </row>
    <row r="108" spans="1:94" ht="16.5" customHeight="1">
      <c r="A108" s="1078"/>
      <c r="B108" s="1937"/>
      <c r="C108" s="1938"/>
      <c r="D108" s="1938"/>
      <c r="E108" s="1938"/>
      <c r="F108" s="1938"/>
      <c r="G108" s="1938"/>
      <c r="H108" s="1938"/>
      <c r="I108" s="1938" t="s">
        <v>1970</v>
      </c>
      <c r="J108" s="1938"/>
      <c r="K108" s="1938"/>
      <c r="L108" s="1938"/>
      <c r="M108" s="1938"/>
      <c r="N108" s="1938"/>
      <c r="O108" s="1938" t="s">
        <v>1971</v>
      </c>
      <c r="P108" s="1938"/>
      <c r="Q108" s="1938"/>
      <c r="R108" s="1938"/>
      <c r="S108" s="1938"/>
      <c r="T108" s="1938"/>
      <c r="U108" s="1938"/>
      <c r="V108" s="2024" t="s">
        <v>1972</v>
      </c>
      <c r="W108" s="2024"/>
      <c r="X108" s="2024"/>
      <c r="Y108" s="2024"/>
      <c r="Z108" s="2024"/>
      <c r="AA108" s="2024"/>
      <c r="AB108" s="2025" t="s">
        <v>1973</v>
      </c>
      <c r="AC108" s="2025"/>
      <c r="AD108" s="2025"/>
      <c r="AE108" s="2025"/>
      <c r="AF108" s="2025"/>
      <c r="AG108" s="2025"/>
      <c r="AH108" s="2026"/>
      <c r="AI108" s="1078"/>
      <c r="AJ108" s="1078"/>
      <c r="AK108" s="1078"/>
      <c r="AL108" s="1078"/>
      <c r="AM108" s="1078"/>
      <c r="AN108" s="1078"/>
      <c r="AO108" s="1078"/>
      <c r="AP108" s="1078"/>
      <c r="AQ108" s="1078"/>
      <c r="AR108" s="1078"/>
      <c r="AS108" s="1078"/>
      <c r="AT108" s="1078"/>
      <c r="AU108" s="1078"/>
      <c r="AV108" s="1078"/>
      <c r="AW108" s="1078"/>
      <c r="AX108" s="1078"/>
      <c r="AY108" s="1078"/>
      <c r="AZ108" s="1078"/>
      <c r="BA108" s="1078"/>
      <c r="BB108" s="1078"/>
      <c r="BC108" s="1078"/>
      <c r="BD108" s="1078"/>
      <c r="BE108" s="1082"/>
      <c r="CM108" s="1076"/>
      <c r="CN108" s="1076"/>
      <c r="CO108" s="1076"/>
      <c r="CP108" s="1076"/>
    </row>
    <row r="109" spans="1:94" ht="16.5" customHeight="1">
      <c r="A109" s="1078"/>
      <c r="B109" s="1937"/>
      <c r="C109" s="1938"/>
      <c r="D109" s="1938"/>
      <c r="E109" s="1938"/>
      <c r="F109" s="1938"/>
      <c r="G109" s="1938"/>
      <c r="H109" s="1938"/>
      <c r="I109" s="1938"/>
      <c r="J109" s="1938"/>
      <c r="K109" s="1938"/>
      <c r="L109" s="1938"/>
      <c r="M109" s="1938"/>
      <c r="N109" s="1938"/>
      <c r="O109" s="1938"/>
      <c r="P109" s="1938"/>
      <c r="Q109" s="1938"/>
      <c r="R109" s="1938"/>
      <c r="S109" s="1938"/>
      <c r="T109" s="1938"/>
      <c r="U109" s="1938"/>
      <c r="V109" s="2024"/>
      <c r="W109" s="2024"/>
      <c r="X109" s="2024"/>
      <c r="Y109" s="2024"/>
      <c r="Z109" s="2024"/>
      <c r="AA109" s="2024"/>
      <c r="AB109" s="2025"/>
      <c r="AC109" s="2025"/>
      <c r="AD109" s="2025"/>
      <c r="AE109" s="2025"/>
      <c r="AF109" s="2025"/>
      <c r="AG109" s="2025"/>
      <c r="AH109" s="2026"/>
      <c r="AI109" s="1078"/>
      <c r="AJ109" s="1078"/>
      <c r="AK109" s="1078"/>
      <c r="AL109" s="1078"/>
      <c r="AM109" s="1078"/>
      <c r="AN109" s="1078"/>
      <c r="AO109" s="1078"/>
      <c r="AP109" s="1078"/>
      <c r="AQ109" s="1078"/>
      <c r="AR109" s="1078"/>
      <c r="AS109" s="1078"/>
      <c r="AT109" s="1078"/>
      <c r="AU109" s="1078"/>
      <c r="AV109" s="1078"/>
      <c r="AW109" s="1078"/>
      <c r="AX109" s="1078"/>
      <c r="AY109" s="1078"/>
      <c r="AZ109" s="1078"/>
      <c r="BA109" s="1078"/>
      <c r="BB109" s="1078"/>
      <c r="BC109" s="1078"/>
      <c r="BD109" s="1078"/>
      <c r="BE109" s="1082"/>
      <c r="CM109" s="1076"/>
      <c r="CN109" s="1076"/>
      <c r="CO109" s="1076"/>
      <c r="CP109" s="1076"/>
    </row>
    <row r="110" spans="1:94" ht="15.75" customHeight="1">
      <c r="A110" s="1078"/>
      <c r="B110" s="1937" t="s">
        <v>1974</v>
      </c>
      <c r="C110" s="1938"/>
      <c r="D110" s="1938"/>
      <c r="E110" s="1938"/>
      <c r="F110" s="1938"/>
      <c r="G110" s="1938"/>
      <c r="H110" s="1938"/>
      <c r="I110" s="2014">
        <v>0</v>
      </c>
      <c r="J110" s="2014"/>
      <c r="K110" s="2014"/>
      <c r="L110" s="2014"/>
      <c r="M110" s="2014"/>
      <c r="N110" s="2014"/>
      <c r="O110" s="2014">
        <v>0</v>
      </c>
      <c r="P110" s="2014"/>
      <c r="Q110" s="2014"/>
      <c r="R110" s="2014"/>
      <c r="S110" s="2014"/>
      <c r="T110" s="2014"/>
      <c r="U110" s="2014"/>
      <c r="V110" s="2014">
        <v>0</v>
      </c>
      <c r="W110" s="2014"/>
      <c r="X110" s="2014"/>
      <c r="Y110" s="2014"/>
      <c r="Z110" s="2014"/>
      <c r="AA110" s="2014"/>
      <c r="AB110" s="2014">
        <v>0</v>
      </c>
      <c r="AC110" s="2014"/>
      <c r="AD110" s="2014"/>
      <c r="AE110" s="2014"/>
      <c r="AF110" s="2014"/>
      <c r="AG110" s="2014"/>
      <c r="AH110" s="2015"/>
      <c r="AI110" s="1078"/>
      <c r="AJ110" s="1078"/>
      <c r="AK110" s="1078"/>
      <c r="AL110" s="1078"/>
      <c r="AM110" s="1078"/>
      <c r="AN110" s="1078"/>
      <c r="AO110" s="1078"/>
      <c r="AP110" s="1078"/>
      <c r="AQ110" s="1078"/>
      <c r="AR110" s="1078"/>
      <c r="AS110" s="1078"/>
      <c r="AT110" s="1078"/>
      <c r="AU110" s="1078"/>
      <c r="AV110" s="1078"/>
      <c r="AW110" s="1078"/>
      <c r="AX110" s="1078"/>
      <c r="AY110" s="1078"/>
      <c r="AZ110" s="1078"/>
      <c r="BA110" s="1078"/>
      <c r="BB110" s="1078"/>
      <c r="BC110" s="1078"/>
      <c r="BD110" s="1078"/>
      <c r="BE110" s="1082"/>
      <c r="CM110" s="1076"/>
      <c r="CN110" s="1076"/>
      <c r="CO110" s="1076"/>
      <c r="CP110" s="1076"/>
    </row>
    <row r="111" spans="1:94" ht="15.75" customHeight="1">
      <c r="A111" s="1078"/>
      <c r="B111" s="1937" t="s">
        <v>1975</v>
      </c>
      <c r="C111" s="1938"/>
      <c r="D111" s="1938"/>
      <c r="E111" s="1938"/>
      <c r="F111" s="1938"/>
      <c r="G111" s="1938"/>
      <c r="H111" s="1938"/>
      <c r="I111" s="2014">
        <v>0</v>
      </c>
      <c r="J111" s="2014"/>
      <c r="K111" s="2014"/>
      <c r="L111" s="2014"/>
      <c r="M111" s="2014"/>
      <c r="N111" s="2014"/>
      <c r="O111" s="2014">
        <v>0</v>
      </c>
      <c r="P111" s="2014"/>
      <c r="Q111" s="2014"/>
      <c r="R111" s="2014"/>
      <c r="S111" s="2014"/>
      <c r="T111" s="2014"/>
      <c r="U111" s="2014"/>
      <c r="V111" s="2014">
        <v>0</v>
      </c>
      <c r="W111" s="2014"/>
      <c r="X111" s="2014"/>
      <c r="Y111" s="2014"/>
      <c r="Z111" s="2014"/>
      <c r="AA111" s="2014"/>
      <c r="AB111" s="2014">
        <v>0</v>
      </c>
      <c r="AC111" s="2014"/>
      <c r="AD111" s="2014"/>
      <c r="AE111" s="2014"/>
      <c r="AF111" s="2014"/>
      <c r="AG111" s="2014"/>
      <c r="AH111" s="2015"/>
      <c r="AI111" s="1078"/>
      <c r="AJ111" s="1078"/>
      <c r="AK111" s="1078"/>
      <c r="AL111" s="1078"/>
      <c r="AM111" s="1078"/>
      <c r="AN111" s="1078"/>
      <c r="AO111" s="1078"/>
      <c r="AP111" s="1078"/>
      <c r="AQ111" s="1078"/>
      <c r="AR111" s="1078"/>
      <c r="AS111" s="1078"/>
      <c r="AT111" s="1078"/>
      <c r="AU111" s="1078"/>
      <c r="AV111" s="1078"/>
      <c r="AW111" s="1078"/>
      <c r="AX111" s="1078"/>
      <c r="AY111" s="1078"/>
      <c r="AZ111" s="1078"/>
      <c r="BA111" s="1078"/>
      <c r="BB111" s="1078"/>
      <c r="BC111" s="1078"/>
      <c r="BD111" s="1078"/>
      <c r="BE111" s="1082"/>
      <c r="CM111" s="1076"/>
      <c r="CN111" s="1076"/>
      <c r="CO111" s="1076"/>
      <c r="CP111" s="1076"/>
    </row>
    <row r="112" spans="1:94" ht="15.75" customHeight="1" thickBot="1">
      <c r="A112" s="1078"/>
      <c r="B112" s="1955" t="s">
        <v>1977</v>
      </c>
      <c r="C112" s="1956"/>
      <c r="D112" s="1956"/>
      <c r="E112" s="1956"/>
      <c r="F112" s="1956"/>
      <c r="G112" s="1956"/>
      <c r="H112" s="1956"/>
      <c r="I112" s="2029">
        <v>0</v>
      </c>
      <c r="J112" s="2029"/>
      <c r="K112" s="2029"/>
      <c r="L112" s="2029"/>
      <c r="M112" s="2029"/>
      <c r="N112" s="2029"/>
      <c r="O112" s="2029">
        <v>0</v>
      </c>
      <c r="P112" s="2029"/>
      <c r="Q112" s="2029"/>
      <c r="R112" s="2029"/>
      <c r="S112" s="2029"/>
      <c r="T112" s="2029"/>
      <c r="U112" s="2029"/>
      <c r="V112" s="2029">
        <v>0</v>
      </c>
      <c r="W112" s="2029"/>
      <c r="X112" s="2029"/>
      <c r="Y112" s="2029"/>
      <c r="Z112" s="2029"/>
      <c r="AA112" s="2029"/>
      <c r="AB112" s="2029">
        <v>0</v>
      </c>
      <c r="AC112" s="2029"/>
      <c r="AD112" s="2029"/>
      <c r="AE112" s="2029"/>
      <c r="AF112" s="2029"/>
      <c r="AG112" s="2029"/>
      <c r="AH112" s="2030"/>
      <c r="AI112" s="1078"/>
      <c r="AJ112" s="1078"/>
      <c r="AK112" s="1078"/>
      <c r="AL112" s="1078"/>
      <c r="AM112" s="1078"/>
      <c r="AN112" s="1078"/>
      <c r="AO112" s="1078"/>
      <c r="AP112" s="1078"/>
      <c r="AQ112" s="1078"/>
      <c r="AR112" s="1078"/>
      <c r="AS112" s="1078"/>
      <c r="AT112" s="1078"/>
      <c r="AU112" s="1078"/>
      <c r="AV112" s="1078"/>
      <c r="AW112" s="1078"/>
      <c r="AX112" s="1078"/>
      <c r="AY112" s="1078"/>
      <c r="AZ112" s="1078"/>
      <c r="BA112" s="1078"/>
      <c r="BB112" s="1078"/>
      <c r="BC112" s="1078"/>
      <c r="BD112" s="1078"/>
      <c r="BE112" s="1082"/>
      <c r="CM112" s="1076"/>
      <c r="CN112" s="1076"/>
      <c r="CO112" s="1076"/>
      <c r="CP112" s="1076"/>
    </row>
    <row r="113" spans="1:57" ht="15.75" customHeight="1" thickBot="1">
      <c r="A113" s="1078"/>
      <c r="B113" s="1078"/>
      <c r="C113" s="1078"/>
      <c r="D113" s="1078"/>
      <c r="E113" s="1078"/>
      <c r="F113" s="1078"/>
      <c r="G113" s="1078"/>
      <c r="H113" s="1078"/>
      <c r="I113" s="1078"/>
      <c r="J113" s="1078"/>
      <c r="K113" s="1078"/>
      <c r="L113" s="1078"/>
      <c r="M113" s="1078"/>
      <c r="N113" s="1078"/>
      <c r="O113" s="1078"/>
      <c r="P113" s="1078"/>
      <c r="Q113" s="1078"/>
      <c r="R113" s="1078"/>
      <c r="S113" s="1078"/>
      <c r="T113" s="1078"/>
      <c r="U113" s="1078" t="s">
        <v>254</v>
      </c>
      <c r="V113" s="1078"/>
      <c r="W113" s="1078"/>
      <c r="X113" s="1078"/>
      <c r="Y113" s="1078"/>
      <c r="Z113" s="1078"/>
      <c r="AA113" s="1078"/>
      <c r="AB113" s="1078"/>
      <c r="AC113" s="1078"/>
      <c r="AD113" s="1078"/>
      <c r="AE113" s="1078"/>
      <c r="AF113" s="1078"/>
      <c r="AG113" s="1078"/>
      <c r="AH113" s="1078"/>
      <c r="AI113" s="1078"/>
      <c r="AJ113" s="1078"/>
      <c r="AK113" s="1078"/>
      <c r="AL113" s="1078"/>
      <c r="AM113" s="1078"/>
      <c r="AN113" s="1078"/>
      <c r="AO113" s="1078"/>
      <c r="AP113" s="1078"/>
      <c r="AQ113" s="1078"/>
      <c r="AR113" s="1078"/>
      <c r="AS113" s="1078"/>
      <c r="AT113" s="1078"/>
      <c r="AU113" s="1078"/>
      <c r="AV113" s="1078"/>
      <c r="AW113" s="1078"/>
      <c r="AX113" s="1078"/>
      <c r="AY113" s="1078"/>
      <c r="AZ113" s="1078"/>
      <c r="BA113" s="1078"/>
      <c r="BB113" s="1078"/>
      <c r="BC113" s="1078"/>
      <c r="BD113" s="1078"/>
      <c r="BE113" s="1082"/>
    </row>
    <row r="114" spans="1:57" ht="15.75" customHeight="1" thickBot="1">
      <c r="A114" s="1078"/>
      <c r="B114" s="1090" t="s">
        <v>1986</v>
      </c>
      <c r="C114" s="1096"/>
      <c r="D114" s="1096"/>
      <c r="E114" s="1096"/>
      <c r="F114" s="1096"/>
      <c r="G114" s="1096"/>
      <c r="H114" s="1096"/>
      <c r="I114" s="1096"/>
      <c r="J114" s="1096"/>
      <c r="K114" s="1096"/>
      <c r="L114" s="1096"/>
      <c r="M114" s="1096"/>
      <c r="N114" s="1096"/>
      <c r="O114" s="1096"/>
      <c r="P114" s="1096"/>
      <c r="Q114" s="1096"/>
      <c r="R114" s="1112"/>
      <c r="S114" s="1078"/>
      <c r="T114" s="1078"/>
      <c r="U114" s="1078"/>
      <c r="V114" s="1078"/>
      <c r="W114" s="1078"/>
      <c r="X114" s="1078"/>
      <c r="Y114" s="1078"/>
      <c r="Z114" s="1078"/>
      <c r="AA114" s="1078"/>
      <c r="AB114" s="1078"/>
      <c r="AC114" s="1078"/>
      <c r="AD114" s="1078"/>
      <c r="AE114" s="1078"/>
      <c r="AF114" s="1078"/>
      <c r="AG114" s="1078"/>
      <c r="AH114" s="1078"/>
      <c r="AI114" s="1078"/>
      <c r="AJ114" s="1078"/>
      <c r="AK114" s="1078"/>
      <c r="AL114" s="1078"/>
      <c r="AM114" s="1078"/>
      <c r="AN114" s="1078"/>
      <c r="AO114" s="1078"/>
      <c r="AP114" s="1078"/>
      <c r="AQ114" s="1078"/>
      <c r="AR114" s="1078"/>
      <c r="AS114" s="1078"/>
      <c r="AT114" s="1078"/>
      <c r="AU114" s="1078"/>
      <c r="AV114" s="1078"/>
      <c r="AW114" s="1078"/>
      <c r="AX114" s="1078"/>
      <c r="AY114" s="1078"/>
      <c r="AZ114" s="1078"/>
      <c r="BA114" s="1078"/>
      <c r="BB114" s="1078"/>
      <c r="BC114" s="1078"/>
      <c r="BD114" s="1078"/>
      <c r="BE114" s="1082"/>
    </row>
    <row r="115" spans="1:57" ht="15.75" customHeight="1">
      <c r="A115" s="1078"/>
      <c r="B115" s="1100" t="s">
        <v>1964</v>
      </c>
      <c r="C115" s="1100"/>
      <c r="D115" s="1105"/>
      <c r="E115" s="1106"/>
      <c r="F115" s="2031"/>
      <c r="G115" s="2032"/>
      <c r="H115" s="2032"/>
      <c r="I115" s="2032"/>
      <c r="J115" s="2032"/>
      <c r="K115" s="2032"/>
      <c r="L115" s="2032"/>
      <c r="M115" s="2032"/>
      <c r="N115" s="2032"/>
      <c r="O115" s="2032"/>
      <c r="P115" s="2032"/>
      <c r="Q115" s="2032"/>
      <c r="R115" s="2033"/>
      <c r="S115" s="1078"/>
      <c r="T115" s="1078"/>
      <c r="U115" s="1078"/>
      <c r="V115" s="1078"/>
      <c r="W115" s="1078"/>
      <c r="X115" s="1078"/>
      <c r="Y115" s="1078"/>
      <c r="Z115" s="1078"/>
      <c r="AA115" s="1078"/>
      <c r="AB115" s="1078"/>
      <c r="AC115" s="1078"/>
      <c r="AD115" s="1078"/>
      <c r="AE115" s="1078"/>
      <c r="AF115" s="1078"/>
      <c r="AG115" s="1078"/>
      <c r="AH115" s="1078"/>
      <c r="AI115" s="1078"/>
      <c r="AJ115" s="1078"/>
      <c r="AK115" s="1078"/>
      <c r="AL115" s="1078"/>
      <c r="AM115" s="1078"/>
      <c r="AN115" s="1078"/>
      <c r="AO115" s="1078"/>
      <c r="AP115" s="1078"/>
      <c r="AQ115" s="1078"/>
      <c r="AR115" s="1078"/>
      <c r="AS115" s="1078"/>
      <c r="AT115" s="1078"/>
      <c r="AU115" s="1078"/>
      <c r="AV115" s="1078"/>
      <c r="AW115" s="1078"/>
      <c r="AX115" s="1078"/>
      <c r="AY115" s="1078"/>
      <c r="AZ115" s="1078"/>
      <c r="BA115" s="1078"/>
      <c r="BB115" s="1078"/>
      <c r="BC115" s="1078"/>
      <c r="BD115" s="1078"/>
      <c r="BE115" s="1082"/>
    </row>
    <row r="116" spans="1:57" ht="15.75" customHeight="1" thickBot="1">
      <c r="A116" s="1078"/>
      <c r="B116" s="1078"/>
      <c r="C116" s="1078"/>
      <c r="D116" s="1078"/>
      <c r="E116" s="1078"/>
      <c r="F116" s="1078"/>
      <c r="G116" s="1078"/>
      <c r="H116" s="1078"/>
      <c r="I116" s="1078"/>
      <c r="J116" s="1078"/>
      <c r="K116" s="1078"/>
      <c r="L116" s="1078"/>
      <c r="M116" s="1078"/>
      <c r="N116" s="1078"/>
      <c r="O116" s="1078"/>
      <c r="P116" s="1078"/>
      <c r="Q116" s="1078"/>
      <c r="R116" s="1078"/>
      <c r="S116" s="1078"/>
      <c r="T116" s="1078"/>
      <c r="U116" s="1078"/>
      <c r="V116" s="1078"/>
      <c r="W116" s="1078"/>
      <c r="X116" s="1078"/>
      <c r="Y116" s="1078"/>
      <c r="Z116" s="1078"/>
      <c r="AA116" s="1078"/>
      <c r="AB116" s="1078"/>
      <c r="AC116" s="1078"/>
      <c r="AD116" s="1078"/>
      <c r="AE116" s="1078"/>
      <c r="AF116" s="1078"/>
      <c r="AG116" s="1078"/>
      <c r="AH116" s="1078"/>
      <c r="AI116" s="1078"/>
      <c r="AJ116" s="1078"/>
      <c r="AK116" s="1078"/>
      <c r="AL116" s="1078"/>
      <c r="AM116" s="1078"/>
      <c r="AN116" s="1078"/>
      <c r="AO116" s="1078"/>
      <c r="AP116" s="1078"/>
      <c r="AQ116" s="1078"/>
      <c r="AR116" s="1078"/>
      <c r="AS116" s="1078"/>
      <c r="AT116" s="1078"/>
      <c r="AU116" s="1078"/>
      <c r="AV116" s="1078"/>
      <c r="AW116" s="1078"/>
      <c r="AX116" s="1078"/>
      <c r="AY116" s="1078"/>
      <c r="AZ116" s="1078"/>
      <c r="BA116" s="1078"/>
      <c r="BB116" s="1078"/>
      <c r="BC116" s="1078"/>
      <c r="BD116" s="1078"/>
      <c r="BE116" s="1082"/>
    </row>
    <row r="117" spans="1:57" ht="15.75" customHeight="1">
      <c r="A117" s="1078"/>
      <c r="B117" s="2043" t="s">
        <v>1987</v>
      </c>
      <c r="C117" s="2044"/>
      <c r="D117" s="2044"/>
      <c r="E117" s="2044"/>
      <c r="F117" s="2044"/>
      <c r="G117" s="2044"/>
      <c r="H117" s="2044"/>
      <c r="I117" s="2044"/>
      <c r="J117" s="2044"/>
      <c r="K117" s="2044"/>
      <c r="L117" s="2044"/>
      <c r="M117" s="2044"/>
      <c r="N117" s="2044"/>
      <c r="O117" s="2044"/>
      <c r="P117" s="2044"/>
      <c r="Q117" s="2044"/>
      <c r="R117" s="2044"/>
      <c r="S117" s="2044"/>
      <c r="T117" s="2044"/>
      <c r="U117" s="2047" t="s">
        <v>842</v>
      </c>
      <c r="V117" s="2047"/>
      <c r="W117" s="2047"/>
      <c r="X117" s="2048"/>
      <c r="Y117" s="1078"/>
      <c r="Z117" s="1078"/>
      <c r="AA117" s="1078"/>
      <c r="AB117" s="1078"/>
      <c r="AC117" s="1078"/>
      <c r="AD117" s="1078"/>
      <c r="AE117" s="1078"/>
      <c r="AF117" s="1078"/>
      <c r="AG117" s="1078"/>
      <c r="AH117" s="1078"/>
      <c r="AI117" s="1078"/>
      <c r="AJ117" s="1078"/>
      <c r="AK117" s="1078"/>
      <c r="AL117" s="1078"/>
      <c r="AM117" s="1078"/>
      <c r="AN117" s="1078"/>
      <c r="AO117" s="1078"/>
      <c r="AP117" s="1078"/>
      <c r="AQ117" s="1078"/>
      <c r="AR117" s="1078"/>
      <c r="AS117" s="1078"/>
      <c r="AT117" s="1078"/>
      <c r="AU117" s="1078"/>
      <c r="AV117" s="1078"/>
      <c r="AW117" s="1078"/>
      <c r="AX117" s="1078"/>
      <c r="AY117" s="1078"/>
      <c r="AZ117" s="1078"/>
      <c r="BA117" s="1078"/>
      <c r="BB117" s="1078"/>
      <c r="BC117" s="1078"/>
      <c r="BD117" s="1078"/>
      <c r="BE117" s="1082"/>
    </row>
    <row r="118" spans="1:57" ht="15.75" customHeight="1">
      <c r="A118" s="1078"/>
      <c r="B118" s="2045"/>
      <c r="C118" s="2046"/>
      <c r="D118" s="2046"/>
      <c r="E118" s="2046"/>
      <c r="F118" s="2046"/>
      <c r="G118" s="2046"/>
      <c r="H118" s="2046"/>
      <c r="I118" s="2046"/>
      <c r="J118" s="2046"/>
      <c r="K118" s="2046"/>
      <c r="L118" s="2046"/>
      <c r="M118" s="2046"/>
      <c r="N118" s="2046"/>
      <c r="O118" s="2046"/>
      <c r="P118" s="2046"/>
      <c r="Q118" s="2046"/>
      <c r="R118" s="2046"/>
      <c r="S118" s="2046"/>
      <c r="T118" s="2046"/>
      <c r="U118" s="2049"/>
      <c r="V118" s="2049"/>
      <c r="W118" s="2049"/>
      <c r="X118" s="2050"/>
      <c r="Y118" s="1078"/>
      <c r="Z118" s="1078"/>
      <c r="AA118" s="1078"/>
      <c r="AB118" s="1078"/>
      <c r="AC118" s="1078"/>
      <c r="AD118" s="1078"/>
      <c r="AE118" s="1078"/>
      <c r="AF118" s="1078"/>
      <c r="AG118" s="1078"/>
      <c r="AH118" s="1078"/>
      <c r="AI118" s="1078"/>
      <c r="AJ118" s="1078"/>
      <c r="AK118" s="1078"/>
      <c r="AL118" s="1078"/>
      <c r="AM118" s="1078"/>
      <c r="AN118" s="1078"/>
      <c r="AO118" s="1078"/>
      <c r="AP118" s="1078"/>
      <c r="AQ118" s="1078"/>
      <c r="AR118" s="1078"/>
      <c r="AS118" s="1078"/>
      <c r="AT118" s="1078"/>
      <c r="AU118" s="1078"/>
      <c r="AV118" s="1078"/>
      <c r="AW118" s="1078"/>
      <c r="AX118" s="1078"/>
      <c r="AY118" s="1078"/>
      <c r="AZ118" s="1078"/>
      <c r="BA118" s="1078"/>
      <c r="BB118" s="1078"/>
      <c r="BC118" s="1078"/>
      <c r="BD118" s="1078"/>
      <c r="BE118" s="1082"/>
    </row>
    <row r="119" spans="1:57" ht="15.75" customHeight="1">
      <c r="A119" s="1078"/>
      <c r="B119" s="2045"/>
      <c r="C119" s="2046"/>
      <c r="D119" s="2046"/>
      <c r="E119" s="2046"/>
      <c r="F119" s="2046"/>
      <c r="G119" s="2046"/>
      <c r="H119" s="2046"/>
      <c r="I119" s="2046"/>
      <c r="J119" s="2046"/>
      <c r="K119" s="2046"/>
      <c r="L119" s="2046"/>
      <c r="M119" s="2046"/>
      <c r="N119" s="2046"/>
      <c r="O119" s="2046"/>
      <c r="P119" s="2046"/>
      <c r="Q119" s="2046"/>
      <c r="R119" s="2046"/>
      <c r="S119" s="2046"/>
      <c r="T119" s="2046"/>
      <c r="U119" s="2049"/>
      <c r="V119" s="2049"/>
      <c r="W119" s="2049"/>
      <c r="X119" s="2050"/>
      <c r="Y119" s="1078"/>
      <c r="Z119" s="1078"/>
      <c r="AA119" s="1078"/>
      <c r="AB119" s="1078"/>
      <c r="AC119" s="1078"/>
      <c r="AD119" s="1078"/>
      <c r="AE119" s="1078"/>
      <c r="AF119" s="1078"/>
      <c r="AG119" s="1078"/>
      <c r="AH119" s="1078"/>
      <c r="AI119" s="1078"/>
      <c r="AJ119" s="1078"/>
      <c r="AK119" s="1078"/>
      <c r="AL119" s="1078"/>
      <c r="AM119" s="1078"/>
      <c r="AN119" s="1078"/>
      <c r="AO119" s="1078"/>
      <c r="AP119" s="1078"/>
      <c r="AQ119" s="1078"/>
      <c r="AR119" s="1078"/>
      <c r="AS119" s="1078"/>
      <c r="AT119" s="1078"/>
      <c r="AU119" s="1078"/>
      <c r="AV119" s="1078"/>
      <c r="AW119" s="1078"/>
      <c r="AX119" s="1078"/>
      <c r="AY119" s="1078"/>
      <c r="AZ119" s="1078"/>
      <c r="BA119" s="1078"/>
      <c r="BB119" s="1078"/>
      <c r="BC119" s="1078"/>
      <c r="BD119" s="1078"/>
      <c r="BE119" s="1082"/>
    </row>
    <row r="120" spans="1:57" ht="15.75" customHeight="1">
      <c r="A120" s="1078"/>
      <c r="B120" s="2045"/>
      <c r="C120" s="2046"/>
      <c r="D120" s="2046"/>
      <c r="E120" s="2046"/>
      <c r="F120" s="2046"/>
      <c r="G120" s="2046"/>
      <c r="H120" s="2046"/>
      <c r="I120" s="2046"/>
      <c r="J120" s="2046"/>
      <c r="K120" s="2046"/>
      <c r="L120" s="2046"/>
      <c r="M120" s="2046"/>
      <c r="N120" s="2046"/>
      <c r="O120" s="2046"/>
      <c r="P120" s="2046"/>
      <c r="Q120" s="2046"/>
      <c r="R120" s="2046"/>
      <c r="S120" s="2046"/>
      <c r="T120" s="2046"/>
      <c r="U120" s="2049"/>
      <c r="V120" s="2049"/>
      <c r="W120" s="2049"/>
      <c r="X120" s="2050"/>
      <c r="Y120" s="1078"/>
      <c r="Z120" s="1078"/>
      <c r="AA120" s="1078"/>
      <c r="AB120" s="1078"/>
      <c r="AC120" s="1078"/>
      <c r="AD120" s="1078"/>
      <c r="AE120" s="1078"/>
      <c r="AF120" s="1078"/>
      <c r="AG120" s="1078"/>
      <c r="AH120" s="1078"/>
      <c r="AI120" s="1078"/>
      <c r="AJ120" s="1078"/>
      <c r="AK120" s="1078"/>
      <c r="AL120" s="1078"/>
      <c r="AM120" s="1078"/>
      <c r="AN120" s="1078"/>
      <c r="AO120" s="1078"/>
      <c r="AP120" s="1078"/>
      <c r="AQ120" s="1078"/>
      <c r="AR120" s="1078"/>
      <c r="AS120" s="1078"/>
      <c r="AT120" s="1078"/>
      <c r="AU120" s="1078"/>
      <c r="AV120" s="1078"/>
      <c r="AW120" s="1078"/>
      <c r="AX120" s="1078"/>
      <c r="AY120" s="1078"/>
      <c r="AZ120" s="1078"/>
      <c r="BA120" s="1078"/>
      <c r="BB120" s="1078"/>
      <c r="BC120" s="1078"/>
      <c r="BD120" s="1078"/>
      <c r="BE120" s="1082"/>
    </row>
    <row r="121" spans="1:57" ht="15.75" customHeight="1">
      <c r="A121" s="1078"/>
      <c r="B121" s="2051" t="s">
        <v>1987</v>
      </c>
      <c r="C121" s="2052"/>
      <c r="D121" s="2052"/>
      <c r="E121" s="2052"/>
      <c r="F121" s="2052"/>
      <c r="G121" s="2052"/>
      <c r="H121" s="2052"/>
      <c r="I121" s="2052"/>
      <c r="J121" s="2052"/>
      <c r="K121" s="2052"/>
      <c r="L121" s="2052"/>
      <c r="M121" s="2052"/>
      <c r="N121" s="2052"/>
      <c r="O121" s="2052"/>
      <c r="P121" s="2052"/>
      <c r="Q121" s="2052"/>
      <c r="R121" s="2052"/>
      <c r="S121" s="2052"/>
      <c r="T121" s="2052"/>
      <c r="U121" s="2055" t="s">
        <v>842</v>
      </c>
      <c r="V121" s="2055"/>
      <c r="W121" s="2055"/>
      <c r="X121" s="2056"/>
      <c r="Y121" s="1078"/>
      <c r="Z121" s="1078"/>
      <c r="AA121" s="1078"/>
      <c r="AB121" s="1078"/>
      <c r="AC121" s="1078"/>
      <c r="AD121" s="1078"/>
      <c r="AE121" s="1078"/>
      <c r="AF121" s="1078"/>
      <c r="AG121" s="1078"/>
      <c r="AH121" s="1078"/>
      <c r="AI121" s="1078"/>
      <c r="AJ121" s="1078"/>
      <c r="AK121" s="1078"/>
      <c r="AL121" s="1078"/>
      <c r="AM121" s="1078"/>
      <c r="AN121" s="1078"/>
      <c r="AO121" s="1078"/>
      <c r="AP121" s="1078"/>
      <c r="AQ121" s="1078"/>
      <c r="AR121" s="1078"/>
      <c r="AS121" s="1078"/>
      <c r="AT121" s="1078"/>
      <c r="AU121" s="1078"/>
      <c r="AV121" s="1078"/>
      <c r="AW121" s="1078"/>
      <c r="AX121" s="1078"/>
      <c r="AY121" s="1078"/>
      <c r="AZ121" s="1078"/>
      <c r="BA121" s="1078"/>
      <c r="BB121" s="1078"/>
      <c r="BC121" s="1078"/>
      <c r="BD121" s="1078"/>
      <c r="BE121" s="1082"/>
    </row>
    <row r="122" spans="1:57" ht="15.75" customHeight="1" thickBot="1">
      <c r="A122" s="1078"/>
      <c r="B122" s="2053"/>
      <c r="C122" s="2054"/>
      <c r="D122" s="2054"/>
      <c r="E122" s="2054"/>
      <c r="F122" s="2054"/>
      <c r="G122" s="2054"/>
      <c r="H122" s="2054"/>
      <c r="I122" s="2054"/>
      <c r="J122" s="2054"/>
      <c r="K122" s="2054"/>
      <c r="L122" s="2054"/>
      <c r="M122" s="2054"/>
      <c r="N122" s="2054"/>
      <c r="O122" s="2054"/>
      <c r="P122" s="2054"/>
      <c r="Q122" s="2054"/>
      <c r="R122" s="2054"/>
      <c r="S122" s="2054"/>
      <c r="T122" s="2054"/>
      <c r="U122" s="2057"/>
      <c r="V122" s="2057"/>
      <c r="W122" s="2057"/>
      <c r="X122" s="2058"/>
      <c r="Y122" s="1078"/>
      <c r="Z122" s="1078"/>
      <c r="AA122" s="1078"/>
      <c r="AB122" s="1078"/>
      <c r="AC122" s="1078"/>
      <c r="AD122" s="1078"/>
      <c r="AE122" s="1078"/>
      <c r="AF122" s="1078"/>
      <c r="AG122" s="1078"/>
      <c r="AH122" s="1078"/>
      <c r="AI122" s="1078"/>
      <c r="AJ122" s="1078"/>
      <c r="AK122" s="1078"/>
      <c r="AL122" s="1078"/>
      <c r="AM122" s="1078"/>
      <c r="AN122" s="1078"/>
      <c r="AO122" s="1078"/>
      <c r="AP122" s="1078"/>
      <c r="AQ122" s="1078"/>
      <c r="AR122" s="1078"/>
      <c r="AS122" s="1078"/>
      <c r="AT122" s="1078"/>
      <c r="AU122" s="1078"/>
      <c r="AV122" s="1078"/>
      <c r="AW122" s="1078"/>
      <c r="AX122" s="1078"/>
      <c r="AY122" s="1078"/>
      <c r="AZ122" s="1078"/>
      <c r="BA122" s="1078"/>
      <c r="BB122" s="1078"/>
      <c r="BC122" s="1078"/>
      <c r="BD122" s="1078"/>
      <c r="BE122" s="1082"/>
    </row>
    <row r="123" spans="1:57" ht="15.75" customHeight="1" thickBot="1">
      <c r="A123" s="1078"/>
      <c r="B123" s="1078"/>
      <c r="C123" s="1078"/>
      <c r="D123" s="1078"/>
      <c r="E123" s="1078"/>
      <c r="F123" s="1078"/>
      <c r="G123" s="1078"/>
      <c r="H123" s="1078"/>
      <c r="I123" s="1078"/>
      <c r="J123" s="1078"/>
      <c r="K123" s="1078"/>
      <c r="L123" s="1078"/>
      <c r="M123" s="1078"/>
      <c r="N123" s="1078"/>
      <c r="O123" s="1078"/>
      <c r="P123" s="1078"/>
      <c r="Q123" s="1078"/>
      <c r="R123" s="1078"/>
      <c r="S123" s="1078"/>
      <c r="T123" s="1078"/>
      <c r="U123" s="1078"/>
      <c r="V123" s="1078"/>
      <c r="W123" s="1078"/>
      <c r="X123" s="1078"/>
      <c r="Y123" s="1078"/>
      <c r="Z123" s="1078"/>
      <c r="AA123" s="1078"/>
      <c r="AB123" s="1078"/>
      <c r="AC123" s="1078"/>
      <c r="AD123" s="1078"/>
      <c r="AE123" s="1078"/>
      <c r="AF123" s="1078"/>
      <c r="AG123" s="1078"/>
      <c r="AH123" s="1078"/>
      <c r="AI123" s="1078"/>
      <c r="AJ123" s="1078"/>
      <c r="AK123" s="1078"/>
      <c r="AL123" s="1078"/>
      <c r="AM123" s="1078"/>
      <c r="AN123" s="1078"/>
      <c r="AO123" s="1078"/>
      <c r="AP123" s="1078"/>
      <c r="AQ123" s="1078"/>
      <c r="AR123" s="1078"/>
      <c r="AS123" s="1078"/>
      <c r="AT123" s="1078"/>
      <c r="AU123" s="1078"/>
      <c r="AV123" s="1078"/>
      <c r="AW123" s="1078"/>
      <c r="AX123" s="1078"/>
      <c r="AY123" s="1078"/>
      <c r="AZ123" s="1078"/>
      <c r="BA123" s="1078"/>
      <c r="BB123" s="1078"/>
      <c r="BC123" s="1078"/>
      <c r="BD123" s="1078"/>
      <c r="BE123" s="1082"/>
    </row>
    <row r="124" spans="1:57" ht="15.75" customHeight="1" thickBot="1">
      <c r="A124" s="1078"/>
      <c r="B124" s="1097" t="s">
        <v>1988</v>
      </c>
      <c r="C124" s="1092"/>
      <c r="D124" s="1092"/>
      <c r="E124" s="1092"/>
      <c r="F124" s="1092"/>
      <c r="G124" s="1092"/>
      <c r="H124" s="1092"/>
      <c r="I124" s="1092"/>
      <c r="J124" s="1092"/>
      <c r="K124" s="1092"/>
      <c r="L124" s="1092"/>
      <c r="M124" s="1092"/>
      <c r="N124" s="1092"/>
      <c r="O124" s="1092"/>
      <c r="P124" s="1092"/>
      <c r="Q124" s="1092"/>
      <c r="R124" s="1093"/>
      <c r="S124" s="1078"/>
      <c r="T124" s="1078"/>
      <c r="U124" s="1078"/>
      <c r="V124" s="1078"/>
      <c r="W124" s="1078"/>
      <c r="X124" s="1078"/>
      <c r="Y124" s="1078"/>
      <c r="Z124" s="1078"/>
      <c r="AA124" s="1078"/>
      <c r="AB124" s="1078"/>
      <c r="AC124" s="1078"/>
      <c r="AD124" s="1078"/>
      <c r="AE124" s="1078"/>
      <c r="AF124" s="1078"/>
      <c r="AG124" s="1078"/>
      <c r="AH124" s="1078"/>
      <c r="AI124" s="1078"/>
      <c r="AJ124" s="1078"/>
      <c r="AK124" s="1078"/>
      <c r="AL124" s="1078"/>
      <c r="AM124" s="1078"/>
      <c r="AN124" s="1078"/>
      <c r="AO124" s="1078"/>
      <c r="AP124" s="1078"/>
      <c r="AQ124" s="1078"/>
      <c r="AR124" s="1078"/>
      <c r="AS124" s="1078"/>
      <c r="AT124" s="1078"/>
      <c r="AU124" s="1078"/>
      <c r="AV124" s="1078"/>
      <c r="AW124" s="1078"/>
      <c r="AX124" s="1078"/>
      <c r="AY124" s="1078"/>
      <c r="AZ124" s="1078"/>
      <c r="BA124" s="1078"/>
      <c r="BB124" s="1078"/>
      <c r="BC124" s="1078"/>
      <c r="BD124" s="1078"/>
      <c r="BE124" s="1082"/>
    </row>
    <row r="125" spans="1:57" ht="15.75" customHeight="1" thickBot="1">
      <c r="A125" s="1078"/>
      <c r="B125" s="1078"/>
      <c r="C125" s="1078"/>
      <c r="D125" s="1078"/>
      <c r="E125" s="1078"/>
      <c r="F125" s="1078"/>
      <c r="G125" s="1078"/>
      <c r="H125" s="1078"/>
      <c r="I125" s="1078"/>
      <c r="J125" s="1078"/>
      <c r="K125" s="1078"/>
      <c r="L125" s="1078"/>
      <c r="M125" s="1078"/>
      <c r="N125" s="1078"/>
      <c r="O125" s="1078"/>
      <c r="P125" s="1111"/>
      <c r="Q125" s="1078"/>
      <c r="R125" s="1078"/>
      <c r="S125" s="1078"/>
      <c r="T125" s="1078"/>
      <c r="U125" s="1078"/>
      <c r="V125" s="1078"/>
      <c r="W125" s="1078"/>
      <c r="X125" s="2016" t="s">
        <v>1989</v>
      </c>
      <c r="Y125" s="2017"/>
      <c r="Z125" s="2017"/>
      <c r="AA125" s="2017"/>
      <c r="AB125" s="2017"/>
      <c r="AC125" s="2017"/>
      <c r="AD125" s="2017"/>
      <c r="AE125" s="2017"/>
      <c r="AF125" s="2017"/>
      <c r="AG125" s="2017"/>
      <c r="AH125" s="2017"/>
      <c r="AI125" s="2017"/>
      <c r="AJ125" s="2017"/>
      <c r="AK125" s="2017"/>
      <c r="AL125" s="2017"/>
      <c r="AM125" s="2017"/>
      <c r="AN125" s="2017"/>
      <c r="AO125" s="2017"/>
      <c r="AP125" s="2017"/>
      <c r="AQ125" s="2017"/>
      <c r="AR125" s="2017"/>
      <c r="AS125" s="2017"/>
      <c r="AT125" s="2017"/>
      <c r="AU125" s="2017"/>
      <c r="AV125" s="2017"/>
      <c r="AW125" s="2017"/>
      <c r="AX125" s="2017"/>
      <c r="AY125" s="2017"/>
      <c r="AZ125" s="2017"/>
      <c r="BA125" s="2017"/>
      <c r="BB125" s="2017"/>
      <c r="BC125" s="2017"/>
      <c r="BD125" s="2059"/>
      <c r="BE125" s="1082"/>
    </row>
    <row r="126" spans="1:57" ht="15.75" customHeight="1">
      <c r="A126" s="1078"/>
      <c r="B126" s="2061" t="s">
        <v>1990</v>
      </c>
      <c r="C126" s="2062"/>
      <c r="D126" s="2062"/>
      <c r="E126" s="2062"/>
      <c r="F126" s="2062"/>
      <c r="G126" s="2062"/>
      <c r="H126" s="2062"/>
      <c r="I126" s="2062"/>
      <c r="J126" s="2062"/>
      <c r="K126" s="2062"/>
      <c r="L126" s="2062"/>
      <c r="M126" s="2062"/>
      <c r="N126" s="2062"/>
      <c r="O126" s="2062"/>
      <c r="P126" s="2062"/>
      <c r="Q126" s="2062"/>
      <c r="R126" s="2062"/>
      <c r="S126" s="2062"/>
      <c r="T126" s="2062"/>
      <c r="U126" s="2063"/>
      <c r="V126" s="1078"/>
      <c r="W126" s="1078"/>
      <c r="X126" s="2018"/>
      <c r="Y126" s="2019"/>
      <c r="Z126" s="2019"/>
      <c r="AA126" s="2019"/>
      <c r="AB126" s="2019"/>
      <c r="AC126" s="2019"/>
      <c r="AD126" s="2019"/>
      <c r="AE126" s="2019"/>
      <c r="AF126" s="2019"/>
      <c r="AG126" s="2019"/>
      <c r="AH126" s="2019"/>
      <c r="AI126" s="2019"/>
      <c r="AJ126" s="2019"/>
      <c r="AK126" s="2019"/>
      <c r="AL126" s="2019"/>
      <c r="AM126" s="2019"/>
      <c r="AN126" s="2019"/>
      <c r="AO126" s="2019"/>
      <c r="AP126" s="2019"/>
      <c r="AQ126" s="2019"/>
      <c r="AR126" s="2019"/>
      <c r="AS126" s="2019"/>
      <c r="AT126" s="2019"/>
      <c r="AU126" s="2019"/>
      <c r="AV126" s="2019"/>
      <c r="AW126" s="2019"/>
      <c r="AX126" s="2019"/>
      <c r="AY126" s="2019"/>
      <c r="AZ126" s="2019"/>
      <c r="BA126" s="2019"/>
      <c r="BB126" s="2019"/>
      <c r="BC126" s="2019"/>
      <c r="BD126" s="2060"/>
      <c r="BE126" s="1082"/>
    </row>
    <row r="127" spans="1:57" ht="15.75" customHeight="1">
      <c r="A127" s="1078"/>
      <c r="B127" s="2079"/>
      <c r="C127" s="2080"/>
      <c r="D127" s="2080"/>
      <c r="E127" s="2080"/>
      <c r="F127" s="2080"/>
      <c r="G127" s="2080"/>
      <c r="H127" s="2080"/>
      <c r="I127" s="1938" t="s">
        <v>1991</v>
      </c>
      <c r="J127" s="1938"/>
      <c r="K127" s="1938"/>
      <c r="L127" s="1938"/>
      <c r="M127" s="1938"/>
      <c r="N127" s="1938"/>
      <c r="O127" s="2035" t="s">
        <v>1992</v>
      </c>
      <c r="P127" s="2035"/>
      <c r="Q127" s="2035"/>
      <c r="R127" s="2035"/>
      <c r="S127" s="2035"/>
      <c r="T127" s="2035"/>
      <c r="U127" s="2036"/>
      <c r="V127" s="1078"/>
      <c r="W127" s="1078"/>
      <c r="X127" s="2003" t="s">
        <v>1962</v>
      </c>
      <c r="Y127" s="2004"/>
      <c r="Z127" s="2004"/>
      <c r="AA127" s="2004"/>
      <c r="AB127" s="2004"/>
      <c r="AC127" s="2004"/>
      <c r="AD127" s="2004"/>
      <c r="AE127" s="2004"/>
      <c r="AF127" s="2004"/>
      <c r="AG127" s="2004"/>
      <c r="AH127" s="2004"/>
      <c r="AI127" s="2004"/>
      <c r="AJ127" s="2004"/>
      <c r="AK127" s="2004"/>
      <c r="AL127" s="2004"/>
      <c r="AM127" s="2004"/>
      <c r="AN127" s="2004"/>
      <c r="AO127" s="2004"/>
      <c r="AP127" s="2004"/>
      <c r="AQ127" s="2004"/>
      <c r="AR127" s="2004"/>
      <c r="AS127" s="2004"/>
      <c r="AT127" s="2004"/>
      <c r="AU127" s="2004"/>
      <c r="AV127" s="2004"/>
      <c r="AW127" s="2004"/>
      <c r="AX127" s="2004"/>
      <c r="AY127" s="2004"/>
      <c r="AZ127" s="2004"/>
      <c r="BA127" s="2004"/>
      <c r="BB127" s="2004"/>
      <c r="BC127" s="2004"/>
      <c r="BD127" s="2005"/>
      <c r="BE127" s="1082"/>
    </row>
    <row r="128" spans="1:57" ht="15.75" customHeight="1">
      <c r="A128" s="1078"/>
      <c r="B128" s="2037" t="s">
        <v>1993</v>
      </c>
      <c r="C128" s="2038"/>
      <c r="D128" s="2038"/>
      <c r="E128" s="2038"/>
      <c r="F128" s="2038"/>
      <c r="G128" s="2038"/>
      <c r="H128" s="2038"/>
      <c r="I128" s="2014">
        <v>0</v>
      </c>
      <c r="J128" s="2014"/>
      <c r="K128" s="2014"/>
      <c r="L128" s="2014"/>
      <c r="M128" s="2014"/>
      <c r="N128" s="2014"/>
      <c r="O128" s="2014">
        <v>0</v>
      </c>
      <c r="P128" s="2014"/>
      <c r="Q128" s="2014"/>
      <c r="R128" s="2014"/>
      <c r="S128" s="2014"/>
      <c r="T128" s="2014"/>
      <c r="U128" s="2015"/>
      <c r="V128" s="1078"/>
      <c r="W128" s="1078"/>
      <c r="X128" s="2003"/>
      <c r="Y128" s="2004"/>
      <c r="Z128" s="2004"/>
      <c r="AA128" s="2004"/>
      <c r="AB128" s="2004"/>
      <c r="AC128" s="2004"/>
      <c r="AD128" s="2004"/>
      <c r="AE128" s="2004"/>
      <c r="AF128" s="2004"/>
      <c r="AG128" s="2004"/>
      <c r="AH128" s="2004"/>
      <c r="AI128" s="2004"/>
      <c r="AJ128" s="2004"/>
      <c r="AK128" s="2004"/>
      <c r="AL128" s="2004"/>
      <c r="AM128" s="2004"/>
      <c r="AN128" s="2004"/>
      <c r="AO128" s="2004"/>
      <c r="AP128" s="2004"/>
      <c r="AQ128" s="2004"/>
      <c r="AR128" s="2004"/>
      <c r="AS128" s="2004"/>
      <c r="AT128" s="2004"/>
      <c r="AU128" s="2004"/>
      <c r="AV128" s="2004"/>
      <c r="AW128" s="2004"/>
      <c r="AX128" s="2004"/>
      <c r="AY128" s="2004"/>
      <c r="AZ128" s="2004"/>
      <c r="BA128" s="2004"/>
      <c r="BB128" s="2004"/>
      <c r="BC128" s="2004"/>
      <c r="BD128" s="2005"/>
      <c r="BE128" s="1082"/>
    </row>
    <row r="129" spans="1:57" ht="15.75" customHeight="1" thickBot="1">
      <c r="A129" s="1078"/>
      <c r="B129" s="2039" t="s">
        <v>1994</v>
      </c>
      <c r="C129" s="2040"/>
      <c r="D129" s="2040"/>
      <c r="E129" s="2040"/>
      <c r="F129" s="2040"/>
      <c r="G129" s="2040"/>
      <c r="H129" s="2040"/>
      <c r="I129" s="2029">
        <v>0</v>
      </c>
      <c r="J129" s="2029"/>
      <c r="K129" s="2029"/>
      <c r="L129" s="2029"/>
      <c r="M129" s="2029"/>
      <c r="N129" s="2029"/>
      <c r="O129" s="2041"/>
      <c r="P129" s="2041"/>
      <c r="Q129" s="2041"/>
      <c r="R129" s="2041"/>
      <c r="S129" s="2041"/>
      <c r="T129" s="2041"/>
      <c r="U129" s="2042"/>
      <c r="V129" s="1078"/>
      <c r="W129" s="1078"/>
      <c r="X129" s="2003"/>
      <c r="Y129" s="2004"/>
      <c r="Z129" s="2004"/>
      <c r="AA129" s="2004"/>
      <c r="AB129" s="2004"/>
      <c r="AC129" s="2004"/>
      <c r="AD129" s="2004"/>
      <c r="AE129" s="2004"/>
      <c r="AF129" s="2004"/>
      <c r="AG129" s="2004"/>
      <c r="AH129" s="2004"/>
      <c r="AI129" s="2004"/>
      <c r="AJ129" s="2004"/>
      <c r="AK129" s="2004"/>
      <c r="AL129" s="2004"/>
      <c r="AM129" s="2004"/>
      <c r="AN129" s="2004"/>
      <c r="AO129" s="2004"/>
      <c r="AP129" s="2004"/>
      <c r="AQ129" s="2004"/>
      <c r="AR129" s="2004"/>
      <c r="AS129" s="2004"/>
      <c r="AT129" s="2004"/>
      <c r="AU129" s="2004"/>
      <c r="AV129" s="2004"/>
      <c r="AW129" s="2004"/>
      <c r="AX129" s="2004"/>
      <c r="AY129" s="2004"/>
      <c r="AZ129" s="2004"/>
      <c r="BA129" s="2004"/>
      <c r="BB129" s="2004"/>
      <c r="BC129" s="2004"/>
      <c r="BD129" s="2005"/>
      <c r="BE129" s="1082"/>
    </row>
    <row r="130" spans="1:57" ht="15.75" customHeight="1" thickBot="1">
      <c r="A130" s="1078"/>
      <c r="B130" s="1078"/>
      <c r="C130" s="1078"/>
      <c r="D130" s="1078"/>
      <c r="E130" s="1078"/>
      <c r="F130" s="1078"/>
      <c r="G130" s="1078"/>
      <c r="H130" s="1078"/>
      <c r="I130" s="1078"/>
      <c r="J130" s="1078"/>
      <c r="K130" s="1078"/>
      <c r="L130" s="1078"/>
      <c r="M130" s="1078"/>
      <c r="N130" s="1078"/>
      <c r="O130" s="1078"/>
      <c r="P130" s="1078"/>
      <c r="Q130" s="1078"/>
      <c r="R130" s="1078"/>
      <c r="S130" s="1078"/>
      <c r="T130" s="1078"/>
      <c r="U130" s="1078"/>
      <c r="V130" s="1078"/>
      <c r="W130" s="1078"/>
      <c r="X130" s="2003"/>
      <c r="Y130" s="2004"/>
      <c r="Z130" s="2004"/>
      <c r="AA130" s="2004"/>
      <c r="AB130" s="2004"/>
      <c r="AC130" s="2004"/>
      <c r="AD130" s="2004"/>
      <c r="AE130" s="2004"/>
      <c r="AF130" s="2004"/>
      <c r="AG130" s="2004"/>
      <c r="AH130" s="2004"/>
      <c r="AI130" s="2004"/>
      <c r="AJ130" s="2004"/>
      <c r="AK130" s="2004"/>
      <c r="AL130" s="2004"/>
      <c r="AM130" s="2004"/>
      <c r="AN130" s="2004"/>
      <c r="AO130" s="2004"/>
      <c r="AP130" s="2004"/>
      <c r="AQ130" s="2004"/>
      <c r="AR130" s="2004"/>
      <c r="AS130" s="2004"/>
      <c r="AT130" s="2004"/>
      <c r="AU130" s="2004"/>
      <c r="AV130" s="2004"/>
      <c r="AW130" s="2004"/>
      <c r="AX130" s="2004"/>
      <c r="AY130" s="2004"/>
      <c r="AZ130" s="2004"/>
      <c r="BA130" s="2004"/>
      <c r="BB130" s="2004"/>
      <c r="BC130" s="2004"/>
      <c r="BD130" s="2005"/>
      <c r="BE130" s="1082"/>
    </row>
    <row r="131" spans="1:57" ht="15.75" customHeight="1" thickBot="1">
      <c r="A131" s="1078"/>
      <c r="B131" s="1097" t="s">
        <v>1995</v>
      </c>
      <c r="C131" s="1098"/>
      <c r="D131" s="1098"/>
      <c r="E131" s="1098"/>
      <c r="F131" s="1098"/>
      <c r="G131" s="1098"/>
      <c r="H131" s="1098"/>
      <c r="I131" s="1098"/>
      <c r="J131" s="1098"/>
      <c r="K131" s="1098"/>
      <c r="L131" s="1098"/>
      <c r="M131" s="1098"/>
      <c r="N131" s="1098"/>
      <c r="O131" s="1098"/>
      <c r="P131" s="1099"/>
      <c r="Q131" s="1083" t="s">
        <v>254</v>
      </c>
      <c r="R131" s="1083" t="s">
        <v>254</v>
      </c>
      <c r="S131" s="1078"/>
      <c r="T131" s="1078"/>
      <c r="U131" s="1078"/>
      <c r="V131" s="1078" t="s">
        <v>254</v>
      </c>
      <c r="W131" s="1078"/>
      <c r="X131" s="2003"/>
      <c r="Y131" s="2004"/>
      <c r="Z131" s="2004"/>
      <c r="AA131" s="2004"/>
      <c r="AB131" s="2004"/>
      <c r="AC131" s="2004"/>
      <c r="AD131" s="2004"/>
      <c r="AE131" s="2004"/>
      <c r="AF131" s="2004"/>
      <c r="AG131" s="2004"/>
      <c r="AH131" s="2004"/>
      <c r="AI131" s="2004"/>
      <c r="AJ131" s="2004"/>
      <c r="AK131" s="2004"/>
      <c r="AL131" s="2004"/>
      <c r="AM131" s="2004"/>
      <c r="AN131" s="2004"/>
      <c r="AO131" s="2004"/>
      <c r="AP131" s="2004"/>
      <c r="AQ131" s="2004"/>
      <c r="AR131" s="2004"/>
      <c r="AS131" s="2004"/>
      <c r="AT131" s="2004"/>
      <c r="AU131" s="2004"/>
      <c r="AV131" s="2004"/>
      <c r="AW131" s="2004"/>
      <c r="AX131" s="2004"/>
      <c r="AY131" s="2004"/>
      <c r="AZ131" s="2004"/>
      <c r="BA131" s="2004"/>
      <c r="BB131" s="2004"/>
      <c r="BC131" s="2004"/>
      <c r="BD131" s="2005"/>
      <c r="BE131" s="1082"/>
    </row>
    <row r="132" spans="1:57" ht="15.75" customHeight="1" thickBot="1">
      <c r="A132" s="1078"/>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78"/>
      <c r="W132" s="1078"/>
      <c r="X132" s="2003"/>
      <c r="Y132" s="2004"/>
      <c r="Z132" s="2004"/>
      <c r="AA132" s="2004"/>
      <c r="AB132" s="2004"/>
      <c r="AC132" s="2004"/>
      <c r="AD132" s="2004"/>
      <c r="AE132" s="2004"/>
      <c r="AF132" s="2004"/>
      <c r="AG132" s="2004"/>
      <c r="AH132" s="2004"/>
      <c r="AI132" s="2004"/>
      <c r="AJ132" s="2004"/>
      <c r="AK132" s="2004"/>
      <c r="AL132" s="2004"/>
      <c r="AM132" s="2004"/>
      <c r="AN132" s="2004"/>
      <c r="AO132" s="2004"/>
      <c r="AP132" s="2004"/>
      <c r="AQ132" s="2004"/>
      <c r="AR132" s="2004"/>
      <c r="AS132" s="2004"/>
      <c r="AT132" s="2004"/>
      <c r="AU132" s="2004"/>
      <c r="AV132" s="2004"/>
      <c r="AW132" s="2004"/>
      <c r="AX132" s="2004"/>
      <c r="AY132" s="2004"/>
      <c r="AZ132" s="2004"/>
      <c r="BA132" s="2004"/>
      <c r="BB132" s="2004"/>
      <c r="BC132" s="2004"/>
      <c r="BD132" s="2005"/>
      <c r="BE132" s="1082"/>
    </row>
    <row r="133" spans="1:57" ht="15.75" customHeight="1">
      <c r="A133" s="1078"/>
      <c r="B133" s="1839" t="s">
        <v>1996</v>
      </c>
      <c r="C133" s="1840"/>
      <c r="D133" s="1840"/>
      <c r="E133" s="1840"/>
      <c r="F133" s="1840"/>
      <c r="G133" s="1840"/>
      <c r="H133" s="1840"/>
      <c r="I133" s="1840"/>
      <c r="J133" s="1840"/>
      <c r="K133" s="1840"/>
      <c r="L133" s="1840"/>
      <c r="M133" s="1840"/>
      <c r="N133" s="1840"/>
      <c r="O133" s="1840"/>
      <c r="P133" s="1840"/>
      <c r="Q133" s="1840"/>
      <c r="R133" s="1840"/>
      <c r="S133" s="1840"/>
      <c r="T133" s="1840"/>
      <c r="U133" s="1841"/>
      <c r="V133" s="1078"/>
      <c r="W133" s="1078"/>
      <c r="X133" s="2003"/>
      <c r="Y133" s="2004"/>
      <c r="Z133" s="2004"/>
      <c r="AA133" s="2004"/>
      <c r="AB133" s="2004"/>
      <c r="AC133" s="2004"/>
      <c r="AD133" s="2004"/>
      <c r="AE133" s="2004"/>
      <c r="AF133" s="2004"/>
      <c r="AG133" s="2004"/>
      <c r="AH133" s="2004"/>
      <c r="AI133" s="2004"/>
      <c r="AJ133" s="2004"/>
      <c r="AK133" s="2004"/>
      <c r="AL133" s="2004"/>
      <c r="AM133" s="2004"/>
      <c r="AN133" s="2004"/>
      <c r="AO133" s="2004"/>
      <c r="AP133" s="2004"/>
      <c r="AQ133" s="2004"/>
      <c r="AR133" s="2004"/>
      <c r="AS133" s="2004"/>
      <c r="AT133" s="2004"/>
      <c r="AU133" s="2004"/>
      <c r="AV133" s="2004"/>
      <c r="AW133" s="2004"/>
      <c r="AX133" s="2004"/>
      <c r="AY133" s="2004"/>
      <c r="AZ133" s="2004"/>
      <c r="BA133" s="2004"/>
      <c r="BB133" s="2004"/>
      <c r="BC133" s="2004"/>
      <c r="BD133" s="2005"/>
      <c r="BE133" s="1082"/>
    </row>
    <row r="134" spans="1:57" ht="15.75" customHeight="1">
      <c r="A134" s="1078"/>
      <c r="B134" s="2079"/>
      <c r="C134" s="2080"/>
      <c r="D134" s="2080"/>
      <c r="E134" s="2080"/>
      <c r="F134" s="2080"/>
      <c r="G134" s="2080"/>
      <c r="H134" s="2080"/>
      <c r="I134" s="2081" t="s">
        <v>1971</v>
      </c>
      <c r="J134" s="2081"/>
      <c r="K134" s="2081"/>
      <c r="L134" s="2081"/>
      <c r="M134" s="2081"/>
      <c r="N134" s="2081"/>
      <c r="O134" s="2081"/>
      <c r="P134" s="2081" t="s">
        <v>1972</v>
      </c>
      <c r="Q134" s="2081"/>
      <c r="R134" s="2081"/>
      <c r="S134" s="2081"/>
      <c r="T134" s="2081"/>
      <c r="U134" s="2082"/>
      <c r="V134" s="1078"/>
      <c r="W134" s="1078"/>
      <c r="X134" s="2003"/>
      <c r="Y134" s="2004"/>
      <c r="Z134" s="2004"/>
      <c r="AA134" s="2004"/>
      <c r="AB134" s="2004"/>
      <c r="AC134" s="2004"/>
      <c r="AD134" s="2004"/>
      <c r="AE134" s="2004"/>
      <c r="AF134" s="2004"/>
      <c r="AG134" s="2004"/>
      <c r="AH134" s="2004"/>
      <c r="AI134" s="2004"/>
      <c r="AJ134" s="2004"/>
      <c r="AK134" s="2004"/>
      <c r="AL134" s="2004"/>
      <c r="AM134" s="2004"/>
      <c r="AN134" s="2004"/>
      <c r="AO134" s="2004"/>
      <c r="AP134" s="2004"/>
      <c r="AQ134" s="2004"/>
      <c r="AR134" s="2004"/>
      <c r="AS134" s="2004"/>
      <c r="AT134" s="2004"/>
      <c r="AU134" s="2004"/>
      <c r="AV134" s="2004"/>
      <c r="AW134" s="2004"/>
      <c r="AX134" s="2004"/>
      <c r="AY134" s="2004"/>
      <c r="AZ134" s="2004"/>
      <c r="BA134" s="2004"/>
      <c r="BB134" s="2004"/>
      <c r="BC134" s="2004"/>
      <c r="BD134" s="2005"/>
      <c r="BE134" s="1082"/>
    </row>
    <row r="135" spans="1:57" ht="15.75" customHeight="1">
      <c r="A135" s="1078"/>
      <c r="B135" s="2079"/>
      <c r="C135" s="2080"/>
      <c r="D135" s="2080"/>
      <c r="E135" s="2080"/>
      <c r="F135" s="2080"/>
      <c r="G135" s="2080"/>
      <c r="H135" s="2080"/>
      <c r="I135" s="2081"/>
      <c r="J135" s="2081"/>
      <c r="K135" s="2081"/>
      <c r="L135" s="2081"/>
      <c r="M135" s="2081"/>
      <c r="N135" s="2081"/>
      <c r="O135" s="2081"/>
      <c r="P135" s="2081"/>
      <c r="Q135" s="2081"/>
      <c r="R135" s="2081"/>
      <c r="S135" s="2081"/>
      <c r="T135" s="2081"/>
      <c r="U135" s="2082"/>
      <c r="V135" s="1078"/>
      <c r="W135" s="1078"/>
      <c r="X135" s="2003"/>
      <c r="Y135" s="2004"/>
      <c r="Z135" s="2004"/>
      <c r="AA135" s="2004"/>
      <c r="AB135" s="2004"/>
      <c r="AC135" s="2004"/>
      <c r="AD135" s="2004"/>
      <c r="AE135" s="2004"/>
      <c r="AF135" s="2004"/>
      <c r="AG135" s="2004"/>
      <c r="AH135" s="2004"/>
      <c r="AI135" s="2004"/>
      <c r="AJ135" s="2004"/>
      <c r="AK135" s="2004"/>
      <c r="AL135" s="2004"/>
      <c r="AM135" s="2004"/>
      <c r="AN135" s="2004"/>
      <c r="AO135" s="2004"/>
      <c r="AP135" s="2004"/>
      <c r="AQ135" s="2004"/>
      <c r="AR135" s="2004"/>
      <c r="AS135" s="2004"/>
      <c r="AT135" s="2004"/>
      <c r="AU135" s="2004"/>
      <c r="AV135" s="2004"/>
      <c r="AW135" s="2004"/>
      <c r="AX135" s="2004"/>
      <c r="AY135" s="2004"/>
      <c r="AZ135" s="2004"/>
      <c r="BA135" s="2004"/>
      <c r="BB135" s="2004"/>
      <c r="BC135" s="2004"/>
      <c r="BD135" s="2005"/>
      <c r="BE135" s="1082"/>
    </row>
    <row r="136" spans="1:57" ht="15.75" customHeight="1">
      <c r="A136" s="1078"/>
      <c r="B136" s="2037" t="s">
        <v>1993</v>
      </c>
      <c r="C136" s="2038"/>
      <c r="D136" s="2038"/>
      <c r="E136" s="2038"/>
      <c r="F136" s="2038"/>
      <c r="G136" s="2038"/>
      <c r="H136" s="2038"/>
      <c r="I136" s="2014">
        <v>0</v>
      </c>
      <c r="J136" s="2014"/>
      <c r="K136" s="2014"/>
      <c r="L136" s="2014"/>
      <c r="M136" s="2014"/>
      <c r="N136" s="2014"/>
      <c r="O136" s="2014"/>
      <c r="P136" s="2014">
        <v>0</v>
      </c>
      <c r="Q136" s="2014"/>
      <c r="R136" s="2014"/>
      <c r="S136" s="2014"/>
      <c r="T136" s="2014"/>
      <c r="U136" s="2015"/>
      <c r="V136" s="1078"/>
      <c r="W136" s="1078"/>
      <c r="X136" s="2003"/>
      <c r="Y136" s="2004"/>
      <c r="Z136" s="2004"/>
      <c r="AA136" s="2004"/>
      <c r="AB136" s="2004"/>
      <c r="AC136" s="2004"/>
      <c r="AD136" s="2004"/>
      <c r="AE136" s="2004"/>
      <c r="AF136" s="2004"/>
      <c r="AG136" s="2004"/>
      <c r="AH136" s="2004"/>
      <c r="AI136" s="2004"/>
      <c r="AJ136" s="2004"/>
      <c r="AK136" s="2004"/>
      <c r="AL136" s="2004"/>
      <c r="AM136" s="2004"/>
      <c r="AN136" s="2004"/>
      <c r="AO136" s="2004"/>
      <c r="AP136" s="2004"/>
      <c r="AQ136" s="2004"/>
      <c r="AR136" s="2004"/>
      <c r="AS136" s="2004"/>
      <c r="AT136" s="2004"/>
      <c r="AU136" s="2004"/>
      <c r="AV136" s="2004"/>
      <c r="AW136" s="2004"/>
      <c r="AX136" s="2004"/>
      <c r="AY136" s="2004"/>
      <c r="AZ136" s="2004"/>
      <c r="BA136" s="2004"/>
      <c r="BB136" s="2004"/>
      <c r="BC136" s="2004"/>
      <c r="BD136" s="2005"/>
      <c r="BE136" s="1082"/>
    </row>
    <row r="137" spans="1:57" ht="15.75" customHeight="1" thickBot="1">
      <c r="A137" s="1078"/>
      <c r="B137" s="2039" t="s">
        <v>1994</v>
      </c>
      <c r="C137" s="2040"/>
      <c r="D137" s="2040"/>
      <c r="E137" s="2040"/>
      <c r="F137" s="2040"/>
      <c r="G137" s="2040"/>
      <c r="H137" s="2040"/>
      <c r="I137" s="2029">
        <v>0</v>
      </c>
      <c r="J137" s="2029"/>
      <c r="K137" s="2029"/>
      <c r="L137" s="2029"/>
      <c r="M137" s="2029"/>
      <c r="N137" s="2029"/>
      <c r="O137" s="2029"/>
      <c r="P137" s="2029">
        <v>0</v>
      </c>
      <c r="Q137" s="2029"/>
      <c r="R137" s="2029"/>
      <c r="S137" s="2029"/>
      <c r="T137" s="2029"/>
      <c r="U137" s="2030"/>
      <c r="V137" s="1078"/>
      <c r="W137" s="1078"/>
      <c r="X137" s="2006"/>
      <c r="Y137" s="2007"/>
      <c r="Z137" s="2007"/>
      <c r="AA137" s="2007"/>
      <c r="AB137" s="2007"/>
      <c r="AC137" s="2007"/>
      <c r="AD137" s="2007"/>
      <c r="AE137" s="2007"/>
      <c r="AF137" s="2007"/>
      <c r="AG137" s="2007"/>
      <c r="AH137" s="2007"/>
      <c r="AI137" s="2007"/>
      <c r="AJ137" s="2007"/>
      <c r="AK137" s="2007"/>
      <c r="AL137" s="2007"/>
      <c r="AM137" s="2007"/>
      <c r="AN137" s="2007"/>
      <c r="AO137" s="2007"/>
      <c r="AP137" s="2007"/>
      <c r="AQ137" s="2007"/>
      <c r="AR137" s="2007"/>
      <c r="AS137" s="2007"/>
      <c r="AT137" s="2007"/>
      <c r="AU137" s="2007"/>
      <c r="AV137" s="2007"/>
      <c r="AW137" s="2007"/>
      <c r="AX137" s="2007"/>
      <c r="AY137" s="2007"/>
      <c r="AZ137" s="2007"/>
      <c r="BA137" s="2007"/>
      <c r="BB137" s="2007"/>
      <c r="BC137" s="2007"/>
      <c r="BD137" s="2008"/>
      <c r="BE137" s="1082"/>
    </row>
    <row r="138" spans="1:57" ht="15.75" customHeight="1" thickBot="1">
      <c r="A138" s="1078"/>
      <c r="B138" s="1078"/>
      <c r="C138" s="1078"/>
      <c r="D138" s="1078"/>
      <c r="E138" s="1078"/>
      <c r="F138" s="1078"/>
      <c r="G138" s="1078"/>
      <c r="H138" s="1078"/>
      <c r="I138" s="1078"/>
      <c r="J138" s="1078"/>
      <c r="K138" s="1078"/>
      <c r="L138" s="1078"/>
      <c r="M138" s="1078"/>
      <c r="N138" s="1078"/>
      <c r="O138" s="1078"/>
      <c r="P138" s="1078"/>
      <c r="Q138" s="1113"/>
      <c r="R138" s="1078"/>
      <c r="S138" s="1078"/>
      <c r="T138" s="1078"/>
      <c r="U138" s="1078"/>
      <c r="V138" s="1078"/>
      <c r="W138" s="1078"/>
      <c r="X138" s="1078"/>
      <c r="Y138" s="1078"/>
      <c r="Z138" s="1078"/>
      <c r="AA138" s="1078"/>
      <c r="AB138" s="1078"/>
      <c r="AC138" s="1078"/>
      <c r="AD138" s="1078"/>
      <c r="AE138" s="1078"/>
      <c r="AF138" s="1078"/>
      <c r="AG138" s="1078"/>
      <c r="AH138" s="1078"/>
      <c r="AI138" s="1078"/>
      <c r="AJ138" s="1078"/>
      <c r="AK138" s="1078"/>
      <c r="AL138" s="1078"/>
      <c r="AM138" s="1078"/>
      <c r="AN138" s="1078"/>
      <c r="AO138" s="1078"/>
      <c r="AP138" s="1078"/>
      <c r="AQ138" s="1078"/>
      <c r="AR138" s="1078"/>
      <c r="AS138" s="1078"/>
      <c r="AT138" s="1078"/>
      <c r="AU138" s="1078"/>
      <c r="AV138" s="1078"/>
      <c r="AW138" s="1078"/>
      <c r="AX138" s="1078"/>
      <c r="AY138" s="1078"/>
      <c r="AZ138" s="1078"/>
      <c r="BA138" s="1078"/>
      <c r="BB138" s="1078"/>
      <c r="BC138" s="1078"/>
      <c r="BD138" s="1078"/>
      <c r="BE138" s="1082"/>
    </row>
    <row r="139" spans="1:57" ht="15.75" customHeight="1">
      <c r="A139" s="1078"/>
      <c r="B139" s="2077" t="s">
        <v>1997</v>
      </c>
      <c r="C139" s="2078"/>
      <c r="D139" s="2078"/>
      <c r="E139" s="2078"/>
      <c r="F139" s="2078"/>
      <c r="G139" s="2078"/>
      <c r="H139" s="2078"/>
      <c r="I139" s="2078"/>
      <c r="J139" s="2078"/>
      <c r="K139" s="2078"/>
      <c r="L139" s="2078"/>
      <c r="M139" s="2078"/>
      <c r="N139" s="2078"/>
      <c r="O139" s="2078"/>
      <c r="P139" s="2078"/>
      <c r="Q139" s="2078"/>
      <c r="R139" s="2078"/>
      <c r="S139" s="2078"/>
      <c r="T139" s="2078"/>
      <c r="U139" s="2078"/>
      <c r="V139" s="2078"/>
      <c r="W139" s="2078"/>
      <c r="X139" s="2078"/>
      <c r="Y139" s="2078"/>
      <c r="Z139" s="2078"/>
      <c r="AA139" s="2078"/>
      <c r="AB139" s="2078"/>
      <c r="AC139" s="2078"/>
      <c r="AD139" s="2078"/>
      <c r="AE139" s="2078"/>
      <c r="AF139" s="2078"/>
      <c r="AG139" s="2078"/>
      <c r="AH139" s="1962" t="s">
        <v>842</v>
      </c>
      <c r="AI139" s="1962"/>
      <c r="AJ139" s="1962"/>
      <c r="AK139" s="1962"/>
      <c r="AL139" s="1962"/>
      <c r="AM139" s="1962"/>
      <c r="AN139" s="1962"/>
      <c r="AO139" s="1962"/>
      <c r="AP139" s="1962"/>
      <c r="AQ139" s="1962"/>
      <c r="AR139" s="1962"/>
      <c r="AS139" s="1962"/>
      <c r="AT139" s="1962"/>
      <c r="AU139" s="1962"/>
      <c r="AV139" s="1962"/>
      <c r="AW139" s="1962"/>
      <c r="AX139" s="1963"/>
      <c r="AY139" s="1078"/>
      <c r="AZ139" s="1078"/>
      <c r="BA139" s="1078"/>
      <c r="BB139" s="1078"/>
      <c r="BC139" s="1078"/>
      <c r="BD139" s="1078"/>
      <c r="BE139" s="1082"/>
    </row>
    <row r="140" spans="1:57" ht="15.75" customHeight="1" thickBot="1">
      <c r="A140" s="1078"/>
      <c r="B140" s="2064" t="s">
        <v>1998</v>
      </c>
      <c r="C140" s="2065"/>
      <c r="D140" s="2065"/>
      <c r="E140" s="2065"/>
      <c r="F140" s="2065"/>
      <c r="G140" s="2065"/>
      <c r="H140" s="2065"/>
      <c r="I140" s="2065"/>
      <c r="J140" s="2065"/>
      <c r="K140" s="2065"/>
      <c r="L140" s="2065"/>
      <c r="M140" s="2065"/>
      <c r="N140" s="2065"/>
      <c r="O140" s="2065"/>
      <c r="P140" s="2065"/>
      <c r="Q140" s="2065"/>
      <c r="R140" s="2065"/>
      <c r="S140" s="2065"/>
      <c r="T140" s="2065"/>
      <c r="U140" s="2065"/>
      <c r="V140" s="2065"/>
      <c r="W140" s="2065"/>
      <c r="X140" s="2065"/>
      <c r="Y140" s="2065"/>
      <c r="Z140" s="2065"/>
      <c r="AA140" s="2065"/>
      <c r="AB140" s="2065"/>
      <c r="AC140" s="2065"/>
      <c r="AD140" s="2065"/>
      <c r="AE140" s="2065"/>
      <c r="AF140" s="2065"/>
      <c r="AG140" s="2066"/>
      <c r="AH140" s="2031"/>
      <c r="AI140" s="2032"/>
      <c r="AJ140" s="2032"/>
      <c r="AK140" s="2032"/>
      <c r="AL140" s="2032"/>
      <c r="AM140" s="2032"/>
      <c r="AN140" s="2032"/>
      <c r="AO140" s="2032"/>
      <c r="AP140" s="2032"/>
      <c r="AQ140" s="2032"/>
      <c r="AR140" s="2032"/>
      <c r="AS140" s="2032"/>
      <c r="AT140" s="2032"/>
      <c r="AU140" s="2032"/>
      <c r="AV140" s="2032"/>
      <c r="AW140" s="2032"/>
      <c r="AX140" s="2033"/>
      <c r="AY140" s="1078"/>
      <c r="AZ140" s="1078"/>
      <c r="BA140" s="1078"/>
      <c r="BB140" s="1078"/>
      <c r="BC140" s="1078"/>
      <c r="BD140" s="1078"/>
      <c r="BE140" s="1082"/>
    </row>
    <row r="141" spans="1:57" ht="15.75" customHeight="1">
      <c r="A141" s="1078"/>
      <c r="B141" s="2064" t="s">
        <v>1999</v>
      </c>
      <c r="C141" s="2065"/>
      <c r="D141" s="2065"/>
      <c r="E141" s="2065"/>
      <c r="F141" s="2065"/>
      <c r="G141" s="2065"/>
      <c r="H141" s="2065"/>
      <c r="I141" s="2065"/>
      <c r="J141" s="2065"/>
      <c r="K141" s="2065"/>
      <c r="L141" s="2065"/>
      <c r="M141" s="2065"/>
      <c r="N141" s="2065"/>
      <c r="O141" s="2065"/>
      <c r="P141" s="2065"/>
      <c r="Q141" s="2065"/>
      <c r="R141" s="2065"/>
      <c r="S141" s="2065"/>
      <c r="T141" s="2065"/>
      <c r="U141" s="2065"/>
      <c r="V141" s="2065"/>
      <c r="W141" s="2065"/>
      <c r="X141" s="2065"/>
      <c r="Y141" s="2065"/>
      <c r="Z141" s="2065"/>
      <c r="AA141" s="2065"/>
      <c r="AB141" s="2065"/>
      <c r="AC141" s="2065"/>
      <c r="AD141" s="2065"/>
      <c r="AE141" s="2065"/>
      <c r="AF141" s="2065"/>
      <c r="AG141" s="2066"/>
      <c r="AH141" s="1962" t="s">
        <v>842</v>
      </c>
      <c r="AI141" s="1962"/>
      <c r="AJ141" s="1962"/>
      <c r="AK141" s="1962"/>
      <c r="AL141" s="1962"/>
      <c r="AM141" s="1962"/>
      <c r="AN141" s="1962"/>
      <c r="AO141" s="1962"/>
      <c r="AP141" s="1962"/>
      <c r="AQ141" s="1962"/>
      <c r="AR141" s="1962"/>
      <c r="AS141" s="1962"/>
      <c r="AT141" s="1962"/>
      <c r="AU141" s="1962"/>
      <c r="AV141" s="1962"/>
      <c r="AW141" s="1962"/>
      <c r="AX141" s="1963"/>
      <c r="AY141" s="1078"/>
      <c r="AZ141" s="1078"/>
      <c r="BA141" s="1078"/>
      <c r="BB141" s="1078"/>
      <c r="BC141" s="1078"/>
      <c r="BD141" s="1078"/>
      <c r="BE141" s="1082"/>
    </row>
    <row r="142" spans="1:57" ht="15.75" customHeight="1">
      <c r="A142" s="1078"/>
      <c r="B142" s="2067" t="s">
        <v>2000</v>
      </c>
      <c r="C142" s="2068"/>
      <c r="D142" s="2068"/>
      <c r="E142" s="2068"/>
      <c r="F142" s="2068"/>
      <c r="G142" s="2068"/>
      <c r="H142" s="2068"/>
      <c r="I142" s="2068"/>
      <c r="J142" s="2068"/>
      <c r="K142" s="2068"/>
      <c r="L142" s="2068"/>
      <c r="M142" s="2068"/>
      <c r="N142" s="2068"/>
      <c r="O142" s="2068"/>
      <c r="P142" s="2068"/>
      <c r="Q142" s="2068"/>
      <c r="R142" s="2069" t="s">
        <v>2001</v>
      </c>
      <c r="S142" s="2069"/>
      <c r="T142" s="2069"/>
      <c r="U142" s="2069"/>
      <c r="V142" s="2069"/>
      <c r="W142" s="2069"/>
      <c r="X142" s="2069"/>
      <c r="Y142" s="2069"/>
      <c r="Z142" s="2069"/>
      <c r="AA142" s="2069"/>
      <c r="AB142" s="2069"/>
      <c r="AC142" s="2069"/>
      <c r="AD142" s="2069"/>
      <c r="AE142" s="2069"/>
      <c r="AF142" s="2069"/>
      <c r="AG142" s="2069"/>
      <c r="AH142" s="2069"/>
      <c r="AI142" s="2069"/>
      <c r="AJ142" s="2069"/>
      <c r="AK142" s="2069"/>
      <c r="AL142" s="2069"/>
      <c r="AM142" s="2069"/>
      <c r="AN142" s="2069"/>
      <c r="AO142" s="2069"/>
      <c r="AP142" s="2069"/>
      <c r="AQ142" s="2069"/>
      <c r="AR142" s="2069"/>
      <c r="AS142" s="2069"/>
      <c r="AT142" s="2069"/>
      <c r="AU142" s="2069"/>
      <c r="AV142" s="2069"/>
      <c r="AW142" s="2069"/>
      <c r="AX142" s="2070"/>
      <c r="AY142" s="1078"/>
      <c r="AZ142" s="1078"/>
      <c r="BA142" s="1078"/>
      <c r="BB142" s="1078"/>
      <c r="BC142" s="1078" t="s">
        <v>254</v>
      </c>
      <c r="BD142" s="1078"/>
      <c r="BE142" s="1082"/>
    </row>
    <row r="143" spans="1:57" ht="15.75" customHeight="1">
      <c r="A143" s="1078"/>
      <c r="B143" s="2071" t="s">
        <v>2002</v>
      </c>
      <c r="C143" s="2072"/>
      <c r="D143" s="2072"/>
      <c r="E143" s="2072"/>
      <c r="F143" s="2072"/>
      <c r="G143" s="2072"/>
      <c r="H143" s="2072"/>
      <c r="I143" s="2072"/>
      <c r="J143" s="2072"/>
      <c r="K143" s="2072"/>
      <c r="L143" s="2072"/>
      <c r="M143" s="2072"/>
      <c r="N143" s="2072"/>
      <c r="O143" s="2072"/>
      <c r="P143" s="2072"/>
      <c r="Q143" s="2072"/>
      <c r="R143" s="2072"/>
      <c r="S143" s="2072"/>
      <c r="T143" s="2072"/>
      <c r="U143" s="2072"/>
      <c r="V143" s="2072"/>
      <c r="W143" s="2072"/>
      <c r="X143" s="2072"/>
      <c r="Y143" s="2072"/>
      <c r="Z143" s="2072"/>
      <c r="AA143" s="2072"/>
      <c r="AB143" s="2072"/>
      <c r="AC143" s="2072"/>
      <c r="AD143" s="2072"/>
      <c r="AE143" s="2072"/>
      <c r="AF143" s="2072"/>
      <c r="AG143" s="2072"/>
      <c r="AH143" s="2072"/>
      <c r="AI143" s="2072"/>
      <c r="AJ143" s="2072"/>
      <c r="AK143" s="2072"/>
      <c r="AL143" s="2072"/>
      <c r="AM143" s="2072"/>
      <c r="AN143" s="2072"/>
      <c r="AO143" s="2072"/>
      <c r="AP143" s="2072"/>
      <c r="AQ143" s="2072"/>
      <c r="AR143" s="2072"/>
      <c r="AS143" s="2072"/>
      <c r="AT143" s="2072"/>
      <c r="AU143" s="2072"/>
      <c r="AV143" s="2072"/>
      <c r="AW143" s="2072"/>
      <c r="AX143" s="2073"/>
      <c r="AY143" s="1078"/>
      <c r="AZ143" s="1078"/>
      <c r="BA143" s="1078"/>
      <c r="BB143" s="1078"/>
      <c r="BC143" s="1078"/>
      <c r="BD143" s="1078"/>
      <c r="BE143" s="1082"/>
    </row>
    <row r="144" spans="1:57" ht="15.75" customHeight="1">
      <c r="A144" s="1078"/>
      <c r="B144" s="2071"/>
      <c r="C144" s="2072"/>
      <c r="D144" s="2072"/>
      <c r="E144" s="2072"/>
      <c r="F144" s="2072"/>
      <c r="G144" s="2072"/>
      <c r="H144" s="2072"/>
      <c r="I144" s="2072"/>
      <c r="J144" s="2072"/>
      <c r="K144" s="2072"/>
      <c r="L144" s="2072"/>
      <c r="M144" s="2072"/>
      <c r="N144" s="2072"/>
      <c r="O144" s="2072"/>
      <c r="P144" s="2072"/>
      <c r="Q144" s="2072"/>
      <c r="R144" s="2072"/>
      <c r="S144" s="2072"/>
      <c r="T144" s="2072"/>
      <c r="U144" s="2072"/>
      <c r="V144" s="2072"/>
      <c r="W144" s="2072"/>
      <c r="X144" s="2072"/>
      <c r="Y144" s="2072"/>
      <c r="Z144" s="2072"/>
      <c r="AA144" s="2072"/>
      <c r="AB144" s="2072"/>
      <c r="AC144" s="2072"/>
      <c r="AD144" s="2072"/>
      <c r="AE144" s="2072"/>
      <c r="AF144" s="2072"/>
      <c r="AG144" s="2072"/>
      <c r="AH144" s="2072"/>
      <c r="AI144" s="2072"/>
      <c r="AJ144" s="2072"/>
      <c r="AK144" s="2072"/>
      <c r="AL144" s="2072"/>
      <c r="AM144" s="2072"/>
      <c r="AN144" s="2072"/>
      <c r="AO144" s="2072"/>
      <c r="AP144" s="2072"/>
      <c r="AQ144" s="2072"/>
      <c r="AR144" s="2072"/>
      <c r="AS144" s="2072"/>
      <c r="AT144" s="2072"/>
      <c r="AU144" s="2072"/>
      <c r="AV144" s="2072"/>
      <c r="AW144" s="2072"/>
      <c r="AX144" s="2073"/>
      <c r="AY144" s="1078"/>
      <c r="AZ144" s="1078"/>
      <c r="BA144" s="1078"/>
      <c r="BB144" s="1078"/>
      <c r="BC144" s="1078"/>
      <c r="BD144" s="1078"/>
      <c r="BE144" s="1082"/>
    </row>
    <row r="145" spans="1:57" ht="15.75" customHeight="1">
      <c r="A145" s="1078"/>
      <c r="B145" s="2071"/>
      <c r="C145" s="2072"/>
      <c r="D145" s="2072"/>
      <c r="E145" s="2072"/>
      <c r="F145" s="2072"/>
      <c r="G145" s="2072"/>
      <c r="H145" s="2072"/>
      <c r="I145" s="2072"/>
      <c r="J145" s="2072"/>
      <c r="K145" s="2072"/>
      <c r="L145" s="2072"/>
      <c r="M145" s="2072"/>
      <c r="N145" s="2072"/>
      <c r="O145" s="2072"/>
      <c r="P145" s="2072"/>
      <c r="Q145" s="2072"/>
      <c r="R145" s="2072"/>
      <c r="S145" s="2072"/>
      <c r="T145" s="2072"/>
      <c r="U145" s="2072"/>
      <c r="V145" s="2072"/>
      <c r="W145" s="2072"/>
      <c r="X145" s="2072"/>
      <c r="Y145" s="2072"/>
      <c r="Z145" s="2072"/>
      <c r="AA145" s="2072"/>
      <c r="AB145" s="2072"/>
      <c r="AC145" s="2072"/>
      <c r="AD145" s="2072"/>
      <c r="AE145" s="2072"/>
      <c r="AF145" s="2072"/>
      <c r="AG145" s="2072"/>
      <c r="AH145" s="2072"/>
      <c r="AI145" s="2072"/>
      <c r="AJ145" s="2072"/>
      <c r="AK145" s="2072"/>
      <c r="AL145" s="2072"/>
      <c r="AM145" s="2072"/>
      <c r="AN145" s="2072"/>
      <c r="AO145" s="2072"/>
      <c r="AP145" s="2072"/>
      <c r="AQ145" s="2072"/>
      <c r="AR145" s="2072"/>
      <c r="AS145" s="2072"/>
      <c r="AT145" s="2072"/>
      <c r="AU145" s="2072"/>
      <c r="AV145" s="2072"/>
      <c r="AW145" s="2072"/>
      <c r="AX145" s="2073"/>
      <c r="AY145" s="1078"/>
      <c r="AZ145" s="1078"/>
      <c r="BA145" s="1078"/>
      <c r="BB145" s="1078"/>
      <c r="BC145" s="1078"/>
      <c r="BD145" s="1078"/>
      <c r="BE145" s="1082"/>
    </row>
    <row r="146" spans="1:57" ht="15.75" customHeight="1">
      <c r="A146" s="1078"/>
      <c r="B146" s="2071"/>
      <c r="C146" s="2072"/>
      <c r="D146" s="2072"/>
      <c r="E146" s="2072"/>
      <c r="F146" s="2072"/>
      <c r="G146" s="2072"/>
      <c r="H146" s="2072"/>
      <c r="I146" s="2072"/>
      <c r="J146" s="2072"/>
      <c r="K146" s="2072"/>
      <c r="L146" s="2072"/>
      <c r="M146" s="2072"/>
      <c r="N146" s="2072"/>
      <c r="O146" s="2072"/>
      <c r="P146" s="2072"/>
      <c r="Q146" s="2072"/>
      <c r="R146" s="2072"/>
      <c r="S146" s="2072"/>
      <c r="T146" s="2072"/>
      <c r="U146" s="2072"/>
      <c r="V146" s="2072"/>
      <c r="W146" s="2072"/>
      <c r="X146" s="2072"/>
      <c r="Y146" s="2072"/>
      <c r="Z146" s="2072"/>
      <c r="AA146" s="2072"/>
      <c r="AB146" s="2072"/>
      <c r="AC146" s="2072"/>
      <c r="AD146" s="2072"/>
      <c r="AE146" s="2072"/>
      <c r="AF146" s="2072"/>
      <c r="AG146" s="2072"/>
      <c r="AH146" s="2072"/>
      <c r="AI146" s="2072"/>
      <c r="AJ146" s="2072"/>
      <c r="AK146" s="2072"/>
      <c r="AL146" s="2072"/>
      <c r="AM146" s="2072"/>
      <c r="AN146" s="2072"/>
      <c r="AO146" s="2072"/>
      <c r="AP146" s="2072"/>
      <c r="AQ146" s="2072"/>
      <c r="AR146" s="2072"/>
      <c r="AS146" s="2072"/>
      <c r="AT146" s="2072"/>
      <c r="AU146" s="2072"/>
      <c r="AV146" s="2072"/>
      <c r="AW146" s="2072"/>
      <c r="AX146" s="2073"/>
      <c r="AY146" s="1078"/>
      <c r="AZ146" s="1078"/>
      <c r="BA146" s="1078"/>
      <c r="BB146" s="1078"/>
      <c r="BC146" s="1078"/>
      <c r="BD146" s="1078"/>
      <c r="BE146" s="1082"/>
    </row>
    <row r="147" spans="1:57" ht="15.75" customHeight="1">
      <c r="A147" s="1078"/>
      <c r="B147" s="2071"/>
      <c r="C147" s="2072"/>
      <c r="D147" s="2072"/>
      <c r="E147" s="2072"/>
      <c r="F147" s="2072"/>
      <c r="G147" s="2072"/>
      <c r="H147" s="2072"/>
      <c r="I147" s="2072"/>
      <c r="J147" s="2072"/>
      <c r="K147" s="2072"/>
      <c r="L147" s="2072"/>
      <c r="M147" s="2072"/>
      <c r="N147" s="2072"/>
      <c r="O147" s="2072"/>
      <c r="P147" s="2072"/>
      <c r="Q147" s="2072"/>
      <c r="R147" s="2072"/>
      <c r="S147" s="2072"/>
      <c r="T147" s="2072"/>
      <c r="U147" s="2072"/>
      <c r="V147" s="2072"/>
      <c r="W147" s="2072"/>
      <c r="X147" s="2072"/>
      <c r="Y147" s="2072"/>
      <c r="Z147" s="2072"/>
      <c r="AA147" s="2072"/>
      <c r="AB147" s="2072"/>
      <c r="AC147" s="2072"/>
      <c r="AD147" s="2072"/>
      <c r="AE147" s="2072"/>
      <c r="AF147" s="2072"/>
      <c r="AG147" s="2072"/>
      <c r="AH147" s="2072"/>
      <c r="AI147" s="2072"/>
      <c r="AJ147" s="2072"/>
      <c r="AK147" s="2072"/>
      <c r="AL147" s="2072"/>
      <c r="AM147" s="2072"/>
      <c r="AN147" s="2072"/>
      <c r="AO147" s="2072"/>
      <c r="AP147" s="2072"/>
      <c r="AQ147" s="2072"/>
      <c r="AR147" s="2072"/>
      <c r="AS147" s="2072"/>
      <c r="AT147" s="2072"/>
      <c r="AU147" s="2072"/>
      <c r="AV147" s="2072"/>
      <c r="AW147" s="2072"/>
      <c r="AX147" s="2073"/>
      <c r="AY147" s="1078"/>
      <c r="AZ147" s="1078"/>
      <c r="BA147" s="1078"/>
      <c r="BB147" s="1078"/>
      <c r="BC147" s="1078"/>
      <c r="BD147" s="1078"/>
      <c r="BE147" s="1082"/>
    </row>
    <row r="148" spans="1:57" ht="15.75" customHeight="1">
      <c r="A148" s="1078"/>
      <c r="B148" s="2071"/>
      <c r="C148" s="2072"/>
      <c r="D148" s="2072"/>
      <c r="E148" s="2072"/>
      <c r="F148" s="2072"/>
      <c r="G148" s="2072"/>
      <c r="H148" s="2072"/>
      <c r="I148" s="2072"/>
      <c r="J148" s="2072"/>
      <c r="K148" s="2072"/>
      <c r="L148" s="2072"/>
      <c r="M148" s="2072"/>
      <c r="N148" s="2072"/>
      <c r="O148" s="2072"/>
      <c r="P148" s="2072"/>
      <c r="Q148" s="2072"/>
      <c r="R148" s="2072"/>
      <c r="S148" s="2072"/>
      <c r="T148" s="2072"/>
      <c r="U148" s="2072"/>
      <c r="V148" s="2072"/>
      <c r="W148" s="2072"/>
      <c r="X148" s="2072"/>
      <c r="Y148" s="2072"/>
      <c r="Z148" s="2072"/>
      <c r="AA148" s="2072"/>
      <c r="AB148" s="2072"/>
      <c r="AC148" s="2072"/>
      <c r="AD148" s="2072"/>
      <c r="AE148" s="2072"/>
      <c r="AF148" s="2072"/>
      <c r="AG148" s="2072"/>
      <c r="AH148" s="2072"/>
      <c r="AI148" s="2072"/>
      <c r="AJ148" s="2072"/>
      <c r="AK148" s="2072"/>
      <c r="AL148" s="2072"/>
      <c r="AM148" s="2072"/>
      <c r="AN148" s="2072"/>
      <c r="AO148" s="2072"/>
      <c r="AP148" s="2072"/>
      <c r="AQ148" s="2072"/>
      <c r="AR148" s="2072"/>
      <c r="AS148" s="2072"/>
      <c r="AT148" s="2072"/>
      <c r="AU148" s="2072"/>
      <c r="AV148" s="2072"/>
      <c r="AW148" s="2072"/>
      <c r="AX148" s="2073"/>
      <c r="AY148" s="1078"/>
      <c r="AZ148" s="1078"/>
      <c r="BA148" s="1078"/>
      <c r="BB148" s="1078"/>
      <c r="BC148" s="1078"/>
      <c r="BD148" s="1078"/>
      <c r="BE148" s="1082"/>
    </row>
    <row r="149" spans="1:57" ht="15.75" customHeight="1">
      <c r="A149" s="1078"/>
      <c r="B149" s="2071"/>
      <c r="C149" s="2072"/>
      <c r="D149" s="2072"/>
      <c r="E149" s="2072"/>
      <c r="F149" s="2072"/>
      <c r="G149" s="2072"/>
      <c r="H149" s="2072"/>
      <c r="I149" s="2072"/>
      <c r="J149" s="2072"/>
      <c r="K149" s="2072"/>
      <c r="L149" s="2072"/>
      <c r="M149" s="2072"/>
      <c r="N149" s="2072"/>
      <c r="O149" s="2072"/>
      <c r="P149" s="2072"/>
      <c r="Q149" s="2072"/>
      <c r="R149" s="2072"/>
      <c r="S149" s="2072"/>
      <c r="T149" s="2072"/>
      <c r="U149" s="2072"/>
      <c r="V149" s="2072"/>
      <c r="W149" s="2072"/>
      <c r="X149" s="2072"/>
      <c r="Y149" s="2072"/>
      <c r="Z149" s="2072"/>
      <c r="AA149" s="2072"/>
      <c r="AB149" s="2072"/>
      <c r="AC149" s="2072"/>
      <c r="AD149" s="2072"/>
      <c r="AE149" s="2072"/>
      <c r="AF149" s="2072"/>
      <c r="AG149" s="2072"/>
      <c r="AH149" s="2072"/>
      <c r="AI149" s="2072"/>
      <c r="AJ149" s="2072"/>
      <c r="AK149" s="2072"/>
      <c r="AL149" s="2072"/>
      <c r="AM149" s="2072"/>
      <c r="AN149" s="2072"/>
      <c r="AO149" s="2072"/>
      <c r="AP149" s="2072"/>
      <c r="AQ149" s="2072"/>
      <c r="AR149" s="2072"/>
      <c r="AS149" s="2072"/>
      <c r="AT149" s="2072"/>
      <c r="AU149" s="2072"/>
      <c r="AV149" s="2072"/>
      <c r="AW149" s="2072"/>
      <c r="AX149" s="2073"/>
      <c r="AY149" s="1078"/>
      <c r="AZ149" s="1078"/>
      <c r="BA149" s="1078"/>
      <c r="BB149" s="1078"/>
      <c r="BC149" s="1078"/>
      <c r="BD149" s="1078"/>
      <c r="BE149" s="1082"/>
    </row>
    <row r="150" spans="1:57" ht="15.75" customHeight="1">
      <c r="A150" s="1078"/>
      <c r="B150" s="2071"/>
      <c r="C150" s="2072"/>
      <c r="D150" s="2072"/>
      <c r="E150" s="2072"/>
      <c r="F150" s="2072"/>
      <c r="G150" s="2072"/>
      <c r="H150" s="2072"/>
      <c r="I150" s="2072"/>
      <c r="J150" s="2072"/>
      <c r="K150" s="2072"/>
      <c r="L150" s="2072"/>
      <c r="M150" s="2072"/>
      <c r="N150" s="2072"/>
      <c r="O150" s="2072"/>
      <c r="P150" s="2072"/>
      <c r="Q150" s="2072"/>
      <c r="R150" s="2072"/>
      <c r="S150" s="2072"/>
      <c r="T150" s="2072"/>
      <c r="U150" s="2072"/>
      <c r="V150" s="2072"/>
      <c r="W150" s="2072"/>
      <c r="X150" s="2072"/>
      <c r="Y150" s="2072"/>
      <c r="Z150" s="2072"/>
      <c r="AA150" s="2072"/>
      <c r="AB150" s="2072"/>
      <c r="AC150" s="2072"/>
      <c r="AD150" s="2072"/>
      <c r="AE150" s="2072"/>
      <c r="AF150" s="2072"/>
      <c r="AG150" s="2072"/>
      <c r="AH150" s="2072"/>
      <c r="AI150" s="2072"/>
      <c r="AJ150" s="2072"/>
      <c r="AK150" s="2072"/>
      <c r="AL150" s="2072"/>
      <c r="AM150" s="2072"/>
      <c r="AN150" s="2072"/>
      <c r="AO150" s="2072"/>
      <c r="AP150" s="2072"/>
      <c r="AQ150" s="2072"/>
      <c r="AR150" s="2072"/>
      <c r="AS150" s="2072"/>
      <c r="AT150" s="2072"/>
      <c r="AU150" s="2072"/>
      <c r="AV150" s="2072"/>
      <c r="AW150" s="2072"/>
      <c r="AX150" s="2073"/>
      <c r="AY150" s="1078"/>
      <c r="AZ150" s="1078"/>
      <c r="BA150" s="1078"/>
      <c r="BB150" s="1078"/>
      <c r="BC150" s="1078"/>
      <c r="BD150" s="1078"/>
      <c r="BE150" s="1082"/>
    </row>
    <row r="151" spans="1:57" ht="15.75" customHeight="1">
      <c r="A151" s="1078"/>
      <c r="B151" s="2071"/>
      <c r="C151" s="2072"/>
      <c r="D151" s="2072"/>
      <c r="E151" s="2072"/>
      <c r="F151" s="2072"/>
      <c r="G151" s="2072"/>
      <c r="H151" s="2072"/>
      <c r="I151" s="2072"/>
      <c r="J151" s="2072"/>
      <c r="K151" s="2072"/>
      <c r="L151" s="2072"/>
      <c r="M151" s="2072"/>
      <c r="N151" s="2072"/>
      <c r="O151" s="2072"/>
      <c r="P151" s="2072"/>
      <c r="Q151" s="2072"/>
      <c r="R151" s="2072"/>
      <c r="S151" s="2072"/>
      <c r="T151" s="2072"/>
      <c r="U151" s="2072"/>
      <c r="V151" s="2072"/>
      <c r="W151" s="2072"/>
      <c r="X151" s="2072"/>
      <c r="Y151" s="2072"/>
      <c r="Z151" s="2072"/>
      <c r="AA151" s="2072"/>
      <c r="AB151" s="2072"/>
      <c r="AC151" s="2072"/>
      <c r="AD151" s="2072"/>
      <c r="AE151" s="2072"/>
      <c r="AF151" s="2072"/>
      <c r="AG151" s="2072"/>
      <c r="AH151" s="2072"/>
      <c r="AI151" s="2072"/>
      <c r="AJ151" s="2072"/>
      <c r="AK151" s="2072"/>
      <c r="AL151" s="2072"/>
      <c r="AM151" s="2072"/>
      <c r="AN151" s="2072"/>
      <c r="AO151" s="2072"/>
      <c r="AP151" s="2072"/>
      <c r="AQ151" s="2072"/>
      <c r="AR151" s="2072"/>
      <c r="AS151" s="2072"/>
      <c r="AT151" s="2072"/>
      <c r="AU151" s="2072"/>
      <c r="AV151" s="2072"/>
      <c r="AW151" s="2072"/>
      <c r="AX151" s="2073"/>
      <c r="AY151" s="1078"/>
      <c r="AZ151" s="1078"/>
      <c r="BA151" s="1078"/>
      <c r="BB151" s="1078"/>
      <c r="BC151" s="1078"/>
      <c r="BD151" s="1078"/>
      <c r="BE151" s="1082"/>
    </row>
    <row r="152" spans="1:57" ht="15.75" customHeight="1" thickBot="1">
      <c r="A152" s="1078"/>
      <c r="B152" s="2074"/>
      <c r="C152" s="2075"/>
      <c r="D152" s="2075"/>
      <c r="E152" s="2075"/>
      <c r="F152" s="2075"/>
      <c r="G152" s="2075"/>
      <c r="H152" s="2075"/>
      <c r="I152" s="2075"/>
      <c r="J152" s="2075"/>
      <c r="K152" s="2075"/>
      <c r="L152" s="2075"/>
      <c r="M152" s="2075"/>
      <c r="N152" s="2075"/>
      <c r="O152" s="2075"/>
      <c r="P152" s="2075"/>
      <c r="Q152" s="2075"/>
      <c r="R152" s="2075"/>
      <c r="S152" s="2075"/>
      <c r="T152" s="2075"/>
      <c r="U152" s="2075"/>
      <c r="V152" s="2075"/>
      <c r="W152" s="2075"/>
      <c r="X152" s="2075"/>
      <c r="Y152" s="2075"/>
      <c r="Z152" s="2075"/>
      <c r="AA152" s="2075"/>
      <c r="AB152" s="2075"/>
      <c r="AC152" s="2075"/>
      <c r="AD152" s="2075"/>
      <c r="AE152" s="2075"/>
      <c r="AF152" s="2075"/>
      <c r="AG152" s="2075"/>
      <c r="AH152" s="2075"/>
      <c r="AI152" s="2075"/>
      <c r="AJ152" s="2075"/>
      <c r="AK152" s="2075"/>
      <c r="AL152" s="2075"/>
      <c r="AM152" s="2075"/>
      <c r="AN152" s="2075"/>
      <c r="AO152" s="2075"/>
      <c r="AP152" s="2075"/>
      <c r="AQ152" s="2075"/>
      <c r="AR152" s="2075"/>
      <c r="AS152" s="2075"/>
      <c r="AT152" s="2075"/>
      <c r="AU152" s="2075"/>
      <c r="AV152" s="2075"/>
      <c r="AW152" s="2075"/>
      <c r="AX152" s="2076"/>
      <c r="AY152" s="1078"/>
      <c r="AZ152" s="1078"/>
      <c r="BA152" s="1078"/>
      <c r="BB152" s="1078"/>
      <c r="BC152" s="1078"/>
      <c r="BD152" s="1078"/>
      <c r="BE152" s="1082"/>
    </row>
    <row r="153" spans="1:57" ht="15.75" customHeight="1" thickBot="1">
      <c r="A153" s="1078"/>
      <c r="B153" s="1078"/>
      <c r="C153" s="1078"/>
      <c r="D153" s="1078"/>
      <c r="E153" s="1078"/>
      <c r="F153" s="1078"/>
      <c r="G153" s="1078"/>
      <c r="H153" s="1078"/>
      <c r="I153" s="1078"/>
      <c r="J153" s="1078"/>
      <c r="K153" s="1078"/>
      <c r="L153" s="1078"/>
      <c r="M153" s="1078"/>
      <c r="N153" s="1078"/>
      <c r="O153" s="1078"/>
      <c r="P153" s="1078"/>
      <c r="Q153" s="1078"/>
      <c r="R153" s="1078"/>
      <c r="S153" s="1078"/>
      <c r="T153" s="1078"/>
      <c r="U153" s="1078"/>
      <c r="V153" s="1078"/>
      <c r="W153" s="1078"/>
      <c r="X153" s="1078"/>
      <c r="Y153" s="1078"/>
      <c r="Z153" s="1078"/>
      <c r="AA153" s="1078"/>
      <c r="AB153" s="1078"/>
      <c r="AC153" s="1078"/>
      <c r="AD153" s="1078"/>
      <c r="AE153" s="1078"/>
      <c r="AF153" s="1078"/>
      <c r="AG153" s="1078"/>
      <c r="AH153" s="1078"/>
      <c r="AI153" s="1078"/>
      <c r="AJ153" s="1078"/>
      <c r="AK153" s="1078"/>
      <c r="AL153" s="1078"/>
      <c r="AM153" s="1078"/>
      <c r="AN153" s="1078"/>
      <c r="AO153" s="1078"/>
      <c r="AP153" s="1078"/>
      <c r="AQ153" s="1078"/>
      <c r="AR153" s="1078"/>
      <c r="AS153" s="1078"/>
      <c r="AT153" s="1078"/>
      <c r="AU153" s="1078"/>
      <c r="AV153" s="1078"/>
      <c r="AW153" s="1078"/>
      <c r="AX153" s="1078"/>
      <c r="AY153" s="1078"/>
      <c r="AZ153" s="1078"/>
      <c r="BA153" s="1078"/>
      <c r="BB153" s="1078"/>
      <c r="BC153" s="1078"/>
      <c r="BD153" s="1078"/>
      <c r="BE153" s="1082"/>
    </row>
    <row r="154" spans="1:57" ht="15.75" customHeight="1" thickBot="1">
      <c r="A154" s="1078"/>
      <c r="B154" s="1097" t="s">
        <v>2003</v>
      </c>
      <c r="C154" s="1098"/>
      <c r="D154" s="1098"/>
      <c r="E154" s="1098"/>
      <c r="F154" s="1098"/>
      <c r="G154" s="1098"/>
      <c r="H154" s="1098"/>
      <c r="I154" s="1098"/>
      <c r="J154" s="1098"/>
      <c r="K154" s="1098"/>
      <c r="L154" s="1098"/>
      <c r="M154" s="1099"/>
      <c r="N154" s="1083"/>
      <c r="O154" s="1083"/>
      <c r="P154" s="1078"/>
      <c r="Q154" s="1078"/>
      <c r="R154" s="1078"/>
      <c r="S154" s="1078"/>
      <c r="T154" s="1078"/>
      <c r="U154" s="1078" t="s">
        <v>254</v>
      </c>
      <c r="V154" s="1078"/>
      <c r="W154" s="1078"/>
      <c r="X154" s="1097" t="s">
        <v>2004</v>
      </c>
      <c r="Y154" s="1098"/>
      <c r="Z154" s="1098"/>
      <c r="AA154" s="1098"/>
      <c r="AB154" s="1098"/>
      <c r="AC154" s="1098"/>
      <c r="AD154" s="1098"/>
      <c r="AE154" s="1098"/>
      <c r="AF154" s="1098"/>
      <c r="AG154" s="1098"/>
      <c r="AH154" s="1098"/>
      <c r="AI154" s="1098"/>
      <c r="AJ154" s="1098"/>
      <c r="AK154" s="1092"/>
      <c r="AL154" s="1092"/>
      <c r="AM154" s="1093"/>
      <c r="AN154" s="1078"/>
      <c r="AO154" s="1078"/>
      <c r="AP154" s="1078"/>
      <c r="AQ154" s="1078"/>
      <c r="AR154" s="1078"/>
      <c r="AS154" s="1078"/>
      <c r="AT154" s="1078"/>
      <c r="AU154" s="1078"/>
      <c r="AV154" s="1078"/>
      <c r="AW154" s="1078"/>
      <c r="AX154" s="1078"/>
      <c r="AY154" s="1078"/>
      <c r="AZ154" s="1078"/>
      <c r="BA154" s="1078"/>
      <c r="BB154" s="1078"/>
      <c r="BC154" s="1078"/>
      <c r="BD154" s="1078"/>
      <c r="BE154" s="1082"/>
    </row>
    <row r="155" spans="1:57" ht="15.75" customHeight="1" thickBot="1">
      <c r="A155" s="1078"/>
      <c r="B155" s="1078"/>
      <c r="C155" s="1078"/>
      <c r="D155" s="1078"/>
      <c r="E155" s="1078"/>
      <c r="F155" s="1078"/>
      <c r="G155" s="1078"/>
      <c r="H155" s="1078"/>
      <c r="I155" s="1078"/>
      <c r="J155" s="1078"/>
      <c r="K155" s="1078"/>
      <c r="L155" s="1078"/>
      <c r="M155" s="1078"/>
      <c r="N155" s="1078"/>
      <c r="O155" s="1078"/>
      <c r="P155" s="1083"/>
      <c r="Q155" s="1078"/>
      <c r="R155" s="1078"/>
      <c r="S155" s="1078"/>
      <c r="T155" s="1078"/>
      <c r="U155" s="1078"/>
      <c r="V155" s="1078"/>
      <c r="W155" s="1078"/>
      <c r="X155" s="1078"/>
      <c r="Y155" s="1078"/>
      <c r="Z155" s="1078"/>
      <c r="AA155" s="1078"/>
      <c r="AB155" s="1078"/>
      <c r="AC155" s="1078"/>
      <c r="AD155" s="1078"/>
      <c r="AE155" s="1078"/>
      <c r="AF155" s="1078"/>
      <c r="AG155" s="1078"/>
      <c r="AH155" s="1078"/>
      <c r="AI155" s="1078"/>
      <c r="AJ155" s="1078"/>
      <c r="AK155" s="1078"/>
      <c r="AL155" s="1078"/>
      <c r="AM155" s="1078"/>
      <c r="AN155" s="1078"/>
      <c r="AO155" s="1078"/>
      <c r="AP155" s="1078"/>
      <c r="AQ155" s="1078"/>
      <c r="AR155" s="1078"/>
      <c r="AS155" s="1078"/>
      <c r="AT155" s="1078"/>
      <c r="AU155" s="1078"/>
      <c r="AV155" s="1078"/>
      <c r="AW155" s="1078"/>
      <c r="AX155" s="1078"/>
      <c r="AY155" s="1078"/>
      <c r="AZ155" s="1078"/>
      <c r="BA155" s="1078"/>
      <c r="BB155" s="1078"/>
      <c r="BC155" s="1078"/>
      <c r="BD155" s="1078"/>
      <c r="BE155" s="1082"/>
    </row>
    <row r="156" spans="1:57" ht="15.75" customHeight="1">
      <c r="A156" s="1078"/>
      <c r="B156" s="1934" t="s">
        <v>2005</v>
      </c>
      <c r="C156" s="1935"/>
      <c r="D156" s="1935"/>
      <c r="E156" s="1935"/>
      <c r="F156" s="1935"/>
      <c r="G156" s="1935"/>
      <c r="H156" s="1935"/>
      <c r="I156" s="1935"/>
      <c r="J156" s="1935"/>
      <c r="K156" s="1935"/>
      <c r="L156" s="1935"/>
      <c r="M156" s="1935"/>
      <c r="N156" s="1935"/>
      <c r="O156" s="1935"/>
      <c r="P156" s="1935"/>
      <c r="Q156" s="1935"/>
      <c r="R156" s="1935"/>
      <c r="S156" s="1935"/>
      <c r="T156" s="1935"/>
      <c r="U156" s="1936"/>
      <c r="V156" s="1078"/>
      <c r="W156" s="1080"/>
      <c r="X156" s="1934" t="s">
        <v>2006</v>
      </c>
      <c r="Y156" s="1935"/>
      <c r="Z156" s="1935"/>
      <c r="AA156" s="1935"/>
      <c r="AB156" s="1935"/>
      <c r="AC156" s="1935"/>
      <c r="AD156" s="1935"/>
      <c r="AE156" s="1935"/>
      <c r="AF156" s="1935"/>
      <c r="AG156" s="1935"/>
      <c r="AH156" s="1935"/>
      <c r="AI156" s="1935"/>
      <c r="AJ156" s="1935"/>
      <c r="AK156" s="1935"/>
      <c r="AL156" s="1935"/>
      <c r="AM156" s="1935"/>
      <c r="AN156" s="1935"/>
      <c r="AO156" s="1935"/>
      <c r="AP156" s="1935"/>
      <c r="AQ156" s="1936"/>
      <c r="AR156" s="1078"/>
      <c r="AS156" s="1078"/>
      <c r="AT156" s="1078"/>
      <c r="AU156" s="1078"/>
      <c r="AV156" s="1078"/>
      <c r="AW156" s="1078"/>
      <c r="AX156" s="1078"/>
      <c r="AY156" s="1078"/>
      <c r="AZ156" s="1078"/>
      <c r="BA156" s="1078"/>
      <c r="BB156" s="1078"/>
      <c r="BC156" s="1078"/>
      <c r="BD156" s="1078"/>
      <c r="BE156" s="1082"/>
    </row>
    <row r="157" spans="1:57" ht="15.75" customHeight="1">
      <c r="A157" s="1078"/>
      <c r="B157" s="2079"/>
      <c r="C157" s="2080"/>
      <c r="D157" s="2080"/>
      <c r="E157" s="2080"/>
      <c r="F157" s="2080"/>
      <c r="G157" s="2080"/>
      <c r="H157" s="2080"/>
      <c r="I157" s="2081" t="s">
        <v>1971</v>
      </c>
      <c r="J157" s="2081"/>
      <c r="K157" s="2081"/>
      <c r="L157" s="2081"/>
      <c r="M157" s="2081"/>
      <c r="N157" s="2081"/>
      <c r="O157" s="2081"/>
      <c r="P157" s="2081" t="s">
        <v>2007</v>
      </c>
      <c r="Q157" s="2081"/>
      <c r="R157" s="2081"/>
      <c r="S157" s="2081"/>
      <c r="T157" s="2081"/>
      <c r="U157" s="2082"/>
      <c r="V157" s="1078"/>
      <c r="W157" s="1078"/>
      <c r="X157" s="2079"/>
      <c r="Y157" s="2080"/>
      <c r="Z157" s="2080"/>
      <c r="AA157" s="2080"/>
      <c r="AB157" s="2080"/>
      <c r="AC157" s="2080"/>
      <c r="AD157" s="2080"/>
      <c r="AE157" s="2081" t="s">
        <v>1971</v>
      </c>
      <c r="AF157" s="2081"/>
      <c r="AG157" s="2081"/>
      <c r="AH157" s="2081"/>
      <c r="AI157" s="2081"/>
      <c r="AJ157" s="2081"/>
      <c r="AK157" s="2081"/>
      <c r="AL157" s="2081" t="s">
        <v>1972</v>
      </c>
      <c r="AM157" s="2081"/>
      <c r="AN157" s="2081"/>
      <c r="AO157" s="2081"/>
      <c r="AP157" s="2081"/>
      <c r="AQ157" s="2082"/>
      <c r="AR157" s="1078"/>
      <c r="AS157" s="1078"/>
      <c r="AT157" s="1078"/>
      <c r="AU157" s="1078"/>
      <c r="AV157" s="1078"/>
      <c r="AW157" s="1078"/>
      <c r="AX157" s="1078"/>
      <c r="AY157" s="1078"/>
      <c r="AZ157" s="1078"/>
      <c r="BA157" s="1078"/>
      <c r="BB157" s="1078"/>
      <c r="BC157" s="1078"/>
      <c r="BD157" s="1078"/>
      <c r="BE157" s="1082"/>
    </row>
    <row r="158" spans="1:57" ht="15.75" customHeight="1">
      <c r="A158" s="1078"/>
      <c r="B158" s="2079"/>
      <c r="C158" s="2080"/>
      <c r="D158" s="2080"/>
      <c r="E158" s="2080"/>
      <c r="F158" s="2080"/>
      <c r="G158" s="2080"/>
      <c r="H158" s="2080"/>
      <c r="I158" s="2081"/>
      <c r="J158" s="2081"/>
      <c r="K158" s="2081"/>
      <c r="L158" s="2081"/>
      <c r="M158" s="2081"/>
      <c r="N158" s="2081"/>
      <c r="O158" s="2081"/>
      <c r="P158" s="2081"/>
      <c r="Q158" s="2081"/>
      <c r="R158" s="2081"/>
      <c r="S158" s="2081"/>
      <c r="T158" s="2081"/>
      <c r="U158" s="2082"/>
      <c r="V158" s="1078"/>
      <c r="W158" s="1078"/>
      <c r="X158" s="2079"/>
      <c r="Y158" s="2080"/>
      <c r="Z158" s="2080"/>
      <c r="AA158" s="2080"/>
      <c r="AB158" s="2080"/>
      <c r="AC158" s="2080"/>
      <c r="AD158" s="2080"/>
      <c r="AE158" s="2081"/>
      <c r="AF158" s="2081"/>
      <c r="AG158" s="2081"/>
      <c r="AH158" s="2081"/>
      <c r="AI158" s="2081"/>
      <c r="AJ158" s="2081"/>
      <c r="AK158" s="2081"/>
      <c r="AL158" s="2081"/>
      <c r="AM158" s="2081"/>
      <c r="AN158" s="2081"/>
      <c r="AO158" s="2081"/>
      <c r="AP158" s="2081"/>
      <c r="AQ158" s="2082"/>
      <c r="AR158" s="1078"/>
      <c r="AS158" s="1078"/>
      <c r="AT158" s="1078"/>
      <c r="AU158" s="1078"/>
      <c r="AV158" s="1078"/>
      <c r="AW158" s="1078"/>
      <c r="AX158" s="1078"/>
      <c r="AY158" s="1078"/>
      <c r="AZ158" s="1078"/>
      <c r="BA158" s="1078"/>
      <c r="BB158" s="1078"/>
      <c r="BC158" s="1078"/>
      <c r="BD158" s="1078"/>
      <c r="BE158" s="1082"/>
    </row>
    <row r="159" spans="1:57" ht="15.75" customHeight="1" thickBot="1">
      <c r="A159" s="1078"/>
      <c r="B159" s="2037" t="s">
        <v>1993</v>
      </c>
      <c r="C159" s="2038"/>
      <c r="D159" s="2038"/>
      <c r="E159" s="2038"/>
      <c r="F159" s="2038"/>
      <c r="G159" s="2038"/>
      <c r="H159" s="2038"/>
      <c r="I159" s="2014">
        <v>0</v>
      </c>
      <c r="J159" s="2014"/>
      <c r="K159" s="2014"/>
      <c r="L159" s="2014"/>
      <c r="M159" s="2014"/>
      <c r="N159" s="2014"/>
      <c r="O159" s="2014"/>
      <c r="P159" s="2014">
        <v>0</v>
      </c>
      <c r="Q159" s="2014"/>
      <c r="R159" s="2014"/>
      <c r="S159" s="2014"/>
      <c r="T159" s="2014"/>
      <c r="U159" s="2015"/>
      <c r="V159" s="1078"/>
      <c r="W159" s="1078"/>
      <c r="X159" s="2039" t="s">
        <v>1993</v>
      </c>
      <c r="Y159" s="2040"/>
      <c r="Z159" s="2040"/>
      <c r="AA159" s="2040"/>
      <c r="AB159" s="2040"/>
      <c r="AC159" s="2040"/>
      <c r="AD159" s="2040"/>
      <c r="AE159" s="2029">
        <v>0</v>
      </c>
      <c r="AF159" s="2029"/>
      <c r="AG159" s="2029"/>
      <c r="AH159" s="2029"/>
      <c r="AI159" s="2029"/>
      <c r="AJ159" s="2029"/>
      <c r="AK159" s="2029"/>
      <c r="AL159" s="2029">
        <v>0</v>
      </c>
      <c r="AM159" s="2029"/>
      <c r="AN159" s="2029"/>
      <c r="AO159" s="2029"/>
      <c r="AP159" s="2029"/>
      <c r="AQ159" s="2030"/>
      <c r="AR159" s="1078"/>
      <c r="AS159" s="1078"/>
      <c r="AT159" s="1078"/>
      <c r="AU159" s="1078"/>
      <c r="AV159" s="1078"/>
      <c r="AW159" s="1078"/>
      <c r="AX159" s="1078"/>
      <c r="AY159" s="1078"/>
      <c r="AZ159" s="1078"/>
      <c r="BA159" s="1078"/>
      <c r="BB159" s="1078"/>
      <c r="BC159" s="1078"/>
      <c r="BD159" s="1078"/>
      <c r="BE159" s="1082"/>
    </row>
    <row r="160" spans="1:57" ht="15.75" customHeight="1" thickBot="1">
      <c r="A160" s="1078"/>
      <c r="B160" s="2039" t="s">
        <v>1994</v>
      </c>
      <c r="C160" s="2040"/>
      <c r="D160" s="2040"/>
      <c r="E160" s="2040"/>
      <c r="F160" s="2040"/>
      <c r="G160" s="2040"/>
      <c r="H160" s="2040"/>
      <c r="I160" s="2029">
        <v>0</v>
      </c>
      <c r="J160" s="2029"/>
      <c r="K160" s="2029"/>
      <c r="L160" s="2029"/>
      <c r="M160" s="2029"/>
      <c r="N160" s="2029"/>
      <c r="O160" s="2029"/>
      <c r="P160" s="2029">
        <v>0</v>
      </c>
      <c r="Q160" s="2029"/>
      <c r="R160" s="2029"/>
      <c r="S160" s="2029"/>
      <c r="T160" s="2029"/>
      <c r="U160" s="2030"/>
      <c r="V160" s="1078"/>
      <c r="W160" s="1078"/>
      <c r="X160" s="1078"/>
      <c r="Y160" s="1078"/>
      <c r="Z160" s="1078"/>
      <c r="AA160" s="1078"/>
      <c r="AB160" s="1078"/>
      <c r="AC160" s="1078"/>
      <c r="AD160" s="1078"/>
      <c r="AE160" s="1078"/>
      <c r="AF160" s="1078"/>
      <c r="AG160" s="1078"/>
      <c r="AH160" s="1078"/>
      <c r="AI160" s="1078"/>
      <c r="AJ160" s="1078"/>
      <c r="AK160" s="1078"/>
      <c r="AL160" s="1078"/>
      <c r="AM160" s="1078"/>
      <c r="AN160" s="1078"/>
      <c r="AO160" s="1078"/>
      <c r="AP160" s="1078"/>
      <c r="AQ160" s="1078"/>
      <c r="AR160" s="1078"/>
      <c r="AS160" s="1078"/>
      <c r="AT160" s="1078"/>
      <c r="AU160" s="1078"/>
      <c r="AV160" s="1078"/>
      <c r="AW160" s="1078"/>
      <c r="AX160" s="1078"/>
      <c r="AY160" s="1078"/>
      <c r="AZ160" s="1078"/>
      <c r="BA160" s="1078"/>
      <c r="BB160" s="1078"/>
      <c r="BC160" s="1078"/>
      <c r="BD160" s="1078"/>
      <c r="BE160" s="1082"/>
    </row>
    <row r="161" spans="1:57" ht="15.75" customHeight="1" thickBot="1">
      <c r="A161" s="1078"/>
      <c r="B161" s="1078"/>
      <c r="C161" s="1078"/>
      <c r="D161" s="1078"/>
      <c r="E161" s="1078"/>
      <c r="F161" s="1078"/>
      <c r="G161" s="1078"/>
      <c r="H161" s="1078"/>
      <c r="I161" s="1078"/>
      <c r="J161" s="1078"/>
      <c r="K161" s="1078"/>
      <c r="L161" s="1078"/>
      <c r="M161" s="1078"/>
      <c r="N161" s="1078"/>
      <c r="O161" s="1078"/>
      <c r="P161" s="1078"/>
      <c r="Q161" s="1078"/>
      <c r="R161" s="1078"/>
      <c r="S161" s="1078"/>
      <c r="T161" s="1078"/>
      <c r="U161" s="1078"/>
      <c r="V161" s="1078"/>
      <c r="W161" s="1078"/>
      <c r="X161" s="1078"/>
      <c r="Y161" s="1078"/>
      <c r="Z161" s="1078"/>
      <c r="AA161" s="1078"/>
      <c r="AB161" s="1078"/>
      <c r="AC161" s="1078"/>
      <c r="AD161" s="1078"/>
      <c r="AE161" s="1078"/>
      <c r="AF161" s="1078"/>
      <c r="AG161" s="1078"/>
      <c r="AH161" s="1078"/>
      <c r="AI161" s="1078"/>
      <c r="AJ161" s="1078"/>
      <c r="AK161" s="1078"/>
      <c r="AL161" s="1078"/>
      <c r="AM161" s="1078"/>
      <c r="AN161" s="1078"/>
      <c r="AO161" s="1078"/>
      <c r="AP161" s="1078"/>
      <c r="AQ161" s="1078"/>
      <c r="AR161" s="1078"/>
      <c r="AS161" s="1078"/>
      <c r="AT161" s="1078"/>
      <c r="AU161" s="1078"/>
      <c r="AV161" s="1078"/>
      <c r="AW161" s="1078"/>
      <c r="AX161" s="1078"/>
      <c r="AY161" s="1078"/>
      <c r="AZ161" s="1078"/>
      <c r="BA161" s="1078"/>
      <c r="BB161" s="1078"/>
      <c r="BC161" s="1078"/>
      <c r="BD161" s="1078"/>
      <c r="BE161" s="1082"/>
    </row>
    <row r="162" spans="1:57" ht="15.75" customHeight="1">
      <c r="A162" s="1078"/>
      <c r="B162" s="1078"/>
      <c r="C162" s="1934" t="s">
        <v>2008</v>
      </c>
      <c r="D162" s="1935"/>
      <c r="E162" s="1935"/>
      <c r="F162" s="1935"/>
      <c r="G162" s="1935"/>
      <c r="H162" s="1935"/>
      <c r="I162" s="1935"/>
      <c r="J162" s="1935"/>
      <c r="K162" s="1935"/>
      <c r="L162" s="1935"/>
      <c r="M162" s="1935"/>
      <c r="N162" s="1935"/>
      <c r="O162" s="1935"/>
      <c r="P162" s="1935"/>
      <c r="Q162" s="1935"/>
      <c r="R162" s="1935"/>
      <c r="S162" s="1935"/>
      <c r="T162" s="1935"/>
      <c r="U162" s="1935"/>
      <c r="V162" s="1935"/>
      <c r="W162" s="1935"/>
      <c r="X162" s="1935"/>
      <c r="Y162" s="1935"/>
      <c r="Z162" s="1935"/>
      <c r="AA162" s="1935"/>
      <c r="AB162" s="1935"/>
      <c r="AC162" s="1935"/>
      <c r="AD162" s="1935"/>
      <c r="AE162" s="1935"/>
      <c r="AF162" s="1935"/>
      <c r="AG162" s="1936"/>
      <c r="AH162" s="1078"/>
      <c r="AI162" s="1078"/>
      <c r="AJ162" s="1078"/>
      <c r="AK162" s="1078"/>
      <c r="AL162" s="1078"/>
      <c r="AM162" s="1078"/>
      <c r="AN162" s="1078"/>
      <c r="AO162" s="1078"/>
      <c r="AP162" s="1078"/>
      <c r="AQ162" s="1078"/>
      <c r="AR162" s="1078"/>
      <c r="AS162" s="1078"/>
      <c r="AT162" s="1078"/>
      <c r="AU162" s="1078"/>
      <c r="AV162" s="1078"/>
      <c r="AW162" s="1078"/>
      <c r="AX162" s="1078"/>
      <c r="AY162" s="1078"/>
      <c r="AZ162" s="1078"/>
      <c r="BA162" s="1078"/>
      <c r="BB162" s="1078"/>
      <c r="BC162" s="1078"/>
      <c r="BD162" s="1078"/>
      <c r="BE162" s="1082"/>
    </row>
    <row r="163" spans="1:57" ht="15.75" customHeight="1">
      <c r="A163" s="1078"/>
      <c r="B163" s="1078"/>
      <c r="C163" s="2079" t="s">
        <v>2009</v>
      </c>
      <c r="D163" s="2080"/>
      <c r="E163" s="2080"/>
      <c r="F163" s="2080"/>
      <c r="G163" s="2080"/>
      <c r="H163" s="2080"/>
      <c r="I163" s="2080"/>
      <c r="J163" s="2080"/>
      <c r="K163" s="2080"/>
      <c r="L163" s="2080"/>
      <c r="M163" s="2080"/>
      <c r="N163" s="2080"/>
      <c r="O163" s="2080"/>
      <c r="P163" s="2080"/>
      <c r="Q163" s="2080" t="s">
        <v>2010</v>
      </c>
      <c r="R163" s="2080"/>
      <c r="S163" s="2080"/>
      <c r="T163" s="2025" t="s">
        <v>2011</v>
      </c>
      <c r="U163" s="2025"/>
      <c r="V163" s="2025"/>
      <c r="W163" s="2025"/>
      <c r="X163" s="2025"/>
      <c r="Y163" s="2025"/>
      <c r="Z163" s="2025"/>
      <c r="AA163" s="2025"/>
      <c r="AB163" s="2080" t="s">
        <v>2012</v>
      </c>
      <c r="AC163" s="2080"/>
      <c r="AD163" s="2080"/>
      <c r="AE163" s="2080"/>
      <c r="AF163" s="2080"/>
      <c r="AG163" s="2088"/>
      <c r="AH163" s="1078"/>
      <c r="AI163" s="1078"/>
      <c r="AJ163" s="1078"/>
      <c r="AK163" s="1078"/>
      <c r="AL163" s="1078"/>
      <c r="AM163" s="1078"/>
      <c r="AN163" s="1078"/>
      <c r="AO163" s="1078"/>
      <c r="AP163" s="1078"/>
      <c r="AQ163" s="1078"/>
      <c r="AR163" s="1078"/>
      <c r="AS163" s="1078"/>
      <c r="AT163" s="1078"/>
      <c r="AU163" s="1078"/>
      <c r="AV163" s="1078"/>
      <c r="AW163" s="1078"/>
      <c r="AX163" s="1078"/>
      <c r="AY163" s="1078"/>
      <c r="AZ163" s="1078"/>
      <c r="BA163" s="1078"/>
      <c r="BB163" s="1078"/>
      <c r="BC163" s="1078"/>
      <c r="BD163" s="1078"/>
      <c r="BE163" s="1082"/>
    </row>
    <row r="164" spans="1:57" ht="15.75" customHeight="1">
      <c r="A164" s="1078"/>
      <c r="B164" s="1078"/>
      <c r="C164" s="2083" t="s">
        <v>2013</v>
      </c>
      <c r="D164" s="2084"/>
      <c r="E164" s="2084"/>
      <c r="F164" s="2084"/>
      <c r="G164" s="2084"/>
      <c r="H164" s="2084"/>
      <c r="I164" s="2084"/>
      <c r="J164" s="2084"/>
      <c r="K164" s="2084"/>
      <c r="L164" s="2084"/>
      <c r="M164" s="2084"/>
      <c r="N164" s="2084"/>
      <c r="O164" s="2084"/>
      <c r="P164" s="2084"/>
      <c r="Q164" s="2085">
        <v>55</v>
      </c>
      <c r="R164" s="2085"/>
      <c r="S164" s="2085"/>
      <c r="T164" s="2086"/>
      <c r="U164" s="2086"/>
      <c r="V164" s="2086"/>
      <c r="W164" s="2086"/>
      <c r="X164" s="2086"/>
      <c r="Y164" s="2086"/>
      <c r="Z164" s="2086"/>
      <c r="AA164" s="2086"/>
      <c r="AB164" s="1114"/>
      <c r="AC164" s="1114"/>
      <c r="AD164" s="1114"/>
      <c r="AE164" s="1114"/>
      <c r="AF164" s="1114"/>
      <c r="AG164" s="1115"/>
      <c r="AH164" s="1078"/>
      <c r="AI164" s="1078"/>
      <c r="AJ164" s="1078"/>
      <c r="AK164" s="1078"/>
      <c r="AL164" s="1078"/>
      <c r="AM164" s="1078"/>
      <c r="AN164" s="1078"/>
      <c r="AO164" s="1078"/>
      <c r="AP164" s="1078" t="s">
        <v>254</v>
      </c>
      <c r="AQ164" s="1078"/>
      <c r="AR164" s="1078"/>
      <c r="AS164" s="1078"/>
      <c r="AT164" s="1078"/>
      <c r="AU164" s="1078"/>
      <c r="AV164" s="1078"/>
      <c r="AW164" s="1078"/>
      <c r="AX164" s="1078"/>
      <c r="AY164" s="1078"/>
      <c r="AZ164" s="1078"/>
      <c r="BA164" s="1078"/>
      <c r="BB164" s="1078"/>
      <c r="BC164" s="1078"/>
      <c r="BD164" s="1078"/>
      <c r="BE164" s="1082"/>
    </row>
    <row r="165" spans="1:57" ht="15.75" customHeight="1">
      <c r="A165" s="1078"/>
      <c r="B165" s="1078"/>
      <c r="C165" s="2083" t="s">
        <v>2014</v>
      </c>
      <c r="D165" s="2084"/>
      <c r="E165" s="2084"/>
      <c r="F165" s="2084"/>
      <c r="G165" s="2084"/>
      <c r="H165" s="2084"/>
      <c r="I165" s="2084"/>
      <c r="J165" s="2084"/>
      <c r="K165" s="2084"/>
      <c r="L165" s="2084"/>
      <c r="M165" s="2084"/>
      <c r="N165" s="2084"/>
      <c r="O165" s="2084"/>
      <c r="P165" s="2084"/>
      <c r="Q165" s="2085">
        <v>55</v>
      </c>
      <c r="R165" s="2085"/>
      <c r="S165" s="2085"/>
      <c r="T165" s="2087"/>
      <c r="U165" s="2087"/>
      <c r="V165" s="2087"/>
      <c r="W165" s="2087"/>
      <c r="X165" s="2087"/>
      <c r="Y165" s="2087"/>
      <c r="Z165" s="2087"/>
      <c r="AA165" s="2087"/>
      <c r="AB165" s="1114"/>
      <c r="AC165" s="1114"/>
      <c r="AD165" s="1114"/>
      <c r="AE165" s="1114"/>
      <c r="AF165" s="1114"/>
      <c r="AG165" s="1115"/>
      <c r="AH165" s="1078"/>
      <c r="AI165" s="1078"/>
      <c r="AJ165" s="1078"/>
      <c r="AK165" s="1078"/>
      <c r="AL165" s="1078"/>
      <c r="AM165" s="1078"/>
      <c r="AN165" s="1078"/>
      <c r="AO165" s="1078"/>
      <c r="AP165" s="1078"/>
      <c r="AQ165" s="1078"/>
      <c r="AR165" s="1078"/>
      <c r="AS165" s="1078"/>
      <c r="AT165" s="1078"/>
      <c r="AU165" s="1078"/>
      <c r="AV165" s="1078"/>
      <c r="AW165" s="1078"/>
      <c r="AX165" s="1078"/>
      <c r="AY165" s="1078"/>
      <c r="AZ165" s="1078"/>
      <c r="BA165" s="1078"/>
      <c r="BB165" s="1078"/>
      <c r="BC165" s="1078"/>
      <c r="BD165" s="1078"/>
      <c r="BE165" s="1082"/>
    </row>
    <row r="166" spans="1:57" ht="15.75" customHeight="1">
      <c r="A166" s="1078"/>
      <c r="B166" s="1078"/>
      <c r="C166" s="2083" t="s">
        <v>2015</v>
      </c>
      <c r="D166" s="2084"/>
      <c r="E166" s="2084"/>
      <c r="F166" s="2084"/>
      <c r="G166" s="2084"/>
      <c r="H166" s="2084"/>
      <c r="I166" s="2084"/>
      <c r="J166" s="2084"/>
      <c r="K166" s="2084"/>
      <c r="L166" s="2084"/>
      <c r="M166" s="2084"/>
      <c r="N166" s="2084"/>
      <c r="O166" s="2084"/>
      <c r="P166" s="2084"/>
      <c r="Q166" s="2085">
        <v>55</v>
      </c>
      <c r="R166" s="2085"/>
      <c r="S166" s="2085"/>
      <c r="T166" s="2086"/>
      <c r="U166" s="2086"/>
      <c r="V166" s="2086"/>
      <c r="W166" s="2086"/>
      <c r="X166" s="2086"/>
      <c r="Y166" s="2086"/>
      <c r="Z166" s="2086"/>
      <c r="AA166" s="2086"/>
      <c r="AB166" s="1114"/>
      <c r="AC166" s="1114"/>
      <c r="AD166" s="1114"/>
      <c r="AE166" s="1114"/>
      <c r="AF166" s="1114"/>
      <c r="AG166" s="1115"/>
      <c r="AH166" s="1078"/>
      <c r="AI166" s="1078"/>
      <c r="AJ166" s="1078"/>
      <c r="AK166" s="1078"/>
      <c r="AL166" s="1078"/>
      <c r="AM166" s="1078"/>
      <c r="AN166" s="1078"/>
      <c r="AO166" s="1078"/>
      <c r="AP166" s="1078"/>
      <c r="AQ166" s="1078"/>
      <c r="AR166" s="1078"/>
      <c r="AS166" s="1078"/>
      <c r="AT166" s="1078"/>
      <c r="AU166" s="1078"/>
      <c r="AV166" s="1078"/>
      <c r="AW166" s="1078"/>
      <c r="AX166" s="1078"/>
      <c r="AY166" s="1078"/>
      <c r="AZ166" s="1078"/>
      <c r="BA166" s="1078"/>
      <c r="BB166" s="1078"/>
      <c r="BC166" s="1078"/>
      <c r="BD166" s="1078"/>
      <c r="BE166" s="1082"/>
    </row>
    <row r="167" spans="1:57" ht="15.75" customHeight="1">
      <c r="A167" s="1078"/>
      <c r="B167" s="1078"/>
      <c r="C167" s="2083" t="s">
        <v>1935</v>
      </c>
      <c r="D167" s="2084"/>
      <c r="E167" s="2084"/>
      <c r="F167" s="2084"/>
      <c r="G167" s="2084"/>
      <c r="H167" s="2084"/>
      <c r="I167" s="2084"/>
      <c r="J167" s="2084"/>
      <c r="K167" s="2084"/>
      <c r="L167" s="2084"/>
      <c r="M167" s="2084"/>
      <c r="N167" s="2084"/>
      <c r="O167" s="2084"/>
      <c r="P167" s="2084"/>
      <c r="Q167" s="2085">
        <v>55</v>
      </c>
      <c r="R167" s="2085"/>
      <c r="S167" s="2085"/>
      <c r="T167" s="2086"/>
      <c r="U167" s="2086"/>
      <c r="V167" s="2086"/>
      <c r="W167" s="2086"/>
      <c r="X167" s="2086"/>
      <c r="Y167" s="2086"/>
      <c r="Z167" s="2086"/>
      <c r="AA167" s="2086"/>
      <c r="AB167" s="2089">
        <v>0</v>
      </c>
      <c r="AC167" s="2089"/>
      <c r="AD167" s="2089"/>
      <c r="AE167" s="2089"/>
      <c r="AF167" s="2089"/>
      <c r="AG167" s="2090"/>
      <c r="AH167" s="1078"/>
      <c r="AI167" s="1078"/>
      <c r="AJ167" s="1078"/>
      <c r="AK167" s="1078"/>
      <c r="AL167" s="1078"/>
      <c r="AM167" s="1078"/>
      <c r="AN167" s="1078"/>
      <c r="AO167" s="1078"/>
      <c r="AP167" s="1078"/>
      <c r="AQ167" s="1078"/>
      <c r="AR167" s="1078"/>
      <c r="AS167" s="1078"/>
      <c r="AT167" s="1078"/>
      <c r="AU167" s="1078"/>
      <c r="AV167" s="1078"/>
      <c r="AW167" s="1078"/>
      <c r="AX167" s="1078"/>
      <c r="AY167" s="1078"/>
      <c r="AZ167" s="1078"/>
      <c r="BA167" s="1078"/>
      <c r="BB167" s="1078"/>
      <c r="BC167" s="1078"/>
      <c r="BD167" s="1078"/>
      <c r="BE167" s="1082"/>
    </row>
    <row r="168" spans="1:57" ht="15.75" customHeight="1">
      <c r="A168" s="1078"/>
      <c r="B168" s="1078"/>
      <c r="C168" s="2083" t="s">
        <v>233</v>
      </c>
      <c r="D168" s="2084"/>
      <c r="E168" s="2084"/>
      <c r="F168" s="2091" t="s">
        <v>2016</v>
      </c>
      <c r="G168" s="2091"/>
      <c r="H168" s="2091"/>
      <c r="I168" s="2091"/>
      <c r="J168" s="2091"/>
      <c r="K168" s="2091"/>
      <c r="L168" s="2091"/>
      <c r="M168" s="2091"/>
      <c r="N168" s="2091"/>
      <c r="O168" s="2091"/>
      <c r="P168" s="2091"/>
      <c r="Q168" s="2085">
        <v>55</v>
      </c>
      <c r="R168" s="2085"/>
      <c r="S168" s="2085"/>
      <c r="T168" s="2087"/>
      <c r="U168" s="2087"/>
      <c r="V168" s="2087"/>
      <c r="W168" s="2087"/>
      <c r="X168" s="2087"/>
      <c r="Y168" s="2087"/>
      <c r="Z168" s="2087"/>
      <c r="AA168" s="2087"/>
      <c r="AB168" s="2089">
        <v>0</v>
      </c>
      <c r="AC168" s="2089"/>
      <c r="AD168" s="2089"/>
      <c r="AE168" s="2089"/>
      <c r="AF168" s="2089"/>
      <c r="AG168" s="2090"/>
      <c r="AH168" s="1078"/>
      <c r="AI168" s="1078"/>
      <c r="AJ168" s="1078"/>
      <c r="AK168" s="1078"/>
      <c r="AL168" s="1078"/>
      <c r="AM168" s="1078"/>
      <c r="AN168" s="1078"/>
      <c r="AO168" s="1078"/>
      <c r="AP168" s="1078"/>
      <c r="AQ168" s="1078"/>
      <c r="AR168" s="1078"/>
      <c r="AS168" s="1078"/>
      <c r="AT168" s="1078"/>
      <c r="AU168" s="1078"/>
      <c r="AV168" s="1078"/>
      <c r="AW168" s="1078"/>
      <c r="AX168" s="1078"/>
      <c r="AY168" s="1078"/>
      <c r="AZ168" s="1078"/>
      <c r="BA168" s="1078"/>
      <c r="BB168" s="1078"/>
      <c r="BC168" s="1078"/>
      <c r="BD168" s="1078"/>
      <c r="BE168" s="1082"/>
    </row>
    <row r="169" spans="1:57" ht="15.75" customHeight="1">
      <c r="A169" s="1078"/>
      <c r="B169" s="1078"/>
      <c r="C169" s="2083" t="s">
        <v>233</v>
      </c>
      <c r="D169" s="2084"/>
      <c r="E169" s="2084"/>
      <c r="F169" s="2091" t="s">
        <v>2016</v>
      </c>
      <c r="G169" s="2091"/>
      <c r="H169" s="2091"/>
      <c r="I169" s="2091"/>
      <c r="J169" s="2091"/>
      <c r="K169" s="2091"/>
      <c r="L169" s="2091"/>
      <c r="M169" s="2091"/>
      <c r="N169" s="2091"/>
      <c r="O169" s="2091"/>
      <c r="P169" s="2091"/>
      <c r="Q169" s="2085">
        <v>55</v>
      </c>
      <c r="R169" s="2085"/>
      <c r="S169" s="2085"/>
      <c r="T169" s="2087"/>
      <c r="U169" s="2087"/>
      <c r="V169" s="2087"/>
      <c r="W169" s="2087"/>
      <c r="X169" s="2087"/>
      <c r="Y169" s="2087"/>
      <c r="Z169" s="2087"/>
      <c r="AA169" s="2087"/>
      <c r="AB169" s="2089">
        <v>0</v>
      </c>
      <c r="AC169" s="2089"/>
      <c r="AD169" s="2089"/>
      <c r="AE169" s="2089"/>
      <c r="AF169" s="2089"/>
      <c r="AG169" s="2090"/>
      <c r="AH169" s="1078"/>
      <c r="AI169" s="1078"/>
      <c r="AJ169" s="1078"/>
      <c r="AK169" s="1078" t="s">
        <v>254</v>
      </c>
      <c r="AL169" s="1078"/>
      <c r="AM169" s="1078"/>
      <c r="AN169" s="1078"/>
      <c r="AO169" s="1078"/>
      <c r="AP169" s="1078"/>
      <c r="AQ169" s="1078"/>
      <c r="AR169" s="1078"/>
      <c r="AS169" s="1078"/>
      <c r="AT169" s="1078"/>
      <c r="AU169" s="1078"/>
      <c r="AV169" s="1078"/>
      <c r="AW169" s="1078"/>
      <c r="AX169" s="1078"/>
      <c r="AY169" s="1078"/>
      <c r="AZ169" s="1078"/>
      <c r="BA169" s="1078"/>
      <c r="BB169" s="1078"/>
      <c r="BC169" s="1078"/>
      <c r="BD169" s="1078"/>
      <c r="BE169" s="1082"/>
    </row>
    <row r="170" spans="1:57" ht="15.75" customHeight="1" thickBot="1">
      <c r="A170" s="1078"/>
      <c r="B170" s="1078"/>
      <c r="C170" s="2092" t="s">
        <v>233</v>
      </c>
      <c r="D170" s="2093"/>
      <c r="E170" s="2093"/>
      <c r="F170" s="2094" t="s">
        <v>2016</v>
      </c>
      <c r="G170" s="2094"/>
      <c r="H170" s="2094"/>
      <c r="I170" s="2094"/>
      <c r="J170" s="2094"/>
      <c r="K170" s="2094"/>
      <c r="L170" s="2094"/>
      <c r="M170" s="2094"/>
      <c r="N170" s="2094"/>
      <c r="O170" s="2094"/>
      <c r="P170" s="2094"/>
      <c r="Q170" s="2095">
        <v>55</v>
      </c>
      <c r="R170" s="2095"/>
      <c r="S170" s="2095"/>
      <c r="T170" s="2096"/>
      <c r="U170" s="2096"/>
      <c r="V170" s="2096"/>
      <c r="W170" s="2096"/>
      <c r="X170" s="2096"/>
      <c r="Y170" s="2096"/>
      <c r="Z170" s="2096"/>
      <c r="AA170" s="2096"/>
      <c r="AB170" s="2097">
        <v>0</v>
      </c>
      <c r="AC170" s="2097"/>
      <c r="AD170" s="2097"/>
      <c r="AE170" s="2097"/>
      <c r="AF170" s="2097"/>
      <c r="AG170" s="2098"/>
      <c r="AH170" s="1078"/>
      <c r="AI170" s="1078"/>
      <c r="AJ170" s="1078"/>
      <c r="AK170" s="1078"/>
      <c r="AL170" s="1078"/>
      <c r="AM170" s="1078"/>
      <c r="AN170" s="1078"/>
      <c r="AO170" s="1078"/>
      <c r="AP170" s="1078"/>
      <c r="AQ170" s="1078"/>
      <c r="AR170" s="1078"/>
      <c r="AS170" s="1078"/>
      <c r="AT170" s="1078"/>
      <c r="AU170" s="1078"/>
      <c r="AV170" s="1078"/>
      <c r="AW170" s="1078"/>
      <c r="AX170" s="1078"/>
      <c r="AY170" s="1078"/>
      <c r="AZ170" s="1078"/>
      <c r="BA170" s="1078"/>
      <c r="BB170" s="1078"/>
      <c r="BC170" s="1078"/>
      <c r="BD170" s="1078"/>
      <c r="BE170" s="1082"/>
    </row>
    <row r="171" spans="1:57" ht="15.75" customHeight="1" thickBot="1">
      <c r="A171" s="1078"/>
      <c r="B171" s="1078"/>
      <c r="C171" s="1078"/>
      <c r="D171" s="1078"/>
      <c r="E171" s="1078"/>
      <c r="F171" s="1078"/>
      <c r="G171" s="1078"/>
      <c r="H171" s="1078"/>
      <c r="I171" s="1078"/>
      <c r="J171" s="1078"/>
      <c r="K171" s="1078"/>
      <c r="L171" s="1078"/>
      <c r="M171" s="1078"/>
      <c r="N171" s="1078"/>
      <c r="O171" s="1078"/>
      <c r="P171" s="1078"/>
      <c r="Q171" s="1078"/>
      <c r="R171" s="1078"/>
      <c r="S171" s="1078"/>
      <c r="T171" s="1078"/>
      <c r="U171" s="1078"/>
      <c r="V171" s="1078"/>
      <c r="W171" s="1078"/>
      <c r="X171" s="1078"/>
      <c r="Y171" s="1078"/>
      <c r="Z171" s="1078"/>
      <c r="AA171" s="1078"/>
      <c r="AB171" s="1078"/>
      <c r="AC171" s="1078"/>
      <c r="AD171" s="1078"/>
      <c r="AE171" s="1078"/>
      <c r="AF171" s="1078"/>
      <c r="AG171" s="1078"/>
      <c r="AH171" s="1078"/>
      <c r="AI171" s="1078"/>
      <c r="AJ171" s="1078"/>
      <c r="AK171" s="1078"/>
      <c r="AL171" s="1078"/>
      <c r="AM171" s="1078"/>
      <c r="AN171" s="1078"/>
      <c r="AO171" s="1078"/>
      <c r="AP171" s="1078"/>
      <c r="AQ171" s="1078"/>
      <c r="AR171" s="1078"/>
      <c r="AS171" s="1078"/>
      <c r="AT171" s="1078"/>
      <c r="AU171" s="1078"/>
      <c r="AV171" s="1078"/>
      <c r="AW171" s="1078"/>
      <c r="AX171" s="1078"/>
      <c r="AY171" s="1078"/>
      <c r="AZ171" s="1078"/>
      <c r="BA171" s="1078"/>
      <c r="BB171" s="1078"/>
      <c r="BC171" s="1078"/>
      <c r="BD171" s="1078"/>
      <c r="BE171" s="1082"/>
    </row>
    <row r="172" spans="1:57" ht="15.75" customHeight="1">
      <c r="A172" s="1078"/>
      <c r="B172" s="1078"/>
      <c r="C172" s="1983" t="s">
        <v>2017</v>
      </c>
      <c r="D172" s="1984"/>
      <c r="E172" s="1984"/>
      <c r="F172" s="1984"/>
      <c r="G172" s="1984"/>
      <c r="H172" s="1984"/>
      <c r="I172" s="1984"/>
      <c r="J172" s="1984"/>
      <c r="K172" s="1984"/>
      <c r="L172" s="1984"/>
      <c r="M172" s="1984"/>
      <c r="N172" s="2034"/>
      <c r="O172" s="1078"/>
      <c r="P172" s="2099" t="s">
        <v>2018</v>
      </c>
      <c r="Q172" s="2100"/>
      <c r="R172" s="2100"/>
      <c r="S172" s="2100"/>
      <c r="T172" s="2100"/>
      <c r="U172" s="2100"/>
      <c r="V172" s="2100"/>
      <c r="W172" s="2100"/>
      <c r="X172" s="2100"/>
      <c r="Y172" s="2100"/>
      <c r="Z172" s="2100"/>
      <c r="AA172" s="2100"/>
      <c r="AB172" s="2100"/>
      <c r="AC172" s="2100"/>
      <c r="AD172" s="2100"/>
      <c r="AE172" s="2100"/>
      <c r="AF172" s="2100"/>
      <c r="AG172" s="2100"/>
      <c r="AH172" s="2100"/>
      <c r="AI172" s="2100"/>
      <c r="AJ172" s="2100"/>
      <c r="AK172" s="2100"/>
      <c r="AL172" s="2100"/>
      <c r="AM172" s="2100"/>
      <c r="AN172" s="2100"/>
      <c r="AO172" s="2101"/>
      <c r="AP172" s="1078"/>
      <c r="AQ172" s="1078"/>
      <c r="AR172" s="1078"/>
      <c r="AS172" s="1078"/>
      <c r="AT172" s="1078"/>
      <c r="AU172" s="1078"/>
      <c r="AV172" s="1078"/>
      <c r="AW172" s="1078"/>
      <c r="AX172" s="1078"/>
      <c r="AY172" s="1078"/>
      <c r="AZ172" s="1078"/>
      <c r="BA172" s="1078"/>
      <c r="BB172" s="1078"/>
      <c r="BC172" s="1078"/>
      <c r="BD172" s="1078"/>
      <c r="BE172" s="1082"/>
    </row>
    <row r="173" spans="1:57" ht="15.75" customHeight="1">
      <c r="A173" s="1078"/>
      <c r="B173" s="1078"/>
      <c r="C173" s="2079" t="s">
        <v>2019</v>
      </c>
      <c r="D173" s="2080"/>
      <c r="E173" s="2080"/>
      <c r="F173" s="2080"/>
      <c r="G173" s="2080"/>
      <c r="H173" s="2080"/>
      <c r="I173" s="2080" t="s">
        <v>2020</v>
      </c>
      <c r="J173" s="2080"/>
      <c r="K173" s="2080"/>
      <c r="L173" s="2080"/>
      <c r="M173" s="2080"/>
      <c r="N173" s="2088"/>
      <c r="O173" s="1078"/>
      <c r="P173" s="2003" t="s">
        <v>1962</v>
      </c>
      <c r="Q173" s="2004"/>
      <c r="R173" s="2004"/>
      <c r="S173" s="2004"/>
      <c r="T173" s="2004"/>
      <c r="U173" s="2004"/>
      <c r="V173" s="2004"/>
      <c r="W173" s="2004"/>
      <c r="X173" s="2004"/>
      <c r="Y173" s="2004"/>
      <c r="Z173" s="2004"/>
      <c r="AA173" s="2004"/>
      <c r="AB173" s="2004"/>
      <c r="AC173" s="2004"/>
      <c r="AD173" s="2004"/>
      <c r="AE173" s="2004"/>
      <c r="AF173" s="2004"/>
      <c r="AG173" s="2004"/>
      <c r="AH173" s="2004"/>
      <c r="AI173" s="2004"/>
      <c r="AJ173" s="2004"/>
      <c r="AK173" s="2004"/>
      <c r="AL173" s="2004"/>
      <c r="AM173" s="2004"/>
      <c r="AN173" s="2004"/>
      <c r="AO173" s="2005"/>
      <c r="AP173" s="1078"/>
      <c r="AQ173" s="1078"/>
      <c r="AR173" s="1078"/>
      <c r="AS173" s="1078"/>
      <c r="AT173" s="1078"/>
      <c r="AU173" s="1078"/>
      <c r="AV173" s="1078"/>
      <c r="AW173" s="1078"/>
      <c r="AX173" s="1078"/>
      <c r="AY173" s="1078"/>
      <c r="AZ173" s="1078"/>
      <c r="BA173" s="1078"/>
      <c r="BB173" s="1078"/>
      <c r="BC173" s="1078"/>
      <c r="BD173" s="1078"/>
      <c r="BE173" s="1082"/>
    </row>
    <row r="174" spans="1:57" ht="15.75" customHeight="1">
      <c r="A174" s="1078"/>
      <c r="B174" s="1078"/>
      <c r="C174" s="2009"/>
      <c r="D174" s="1941"/>
      <c r="E174" s="1941"/>
      <c r="F174" s="1941"/>
      <c r="G174" s="1941"/>
      <c r="H174" s="1941"/>
      <c r="I174" s="2086"/>
      <c r="J174" s="2086"/>
      <c r="K174" s="2086"/>
      <c r="L174" s="2086"/>
      <c r="M174" s="2086"/>
      <c r="N174" s="2102"/>
      <c r="O174" s="1078"/>
      <c r="P174" s="2003"/>
      <c r="Q174" s="2004"/>
      <c r="R174" s="2004"/>
      <c r="S174" s="2004"/>
      <c r="T174" s="2004"/>
      <c r="U174" s="2004"/>
      <c r="V174" s="2004"/>
      <c r="W174" s="2004"/>
      <c r="X174" s="2004"/>
      <c r="Y174" s="2004"/>
      <c r="Z174" s="2004"/>
      <c r="AA174" s="2004"/>
      <c r="AB174" s="2004"/>
      <c r="AC174" s="2004"/>
      <c r="AD174" s="2004"/>
      <c r="AE174" s="2004"/>
      <c r="AF174" s="2004"/>
      <c r="AG174" s="2004"/>
      <c r="AH174" s="2004"/>
      <c r="AI174" s="2004"/>
      <c r="AJ174" s="2004"/>
      <c r="AK174" s="2004"/>
      <c r="AL174" s="2004"/>
      <c r="AM174" s="2004"/>
      <c r="AN174" s="2004"/>
      <c r="AO174" s="2005"/>
      <c r="AP174" s="1078"/>
      <c r="AQ174" s="1078"/>
      <c r="AR174" s="1078"/>
      <c r="AS174" s="1078"/>
      <c r="AT174" s="1078"/>
      <c r="AU174" s="1078"/>
      <c r="AV174" s="1078"/>
      <c r="AW174" s="1078"/>
      <c r="AX174" s="1078"/>
      <c r="AY174" s="1078"/>
      <c r="AZ174" s="1078"/>
      <c r="BA174" s="1078"/>
      <c r="BB174" s="1078"/>
      <c r="BC174" s="1078"/>
      <c r="BD174" s="1078"/>
      <c r="BE174" s="1082"/>
    </row>
    <row r="175" spans="1:57" ht="15.75" customHeight="1">
      <c r="A175" s="1078"/>
      <c r="B175" s="1078"/>
      <c r="C175" s="2009"/>
      <c r="D175" s="1941"/>
      <c r="E175" s="1941"/>
      <c r="F175" s="1941"/>
      <c r="G175" s="1941"/>
      <c r="H175" s="1941"/>
      <c r="I175" s="2086"/>
      <c r="J175" s="2086"/>
      <c r="K175" s="2086"/>
      <c r="L175" s="2086"/>
      <c r="M175" s="2086"/>
      <c r="N175" s="2102"/>
      <c r="O175" s="1078"/>
      <c r="P175" s="2003"/>
      <c r="Q175" s="2004"/>
      <c r="R175" s="2004"/>
      <c r="S175" s="2004"/>
      <c r="T175" s="2004"/>
      <c r="U175" s="2004"/>
      <c r="V175" s="2004"/>
      <c r="W175" s="2004"/>
      <c r="X175" s="2004"/>
      <c r="Y175" s="2004"/>
      <c r="Z175" s="2004"/>
      <c r="AA175" s="2004"/>
      <c r="AB175" s="2004"/>
      <c r="AC175" s="2004"/>
      <c r="AD175" s="2004"/>
      <c r="AE175" s="2004"/>
      <c r="AF175" s="2004"/>
      <c r="AG175" s="2004"/>
      <c r="AH175" s="2004"/>
      <c r="AI175" s="2004"/>
      <c r="AJ175" s="2004"/>
      <c r="AK175" s="2004"/>
      <c r="AL175" s="2004"/>
      <c r="AM175" s="2004"/>
      <c r="AN175" s="2004"/>
      <c r="AO175" s="2005"/>
      <c r="AP175" s="1078"/>
      <c r="AQ175" s="1078"/>
      <c r="AR175" s="1078"/>
      <c r="AS175" s="1078"/>
      <c r="AT175" s="1078"/>
      <c r="AU175" s="1078"/>
      <c r="AV175" s="1078"/>
      <c r="AW175" s="1078"/>
      <c r="AX175" s="1078"/>
      <c r="AY175" s="1078"/>
      <c r="AZ175" s="1078"/>
      <c r="BA175" s="1078"/>
      <c r="BB175" s="1078"/>
      <c r="BC175" s="1078"/>
      <c r="BD175" s="1078"/>
      <c r="BE175" s="1082"/>
    </row>
    <row r="176" spans="1:57" ht="15.75" customHeight="1">
      <c r="A176" s="1078"/>
      <c r="B176" s="1078"/>
      <c r="C176" s="2009"/>
      <c r="D176" s="1941"/>
      <c r="E176" s="1941"/>
      <c r="F176" s="1941"/>
      <c r="G176" s="1941"/>
      <c r="H176" s="1941"/>
      <c r="I176" s="2086"/>
      <c r="J176" s="2086"/>
      <c r="K176" s="2086"/>
      <c r="L176" s="2086"/>
      <c r="M176" s="2086"/>
      <c r="N176" s="2102"/>
      <c r="O176" s="1078"/>
      <c r="P176" s="2003"/>
      <c r="Q176" s="2004"/>
      <c r="R176" s="2004"/>
      <c r="S176" s="2004"/>
      <c r="T176" s="2004"/>
      <c r="U176" s="2004"/>
      <c r="V176" s="2004"/>
      <c r="W176" s="2004"/>
      <c r="X176" s="2004"/>
      <c r="Y176" s="2004"/>
      <c r="Z176" s="2004"/>
      <c r="AA176" s="2004"/>
      <c r="AB176" s="2004"/>
      <c r="AC176" s="2004"/>
      <c r="AD176" s="2004"/>
      <c r="AE176" s="2004"/>
      <c r="AF176" s="2004"/>
      <c r="AG176" s="2004"/>
      <c r="AH176" s="2004"/>
      <c r="AI176" s="2004"/>
      <c r="AJ176" s="2004"/>
      <c r="AK176" s="2004"/>
      <c r="AL176" s="2004"/>
      <c r="AM176" s="2004"/>
      <c r="AN176" s="2004"/>
      <c r="AO176" s="2005"/>
      <c r="AP176" s="1078"/>
      <c r="AQ176" s="1078"/>
      <c r="AR176" s="1078"/>
      <c r="AS176" s="1078"/>
      <c r="AT176" s="1078"/>
      <c r="AU176" s="1078"/>
      <c r="AV176" s="1078"/>
      <c r="AW176" s="1078"/>
      <c r="AX176" s="1078"/>
      <c r="AY176" s="1078"/>
      <c r="AZ176" s="1078"/>
      <c r="BA176" s="1078"/>
      <c r="BB176" s="1078"/>
      <c r="BC176" s="1078"/>
      <c r="BD176" s="1078"/>
      <c r="BE176" s="1082"/>
    </row>
    <row r="177" spans="1:57" ht="15.75" customHeight="1">
      <c r="A177" s="1078"/>
      <c r="B177" s="1078"/>
      <c r="C177" s="2009"/>
      <c r="D177" s="1941"/>
      <c r="E177" s="1941"/>
      <c r="F177" s="1941"/>
      <c r="G177" s="1941"/>
      <c r="H177" s="1941"/>
      <c r="I177" s="2086"/>
      <c r="J177" s="2086"/>
      <c r="K177" s="2086"/>
      <c r="L177" s="2086"/>
      <c r="M177" s="2086"/>
      <c r="N177" s="2102"/>
      <c r="O177" s="1078"/>
      <c r="P177" s="2003"/>
      <c r="Q177" s="2004"/>
      <c r="R177" s="2004"/>
      <c r="S177" s="2004"/>
      <c r="T177" s="2004"/>
      <c r="U177" s="2004"/>
      <c r="V177" s="2004"/>
      <c r="W177" s="2004"/>
      <c r="X177" s="2004"/>
      <c r="Y177" s="2004"/>
      <c r="Z177" s="2004"/>
      <c r="AA177" s="2004"/>
      <c r="AB177" s="2004"/>
      <c r="AC177" s="2004"/>
      <c r="AD177" s="2004"/>
      <c r="AE177" s="2004"/>
      <c r="AF177" s="2004"/>
      <c r="AG177" s="2004"/>
      <c r="AH177" s="2004"/>
      <c r="AI177" s="2004"/>
      <c r="AJ177" s="2004"/>
      <c r="AK177" s="2004"/>
      <c r="AL177" s="2004"/>
      <c r="AM177" s="2004"/>
      <c r="AN177" s="2004"/>
      <c r="AO177" s="2005"/>
      <c r="AP177" s="1078"/>
      <c r="AQ177" s="1078"/>
      <c r="AR177" s="1078"/>
      <c r="AS177" s="1078"/>
      <c r="AT177" s="1078"/>
      <c r="AU177" s="1078"/>
      <c r="AV177" s="1078"/>
      <c r="AW177" s="1078"/>
      <c r="AX177" s="1078"/>
      <c r="AY177" s="1078"/>
      <c r="AZ177" s="1078"/>
      <c r="BA177" s="1078"/>
      <c r="BB177" s="1078"/>
      <c r="BC177" s="1078"/>
      <c r="BD177" s="1078"/>
      <c r="BE177" s="1082"/>
    </row>
    <row r="178" spans="1:57" ht="15.75" customHeight="1">
      <c r="A178" s="1078"/>
      <c r="B178" s="1078"/>
      <c r="C178" s="2009"/>
      <c r="D178" s="1941"/>
      <c r="E178" s="1941"/>
      <c r="F178" s="1941"/>
      <c r="G178" s="1941"/>
      <c r="H178" s="1941"/>
      <c r="I178" s="2086"/>
      <c r="J178" s="2086"/>
      <c r="K178" s="2086"/>
      <c r="L178" s="2086"/>
      <c r="M178" s="2086"/>
      <c r="N178" s="2102"/>
      <c r="O178" s="1078"/>
      <c r="P178" s="2003"/>
      <c r="Q178" s="2004"/>
      <c r="R178" s="2004"/>
      <c r="S178" s="2004"/>
      <c r="T178" s="2004"/>
      <c r="U178" s="2004"/>
      <c r="V178" s="2004"/>
      <c r="W178" s="2004"/>
      <c r="X178" s="2004"/>
      <c r="Y178" s="2004"/>
      <c r="Z178" s="2004"/>
      <c r="AA178" s="2004"/>
      <c r="AB178" s="2004"/>
      <c r="AC178" s="2004"/>
      <c r="AD178" s="2004"/>
      <c r="AE178" s="2004"/>
      <c r="AF178" s="2004"/>
      <c r="AG178" s="2004"/>
      <c r="AH178" s="2004"/>
      <c r="AI178" s="2004"/>
      <c r="AJ178" s="2004"/>
      <c r="AK178" s="2004"/>
      <c r="AL178" s="2004"/>
      <c r="AM178" s="2004"/>
      <c r="AN178" s="2004"/>
      <c r="AO178" s="2005"/>
      <c r="AP178" s="1078"/>
      <c r="AQ178" s="1078"/>
      <c r="AR178" s="1078"/>
      <c r="AS178" s="1078"/>
      <c r="AT178" s="1078"/>
      <c r="AU178" s="1078"/>
      <c r="AV178" s="1078"/>
      <c r="AW178" s="1078"/>
      <c r="AX178" s="1078"/>
      <c r="AY178" s="1078"/>
      <c r="AZ178" s="1078"/>
      <c r="BA178" s="1078"/>
      <c r="BB178" s="1078"/>
      <c r="BC178" s="1078"/>
      <c r="BD178" s="1078"/>
      <c r="BE178" s="1082"/>
    </row>
    <row r="179" spans="1:57" ht="15.75" customHeight="1">
      <c r="A179" s="1078"/>
      <c r="B179" s="1078"/>
      <c r="C179" s="2009"/>
      <c r="D179" s="1941"/>
      <c r="E179" s="1941"/>
      <c r="F179" s="1941"/>
      <c r="G179" s="1941"/>
      <c r="H179" s="1941"/>
      <c r="I179" s="2086"/>
      <c r="J179" s="2086"/>
      <c r="K179" s="2086"/>
      <c r="L179" s="2086"/>
      <c r="M179" s="2086"/>
      <c r="N179" s="2102"/>
      <c r="O179" s="1078"/>
      <c r="P179" s="2003"/>
      <c r="Q179" s="2004"/>
      <c r="R179" s="2004"/>
      <c r="S179" s="2004"/>
      <c r="T179" s="2004"/>
      <c r="U179" s="2004"/>
      <c r="V179" s="2004"/>
      <c r="W179" s="2004"/>
      <c r="X179" s="2004"/>
      <c r="Y179" s="2004"/>
      <c r="Z179" s="2004"/>
      <c r="AA179" s="2004"/>
      <c r="AB179" s="2004"/>
      <c r="AC179" s="2004"/>
      <c r="AD179" s="2004"/>
      <c r="AE179" s="2004"/>
      <c r="AF179" s="2004"/>
      <c r="AG179" s="2004"/>
      <c r="AH179" s="2004"/>
      <c r="AI179" s="2004"/>
      <c r="AJ179" s="2004"/>
      <c r="AK179" s="2004"/>
      <c r="AL179" s="2004"/>
      <c r="AM179" s="2004"/>
      <c r="AN179" s="2004"/>
      <c r="AO179" s="2005"/>
      <c r="AP179" s="1078"/>
      <c r="AQ179" s="1078"/>
      <c r="AR179" s="1078"/>
      <c r="AS179" s="1078"/>
      <c r="AT179" s="1078"/>
      <c r="AU179" s="1078"/>
      <c r="AV179" s="1078"/>
      <c r="AW179" s="1078"/>
      <c r="AX179" s="1078"/>
      <c r="AY179" s="1078"/>
      <c r="AZ179" s="1078"/>
      <c r="BA179" s="1078"/>
      <c r="BB179" s="1078"/>
      <c r="BC179" s="1078"/>
      <c r="BD179" s="1078"/>
      <c r="BE179" s="1082"/>
    </row>
    <row r="180" spans="1:57" ht="15.75" customHeight="1" thickBot="1">
      <c r="A180" s="1078"/>
      <c r="B180" s="1078"/>
      <c r="C180" s="2103"/>
      <c r="D180" s="2104"/>
      <c r="E180" s="2104"/>
      <c r="F180" s="2104"/>
      <c r="G180" s="2104"/>
      <c r="H180" s="2104"/>
      <c r="I180" s="2105"/>
      <c r="J180" s="2105"/>
      <c r="K180" s="2105"/>
      <c r="L180" s="2105"/>
      <c r="M180" s="2105"/>
      <c r="N180" s="2106"/>
      <c r="O180" s="1078"/>
      <c r="P180" s="2006"/>
      <c r="Q180" s="2007"/>
      <c r="R180" s="2007"/>
      <c r="S180" s="2007"/>
      <c r="T180" s="2007"/>
      <c r="U180" s="2007"/>
      <c r="V180" s="2007"/>
      <c r="W180" s="2007"/>
      <c r="X180" s="2007"/>
      <c r="Y180" s="2007"/>
      <c r="Z180" s="2007"/>
      <c r="AA180" s="2007"/>
      <c r="AB180" s="2007"/>
      <c r="AC180" s="2007"/>
      <c r="AD180" s="2007"/>
      <c r="AE180" s="2007"/>
      <c r="AF180" s="2007"/>
      <c r="AG180" s="2007"/>
      <c r="AH180" s="2007"/>
      <c r="AI180" s="2007"/>
      <c r="AJ180" s="2007"/>
      <c r="AK180" s="2007"/>
      <c r="AL180" s="2007"/>
      <c r="AM180" s="2007"/>
      <c r="AN180" s="2007"/>
      <c r="AO180" s="2008"/>
      <c r="AP180" s="1078"/>
      <c r="AQ180" s="1078"/>
      <c r="AR180" s="1078"/>
      <c r="AS180" s="1078"/>
      <c r="AT180" s="1078"/>
      <c r="AU180" s="1078"/>
      <c r="AV180" s="1078"/>
      <c r="AW180" s="1078"/>
      <c r="AX180" s="1078"/>
      <c r="AY180" s="1078"/>
      <c r="AZ180" s="1078"/>
      <c r="BA180" s="1078"/>
      <c r="BB180" s="1078"/>
      <c r="BC180" s="1078"/>
      <c r="BD180" s="1078"/>
      <c r="BE180" s="1082"/>
    </row>
    <row r="181" spans="1:57" ht="15.75" customHeight="1" thickBot="1">
      <c r="A181" s="1078"/>
      <c r="B181" s="1078"/>
      <c r="C181" s="1078"/>
      <c r="D181" s="1078"/>
      <c r="E181" s="1078"/>
      <c r="F181" s="1078"/>
      <c r="G181" s="1078"/>
      <c r="H181" s="1078"/>
      <c r="I181" s="1078"/>
      <c r="J181" s="1078"/>
      <c r="K181" s="1078"/>
      <c r="L181" s="1078"/>
      <c r="M181" s="1078"/>
      <c r="N181" s="1078"/>
      <c r="O181" s="1078"/>
      <c r="P181" s="1078"/>
      <c r="Q181" s="1078"/>
      <c r="R181" s="1078"/>
      <c r="S181" s="1078"/>
      <c r="T181" s="1078"/>
      <c r="U181" s="1078"/>
      <c r="V181" s="1078"/>
      <c r="W181" s="1078"/>
      <c r="X181" s="1078"/>
      <c r="Y181" s="1078"/>
      <c r="Z181" s="1078"/>
      <c r="AA181" s="1078"/>
      <c r="AB181" s="1078"/>
      <c r="AC181" s="1078"/>
      <c r="AD181" s="1078"/>
      <c r="AE181" s="1078"/>
      <c r="AF181" s="1078"/>
      <c r="AG181" s="1078"/>
      <c r="AH181" s="1078"/>
      <c r="AI181" s="1078"/>
      <c r="AJ181" s="1078"/>
      <c r="AK181" s="1078"/>
      <c r="AL181" s="1078"/>
      <c r="AM181" s="1078"/>
      <c r="AN181" s="1078"/>
      <c r="AO181" s="1078"/>
      <c r="AP181" s="1078"/>
      <c r="AQ181" s="1078"/>
      <c r="AR181" s="1078"/>
      <c r="AS181" s="1078"/>
      <c r="AT181" s="1078"/>
      <c r="AU181" s="1078"/>
      <c r="AV181" s="1078"/>
      <c r="AW181" s="1078"/>
      <c r="AX181" s="1078"/>
      <c r="AY181" s="1078"/>
      <c r="AZ181" s="1078"/>
      <c r="BA181" s="1078"/>
      <c r="BB181" s="1078"/>
      <c r="BC181" s="1078"/>
      <c r="BD181" s="1078"/>
      <c r="BE181" s="1082"/>
    </row>
    <row r="182" spans="1:57" ht="15.75" customHeight="1">
      <c r="A182" s="1078"/>
      <c r="B182" s="1078"/>
      <c r="C182" s="2110" t="s">
        <v>2021</v>
      </c>
      <c r="D182" s="2111"/>
      <c r="E182" s="2111"/>
      <c r="F182" s="2111"/>
      <c r="G182" s="2111"/>
      <c r="H182" s="2111"/>
      <c r="I182" s="2111"/>
      <c r="J182" s="2111"/>
      <c r="K182" s="2111"/>
      <c r="L182" s="2111"/>
      <c r="M182" s="2111"/>
      <c r="N182" s="2111"/>
      <c r="O182" s="2111"/>
      <c r="P182" s="2111"/>
      <c r="Q182" s="2111"/>
      <c r="R182" s="2111"/>
      <c r="S182" s="2111"/>
      <c r="T182" s="2111"/>
      <c r="U182" s="2111"/>
      <c r="V182" s="2111"/>
      <c r="W182" s="2111"/>
      <c r="X182" s="2111"/>
      <c r="Y182" s="2111"/>
      <c r="Z182" s="2111"/>
      <c r="AA182" s="2111"/>
      <c r="AB182" s="2111"/>
      <c r="AC182" s="2111"/>
      <c r="AD182" s="2111"/>
      <c r="AE182" s="2112"/>
      <c r="AF182" s="1078"/>
      <c r="AG182" s="1078"/>
      <c r="AH182" s="2120"/>
      <c r="AI182" s="2120"/>
      <c r="AJ182" s="2120"/>
      <c r="AK182" s="2120"/>
      <c r="AL182" s="2120"/>
      <c r="AM182" s="2120"/>
      <c r="AN182" s="2120"/>
      <c r="AO182" s="2120"/>
      <c r="AP182" s="2120"/>
      <c r="AQ182" s="2120"/>
      <c r="AR182" s="2120"/>
      <c r="AS182" s="2120"/>
      <c r="AT182" s="2120"/>
      <c r="AU182" s="2120"/>
      <c r="AV182" s="2120"/>
      <c r="AW182" s="2120"/>
      <c r="AX182" s="2120"/>
      <c r="AY182" s="2120"/>
      <c r="AZ182" s="2120"/>
      <c r="BA182" s="2120"/>
      <c r="BB182" s="2120"/>
      <c r="BC182" s="2120"/>
      <c r="BD182" s="2120"/>
      <c r="BE182" s="2120"/>
    </row>
    <row r="183" spans="1:57" ht="15.75" customHeight="1" thickBot="1">
      <c r="A183" s="1078"/>
      <c r="B183" s="1078"/>
      <c r="C183" s="2113"/>
      <c r="D183" s="2114"/>
      <c r="E183" s="2114"/>
      <c r="F183" s="2114"/>
      <c r="G183" s="2114"/>
      <c r="H183" s="2114"/>
      <c r="I183" s="2114"/>
      <c r="J183" s="2114"/>
      <c r="K183" s="2114"/>
      <c r="L183" s="2114"/>
      <c r="M183" s="2114"/>
      <c r="N183" s="2114"/>
      <c r="O183" s="2114"/>
      <c r="P183" s="2114"/>
      <c r="Q183" s="2114"/>
      <c r="R183" s="2114"/>
      <c r="S183" s="2114"/>
      <c r="T183" s="2114"/>
      <c r="U183" s="2114"/>
      <c r="V183" s="2114"/>
      <c r="W183" s="2114"/>
      <c r="X183" s="2114"/>
      <c r="Y183" s="2114"/>
      <c r="Z183" s="2114"/>
      <c r="AA183" s="2114"/>
      <c r="AB183" s="2114"/>
      <c r="AC183" s="2114"/>
      <c r="AD183" s="2114"/>
      <c r="AE183" s="2115"/>
      <c r="AF183" s="1078"/>
      <c r="AG183" s="1078"/>
      <c r="AH183" s="2120"/>
      <c r="AI183" s="2120"/>
      <c r="AJ183" s="2120"/>
      <c r="AK183" s="2120"/>
      <c r="AL183" s="2120"/>
      <c r="AM183" s="2120"/>
      <c r="AN183" s="2120"/>
      <c r="AO183" s="2120"/>
      <c r="AP183" s="2120"/>
      <c r="AQ183" s="2120"/>
      <c r="AR183" s="2120"/>
      <c r="AS183" s="2120"/>
      <c r="AT183" s="2120"/>
      <c r="AU183" s="2120"/>
      <c r="AV183" s="2120"/>
      <c r="AW183" s="2120"/>
      <c r="AX183" s="2120"/>
      <c r="AY183" s="2120"/>
      <c r="AZ183" s="2120"/>
      <c r="BA183" s="2120"/>
      <c r="BB183" s="2120"/>
      <c r="BC183" s="2120"/>
      <c r="BD183" s="2120"/>
      <c r="BE183" s="2120"/>
    </row>
    <row r="184" spans="1:57" ht="15.75" customHeight="1">
      <c r="A184" s="1078"/>
      <c r="B184" s="1078"/>
      <c r="C184" s="1983" t="s">
        <v>2009</v>
      </c>
      <c r="D184" s="1984"/>
      <c r="E184" s="1984"/>
      <c r="F184" s="1984"/>
      <c r="G184" s="1984"/>
      <c r="H184" s="1984"/>
      <c r="I184" s="1984"/>
      <c r="J184" s="1984"/>
      <c r="K184" s="1984"/>
      <c r="L184" s="1984"/>
      <c r="M184" s="1984"/>
      <c r="N184" s="1984" t="s">
        <v>2022</v>
      </c>
      <c r="O184" s="1984"/>
      <c r="P184" s="1984"/>
      <c r="Q184" s="1984"/>
      <c r="R184" s="1984"/>
      <c r="S184" s="1984"/>
      <c r="T184" s="1984"/>
      <c r="U184" s="1935" t="s">
        <v>2009</v>
      </c>
      <c r="V184" s="1935"/>
      <c r="W184" s="1935"/>
      <c r="X184" s="1935"/>
      <c r="Y184" s="1935"/>
      <c r="Z184" s="1935"/>
      <c r="AA184" s="1935"/>
      <c r="AB184" s="1935"/>
      <c r="AC184" s="1935"/>
      <c r="AD184" s="1935"/>
      <c r="AE184" s="1936"/>
      <c r="AF184" s="1078"/>
      <c r="AG184" s="1078"/>
      <c r="AH184" s="2120"/>
      <c r="AI184" s="2120"/>
      <c r="AJ184" s="2120"/>
      <c r="AK184" s="2120"/>
      <c r="AL184" s="2120"/>
      <c r="AM184" s="2120"/>
      <c r="AN184" s="2120"/>
      <c r="AO184" s="2120"/>
      <c r="AP184" s="2120"/>
      <c r="AQ184" s="2120"/>
      <c r="AR184" s="2120"/>
      <c r="AS184" s="2120"/>
      <c r="AT184" s="2120"/>
      <c r="AU184" s="2120"/>
      <c r="AV184" s="2120"/>
      <c r="AW184" s="2120"/>
      <c r="AX184" s="2120"/>
      <c r="AY184" s="2120"/>
      <c r="AZ184" s="2120"/>
      <c r="BA184" s="2120"/>
      <c r="BB184" s="2120"/>
      <c r="BC184" s="2120"/>
      <c r="BD184" s="2120"/>
      <c r="BE184" s="2120"/>
    </row>
    <row r="185" spans="1:57" ht="15.75" customHeight="1">
      <c r="A185" s="1078"/>
      <c r="B185" s="1078"/>
      <c r="C185" s="2107" t="s">
        <v>2023</v>
      </c>
      <c r="D185" s="2108"/>
      <c r="E185" s="2108"/>
      <c r="F185" s="2108"/>
      <c r="G185" s="2108"/>
      <c r="H185" s="2108"/>
      <c r="I185" s="2108"/>
      <c r="J185" s="2108"/>
      <c r="K185" s="2108"/>
      <c r="L185" s="2108"/>
      <c r="M185" s="2108"/>
      <c r="N185" s="2109">
        <f>'Sources and Uses Budget'!B105</f>
        <v>56745149</v>
      </c>
      <c r="O185" s="2109"/>
      <c r="P185" s="2109"/>
      <c r="Q185" s="2109"/>
      <c r="R185" s="2109"/>
      <c r="S185" s="2109"/>
      <c r="T185" s="2109"/>
      <c r="U185" s="2121"/>
      <c r="V185" s="2121"/>
      <c r="W185" s="2121"/>
      <c r="X185" s="2121"/>
      <c r="Y185" s="2121"/>
      <c r="Z185" s="2121"/>
      <c r="AA185" s="2121"/>
      <c r="AB185" s="2121"/>
      <c r="AC185" s="2121"/>
      <c r="AD185" s="2121"/>
      <c r="AE185" s="2122"/>
      <c r="AF185" s="1078"/>
      <c r="AG185" s="1078"/>
      <c r="AH185" s="2120"/>
      <c r="AI185" s="2120"/>
      <c r="AJ185" s="2120"/>
      <c r="AK185" s="2120"/>
      <c r="AL185" s="2120"/>
      <c r="AM185" s="2120"/>
      <c r="AN185" s="2120"/>
      <c r="AO185" s="2120"/>
      <c r="AP185" s="2120"/>
      <c r="AQ185" s="2120"/>
      <c r="AR185" s="2120"/>
      <c r="AS185" s="2120"/>
      <c r="AT185" s="2120"/>
      <c r="AU185" s="2120"/>
      <c r="AV185" s="2120"/>
      <c r="AW185" s="2120"/>
      <c r="AX185" s="2120"/>
      <c r="AY185" s="2120"/>
      <c r="AZ185" s="2120"/>
      <c r="BA185" s="2120"/>
      <c r="BB185" s="2120"/>
      <c r="BC185" s="2120"/>
      <c r="BD185" s="2120"/>
      <c r="BE185" s="2120"/>
    </row>
    <row r="186" spans="1:57" ht="15.75" customHeight="1">
      <c r="A186" s="1078"/>
      <c r="B186" s="1078"/>
      <c r="C186" s="2107" t="s">
        <v>2024</v>
      </c>
      <c r="D186" s="2108"/>
      <c r="E186" s="2108"/>
      <c r="F186" s="2108"/>
      <c r="G186" s="2108"/>
      <c r="H186" s="2108"/>
      <c r="I186" s="2108"/>
      <c r="J186" s="2108"/>
      <c r="K186" s="2108"/>
      <c r="L186" s="2108"/>
      <c r="M186" s="2108"/>
      <c r="N186" s="2109">
        <f>N185/J29</f>
        <v>2026612.4642857143</v>
      </c>
      <c r="O186" s="2109"/>
      <c r="P186" s="2109"/>
      <c r="Q186" s="2109"/>
      <c r="R186" s="2109"/>
      <c r="S186" s="2109"/>
      <c r="T186" s="2109"/>
      <c r="U186" s="1116"/>
      <c r="V186" s="1116"/>
      <c r="W186" s="1116"/>
      <c r="X186" s="1116"/>
      <c r="Y186" s="1116"/>
      <c r="Z186" s="1116"/>
      <c r="AA186" s="1116"/>
      <c r="AB186" s="1116"/>
      <c r="AC186" s="1116"/>
      <c r="AD186" s="1116"/>
      <c r="AE186" s="1117"/>
      <c r="AF186" s="1078"/>
      <c r="AG186" s="1078"/>
      <c r="AH186" s="2120"/>
      <c r="AI186" s="2120"/>
      <c r="AJ186" s="2120"/>
      <c r="AK186" s="2120"/>
      <c r="AL186" s="2120"/>
      <c r="AM186" s="2120"/>
      <c r="AN186" s="2120"/>
      <c r="AO186" s="2120"/>
      <c r="AP186" s="2120"/>
      <c r="AQ186" s="2120"/>
      <c r="AR186" s="2120"/>
      <c r="AS186" s="2120"/>
      <c r="AT186" s="2120"/>
      <c r="AU186" s="2120"/>
      <c r="AV186" s="2120"/>
      <c r="AW186" s="2120"/>
      <c r="AX186" s="2120"/>
      <c r="AY186" s="2120"/>
      <c r="AZ186" s="2120"/>
      <c r="BA186" s="2120"/>
      <c r="BB186" s="2120"/>
      <c r="BC186" s="2120"/>
      <c r="BD186" s="2120"/>
      <c r="BE186" s="2120"/>
    </row>
    <row r="187" spans="1:57" ht="15.75" customHeight="1">
      <c r="A187" s="1078"/>
      <c r="B187" s="1078"/>
      <c r="C187" s="2123" t="s">
        <v>2025</v>
      </c>
      <c r="D187" s="2124"/>
      <c r="E187" s="2124"/>
      <c r="F187" s="2124"/>
      <c r="G187" s="2124"/>
      <c r="H187" s="2124"/>
      <c r="I187" s="2124"/>
      <c r="J187" s="2124"/>
      <c r="K187" s="2124"/>
      <c r="L187" s="2124"/>
      <c r="M187" s="2124"/>
      <c r="N187" s="1977">
        <v>0</v>
      </c>
      <c r="O187" s="1977"/>
      <c r="P187" s="1977"/>
      <c r="Q187" s="1977"/>
      <c r="R187" s="1977"/>
      <c r="S187" s="1977"/>
      <c r="T187" s="1977"/>
      <c r="U187" s="1953"/>
      <c r="V187" s="1953"/>
      <c r="W187" s="1953"/>
      <c r="X187" s="1953"/>
      <c r="Y187" s="1953"/>
      <c r="Z187" s="1953"/>
      <c r="AA187" s="1953"/>
      <c r="AB187" s="1953"/>
      <c r="AC187" s="1953"/>
      <c r="AD187" s="1953"/>
      <c r="AE187" s="1954"/>
      <c r="AF187" s="1078"/>
      <c r="AG187" s="1078"/>
      <c r="AH187" s="2120"/>
      <c r="AI187" s="2120"/>
      <c r="AJ187" s="2120"/>
      <c r="AK187" s="2120"/>
      <c r="AL187" s="2120"/>
      <c r="AM187" s="2120"/>
      <c r="AN187" s="2120"/>
      <c r="AO187" s="2120"/>
      <c r="AP187" s="2120"/>
      <c r="AQ187" s="2120"/>
      <c r="AR187" s="2120"/>
      <c r="AS187" s="2120"/>
      <c r="AT187" s="2120"/>
      <c r="AU187" s="2120"/>
      <c r="AV187" s="2120"/>
      <c r="AW187" s="2120"/>
      <c r="AX187" s="2120"/>
      <c r="AY187" s="2120"/>
      <c r="AZ187" s="2120"/>
      <c r="BA187" s="2120"/>
      <c r="BB187" s="2120"/>
      <c r="BC187" s="2120"/>
      <c r="BD187" s="2120"/>
      <c r="BE187" s="2120"/>
    </row>
    <row r="188" spans="1:57" ht="15.75" customHeight="1" thickBot="1">
      <c r="A188" s="1078"/>
      <c r="B188" s="1078"/>
      <c r="C188" s="2107" t="s">
        <v>2026</v>
      </c>
      <c r="D188" s="2108"/>
      <c r="E188" s="2108"/>
      <c r="F188" s="2108"/>
      <c r="G188" s="2108"/>
      <c r="H188" s="2108"/>
      <c r="I188" s="2108"/>
      <c r="J188" s="2108"/>
      <c r="K188" s="2108"/>
      <c r="L188" s="2108"/>
      <c r="M188" s="2108"/>
      <c r="N188" s="2125">
        <f>SUM('Sources and Uses Budget'!B85:B86)</f>
        <v>0</v>
      </c>
      <c r="O188" s="2125"/>
      <c r="P188" s="2125"/>
      <c r="Q188" s="2125"/>
      <c r="R188" s="2125"/>
      <c r="S188" s="2125"/>
      <c r="T188" s="2125"/>
      <c r="U188" s="1953"/>
      <c r="V188" s="1953"/>
      <c r="W188" s="1953"/>
      <c r="X188" s="1953"/>
      <c r="Y188" s="1953"/>
      <c r="Z188" s="1953"/>
      <c r="AA188" s="1953"/>
      <c r="AB188" s="1953"/>
      <c r="AC188" s="1953"/>
      <c r="AD188" s="1953"/>
      <c r="AE188" s="1954"/>
      <c r="AF188" s="1078"/>
      <c r="AG188" s="1078"/>
      <c r="AH188" s="2120"/>
      <c r="AI188" s="2120"/>
      <c r="AJ188" s="2120"/>
      <c r="AK188" s="2120"/>
      <c r="AL188" s="2120"/>
      <c r="AM188" s="2120"/>
      <c r="AN188" s="2120"/>
      <c r="AO188" s="2120"/>
      <c r="AP188" s="2120"/>
      <c r="AQ188" s="2120"/>
      <c r="AR188" s="2120"/>
      <c r="AS188" s="2120"/>
      <c r="AT188" s="2120"/>
      <c r="AU188" s="2120"/>
      <c r="AV188" s="2120"/>
      <c r="AW188" s="2120"/>
      <c r="AX188" s="2120"/>
      <c r="AY188" s="2120"/>
      <c r="AZ188" s="2120"/>
      <c r="BA188" s="2120"/>
      <c r="BB188" s="2120"/>
      <c r="BC188" s="2120"/>
      <c r="BD188" s="2120"/>
      <c r="BE188" s="2120"/>
    </row>
    <row r="189" spans="1:57" ht="15.75" customHeight="1" thickBot="1">
      <c r="A189" s="1078"/>
      <c r="B189" s="1078"/>
      <c r="C189" s="2107" t="s">
        <v>2027</v>
      </c>
      <c r="D189" s="2108"/>
      <c r="E189" s="2108"/>
      <c r="F189" s="2108"/>
      <c r="G189" s="2108"/>
      <c r="H189" s="2108"/>
      <c r="I189" s="2108"/>
      <c r="J189" s="2108"/>
      <c r="K189" s="2108"/>
      <c r="L189" s="2108"/>
      <c r="M189" s="2108"/>
      <c r="N189" s="2125">
        <f>'Sources and Uses Budget'!B8</f>
        <v>643000</v>
      </c>
      <c r="O189" s="2125"/>
      <c r="P189" s="2125"/>
      <c r="Q189" s="2125"/>
      <c r="R189" s="2125"/>
      <c r="S189" s="2125"/>
      <c r="T189" s="2125"/>
      <c r="U189" s="1953"/>
      <c r="V189" s="1953"/>
      <c r="W189" s="1953"/>
      <c r="X189" s="1953"/>
      <c r="Y189" s="1953"/>
      <c r="Z189" s="1953"/>
      <c r="AA189" s="1953"/>
      <c r="AB189" s="1953"/>
      <c r="AC189" s="1953"/>
      <c r="AD189" s="1953"/>
      <c r="AE189" s="1954"/>
      <c r="AF189" s="1078"/>
      <c r="AG189" s="1078"/>
      <c r="AH189" s="2129" t="s">
        <v>1409</v>
      </c>
      <c r="AI189" s="2130"/>
      <c r="AJ189" s="2130"/>
      <c r="AK189" s="2130"/>
      <c r="AL189" s="2130"/>
      <c r="AM189" s="2130"/>
      <c r="AN189" s="2130"/>
      <c r="AO189" s="2130"/>
      <c r="AP189" s="2130"/>
      <c r="AQ189" s="2130"/>
      <c r="AR189" s="2130"/>
      <c r="AS189" s="2130"/>
      <c r="AT189" s="2130"/>
      <c r="AU189" s="2130"/>
      <c r="AV189" s="2130"/>
      <c r="AW189" s="2130"/>
      <c r="AX189" s="2130"/>
      <c r="AY189" s="2130"/>
      <c r="AZ189" s="2130"/>
      <c r="BA189" s="2130"/>
      <c r="BB189" s="2130"/>
      <c r="BC189" s="2130"/>
      <c r="BD189" s="2130"/>
      <c r="BE189" s="2131"/>
    </row>
    <row r="190" spans="1:57" ht="15.75" customHeight="1">
      <c r="A190" s="1078"/>
      <c r="B190" s="1078"/>
      <c r="C190" s="2107" t="s">
        <v>2028</v>
      </c>
      <c r="D190" s="2108"/>
      <c r="E190" s="2108"/>
      <c r="F190" s="2108"/>
      <c r="G190" s="2108"/>
      <c r="H190" s="2108"/>
      <c r="I190" s="2108"/>
      <c r="J190" s="2108"/>
      <c r="K190" s="2108"/>
      <c r="L190" s="2108"/>
      <c r="M190" s="2108"/>
      <c r="N190" s="2116">
        <v>0</v>
      </c>
      <c r="O190" s="2116"/>
      <c r="P190" s="2116"/>
      <c r="Q190" s="2116"/>
      <c r="R190" s="2116"/>
      <c r="S190" s="2116"/>
      <c r="T190" s="2116"/>
      <c r="U190" s="1953"/>
      <c r="V190" s="1953"/>
      <c r="W190" s="1953"/>
      <c r="X190" s="1953"/>
      <c r="Y190" s="1953"/>
      <c r="Z190" s="1953"/>
      <c r="AA190" s="1953"/>
      <c r="AB190" s="1953"/>
      <c r="AC190" s="1953"/>
      <c r="AD190" s="1953"/>
      <c r="AE190" s="1954"/>
      <c r="AF190" s="1078"/>
      <c r="AG190" s="1078"/>
      <c r="AH190" s="2132" t="s">
        <v>1409</v>
      </c>
      <c r="AI190" s="2133"/>
      <c r="AJ190" s="2133"/>
      <c r="AK190" s="2133"/>
      <c r="AL190" s="2133"/>
      <c r="AM190" s="2133"/>
      <c r="AN190" s="2133"/>
      <c r="AO190" s="2133"/>
      <c r="AP190" s="2133"/>
      <c r="AQ190" s="2133"/>
      <c r="AR190" s="2133"/>
      <c r="AS190" s="2133"/>
      <c r="AT190" s="2133"/>
      <c r="AU190" s="2134">
        <v>0</v>
      </c>
      <c r="AV190" s="2134"/>
      <c r="AW190" s="2134"/>
      <c r="AX190" s="2134"/>
      <c r="AY190" s="2134"/>
      <c r="AZ190" s="2134"/>
      <c r="BA190" s="2134"/>
      <c r="BB190" s="2134"/>
      <c r="BC190" s="2135"/>
      <c r="BD190" s="2136"/>
      <c r="BE190" s="2137"/>
    </row>
    <row r="191" spans="1:57" ht="15.75" customHeight="1">
      <c r="A191" s="1078"/>
      <c r="B191" s="1078"/>
      <c r="C191" s="2107" t="s">
        <v>2029</v>
      </c>
      <c r="D191" s="2108"/>
      <c r="E191" s="2108"/>
      <c r="F191" s="2108"/>
      <c r="G191" s="2108"/>
      <c r="H191" s="2108"/>
      <c r="I191" s="2108"/>
      <c r="J191" s="2108"/>
      <c r="K191" s="2108"/>
      <c r="L191" s="2108"/>
      <c r="M191" s="2108"/>
      <c r="N191" s="2116">
        <v>0</v>
      </c>
      <c r="O191" s="2116"/>
      <c r="P191" s="2116"/>
      <c r="Q191" s="2116"/>
      <c r="R191" s="2116"/>
      <c r="S191" s="2116"/>
      <c r="T191" s="2116"/>
      <c r="U191" s="1953"/>
      <c r="V191" s="1953"/>
      <c r="W191" s="1953"/>
      <c r="X191" s="1953"/>
      <c r="Y191" s="1953"/>
      <c r="Z191" s="1953"/>
      <c r="AA191" s="1953"/>
      <c r="AB191" s="1953"/>
      <c r="AC191" s="1953"/>
      <c r="AD191" s="1953"/>
      <c r="AE191" s="1954"/>
      <c r="AF191" s="1078"/>
      <c r="AG191" s="1078"/>
      <c r="AH191" s="2117" t="s">
        <v>2030</v>
      </c>
      <c r="AI191" s="2118"/>
      <c r="AJ191" s="2118"/>
      <c r="AK191" s="2118"/>
      <c r="AL191" s="2118"/>
      <c r="AM191" s="2118"/>
      <c r="AN191" s="2118"/>
      <c r="AO191" s="2118"/>
      <c r="AP191" s="2118"/>
      <c r="AQ191" s="2118"/>
      <c r="AR191" s="2118"/>
      <c r="AS191" s="2118"/>
      <c r="AT191" s="2118"/>
      <c r="AU191" s="2119"/>
      <c r="AV191" s="2119"/>
      <c r="AW191" s="2119"/>
      <c r="AX191" s="2119"/>
      <c r="AY191" s="2119"/>
      <c r="AZ191" s="2119"/>
      <c r="BA191" s="2119"/>
      <c r="BB191" s="2119"/>
      <c r="BC191" s="2126"/>
      <c r="BD191" s="2127"/>
      <c r="BE191" s="2128"/>
    </row>
    <row r="192" spans="1:57" ht="15.75" customHeight="1">
      <c r="A192" s="1078"/>
      <c r="B192" s="1078"/>
      <c r="C192" s="2142" t="s">
        <v>1050</v>
      </c>
      <c r="D192" s="2085"/>
      <c r="E192" s="2138" t="s">
        <v>2016</v>
      </c>
      <c r="F192" s="2138"/>
      <c r="G192" s="2138"/>
      <c r="H192" s="2138"/>
      <c r="I192" s="2138"/>
      <c r="J192" s="2138"/>
      <c r="K192" s="2138"/>
      <c r="L192" s="2138"/>
      <c r="M192" s="2138"/>
      <c r="N192" s="2116">
        <v>0</v>
      </c>
      <c r="O192" s="2116"/>
      <c r="P192" s="2116"/>
      <c r="Q192" s="2116"/>
      <c r="R192" s="2116"/>
      <c r="S192" s="2116"/>
      <c r="T192" s="2116"/>
      <c r="U192" s="1953"/>
      <c r="V192" s="1953"/>
      <c r="W192" s="1953"/>
      <c r="X192" s="1953"/>
      <c r="Y192" s="1953"/>
      <c r="Z192" s="1953"/>
      <c r="AA192" s="1953"/>
      <c r="AB192" s="1953"/>
      <c r="AC192" s="1953"/>
      <c r="AD192" s="1953"/>
      <c r="AE192" s="1954"/>
      <c r="AF192" s="1078"/>
      <c r="AG192" s="1078"/>
      <c r="AH192" s="2143" t="s">
        <v>2031</v>
      </c>
      <c r="AI192" s="2144"/>
      <c r="AJ192" s="2144"/>
      <c r="AK192" s="2144"/>
      <c r="AL192" s="2144"/>
      <c r="AM192" s="2144"/>
      <c r="AN192" s="2144"/>
      <c r="AO192" s="2144"/>
      <c r="AP192" s="2144"/>
      <c r="AQ192" s="2144"/>
      <c r="AR192" s="2144"/>
      <c r="AS192" s="2144"/>
      <c r="AT192" s="2144"/>
      <c r="AU192" s="2145">
        <f>SUM(AU190:BB191)</f>
        <v>0</v>
      </c>
      <c r="AV192" s="2145"/>
      <c r="AW192" s="2145"/>
      <c r="AX192" s="2145"/>
      <c r="AY192" s="2145"/>
      <c r="AZ192" s="2145"/>
      <c r="BA192" s="2145"/>
      <c r="BB192" s="2145"/>
      <c r="BC192" s="2126"/>
      <c r="BD192" s="2127"/>
      <c r="BE192" s="2128"/>
    </row>
    <row r="193" spans="1:57" ht="15.75" customHeight="1" thickBot="1">
      <c r="A193" s="1078"/>
      <c r="B193" s="1078"/>
      <c r="C193" s="2009" t="s">
        <v>1050</v>
      </c>
      <c r="D193" s="1941"/>
      <c r="E193" s="2138" t="s">
        <v>2016</v>
      </c>
      <c r="F193" s="2138"/>
      <c r="G193" s="2138"/>
      <c r="H193" s="2138"/>
      <c r="I193" s="2138"/>
      <c r="J193" s="2138"/>
      <c r="K193" s="2138"/>
      <c r="L193" s="2138"/>
      <c r="M193" s="2138"/>
      <c r="N193" s="2116">
        <v>0</v>
      </c>
      <c r="O193" s="2116"/>
      <c r="P193" s="2116"/>
      <c r="Q193" s="2116"/>
      <c r="R193" s="2116"/>
      <c r="S193" s="2116"/>
      <c r="T193" s="2116"/>
      <c r="U193" s="1953"/>
      <c r="V193" s="1953"/>
      <c r="W193" s="1953"/>
      <c r="X193" s="1953"/>
      <c r="Y193" s="1953"/>
      <c r="Z193" s="1953"/>
      <c r="AA193" s="1953"/>
      <c r="AB193" s="1953"/>
      <c r="AC193" s="1953"/>
      <c r="AD193" s="1953"/>
      <c r="AE193" s="1954"/>
      <c r="AF193" s="1078"/>
      <c r="AG193" s="1078"/>
      <c r="AH193" s="1118"/>
      <c r="AI193" s="1119"/>
      <c r="AJ193" s="1119"/>
      <c r="AK193" s="1119"/>
      <c r="AL193" s="1119"/>
      <c r="AM193" s="1119"/>
      <c r="AN193" s="1119"/>
      <c r="AO193" s="1119"/>
      <c r="AP193" s="1119"/>
      <c r="AQ193" s="1119"/>
      <c r="AR193" s="1119"/>
      <c r="AS193" s="1119"/>
      <c r="AT193" s="1119"/>
      <c r="AU193" s="1119"/>
      <c r="AV193" s="1119"/>
      <c r="AW193" s="1119"/>
      <c r="AX193" s="1119"/>
      <c r="AY193" s="1119"/>
      <c r="AZ193" s="1119"/>
      <c r="BA193" s="1119"/>
      <c r="BB193" s="1119"/>
      <c r="BC193" s="2139"/>
      <c r="BD193" s="2140"/>
      <c r="BE193" s="2141"/>
    </row>
    <row r="194" spans="1:57" ht="15.75" customHeight="1" thickBot="1">
      <c r="A194" s="1078"/>
      <c r="B194" s="1078"/>
      <c r="C194" s="2163" t="s">
        <v>1050</v>
      </c>
      <c r="D194" s="2164"/>
      <c r="E194" s="2165" t="s">
        <v>2016</v>
      </c>
      <c r="F194" s="2165"/>
      <c r="G194" s="2165"/>
      <c r="H194" s="2165"/>
      <c r="I194" s="2165"/>
      <c r="J194" s="2165"/>
      <c r="K194" s="2165"/>
      <c r="L194" s="2165"/>
      <c r="M194" s="2166"/>
      <c r="N194" s="2167">
        <v>0</v>
      </c>
      <c r="O194" s="2167"/>
      <c r="P194" s="2167"/>
      <c r="Q194" s="2167"/>
      <c r="R194" s="2167"/>
      <c r="S194" s="2167"/>
      <c r="T194" s="2168"/>
      <c r="U194" s="2169"/>
      <c r="V194" s="2170"/>
      <c r="W194" s="2170"/>
      <c r="X194" s="2170"/>
      <c r="Y194" s="2170"/>
      <c r="Z194" s="2170"/>
      <c r="AA194" s="2170"/>
      <c r="AB194" s="2170"/>
      <c r="AC194" s="2170"/>
      <c r="AD194" s="2170"/>
      <c r="AE194" s="2171"/>
      <c r="AF194" s="1078"/>
      <c r="AG194" s="1078"/>
      <c r="AH194" s="2172" t="s">
        <v>2032</v>
      </c>
      <c r="AI194" s="2173"/>
      <c r="AJ194" s="2173"/>
      <c r="AK194" s="2173"/>
      <c r="AL194" s="2173"/>
      <c r="AM194" s="2173"/>
      <c r="AN194" s="2173"/>
      <c r="AO194" s="2173"/>
      <c r="AP194" s="2173"/>
      <c r="AQ194" s="2173"/>
      <c r="AR194" s="2173"/>
      <c r="AS194" s="2173"/>
      <c r="AT194" s="2173"/>
      <c r="AU194" s="2174"/>
      <c r="AV194" s="2174"/>
      <c r="AW194" s="2174"/>
      <c r="AX194" s="2174"/>
      <c r="AY194" s="2174"/>
      <c r="AZ194" s="2174"/>
      <c r="BA194" s="2174"/>
      <c r="BB194" s="2174"/>
      <c r="BC194" s="1059"/>
      <c r="BD194" s="1059"/>
      <c r="BE194" s="1120"/>
    </row>
    <row r="195" spans="1:57" ht="15.75" customHeight="1">
      <c r="A195" s="1078"/>
      <c r="B195" s="1078"/>
      <c r="C195" s="2146" t="s">
        <v>2033</v>
      </c>
      <c r="D195" s="2147"/>
      <c r="E195" s="2147"/>
      <c r="F195" s="2147"/>
      <c r="G195" s="2147"/>
      <c r="H195" s="2147"/>
      <c r="I195" s="2147"/>
      <c r="J195" s="2147"/>
      <c r="K195" s="2147"/>
      <c r="L195" s="2147"/>
      <c r="M195" s="2147"/>
      <c r="N195" s="2148">
        <f>SUM(N187:T194)</f>
        <v>643000</v>
      </c>
      <c r="O195" s="2148"/>
      <c r="P195" s="2148"/>
      <c r="Q195" s="2148"/>
      <c r="R195" s="2148"/>
      <c r="S195" s="2148"/>
      <c r="T195" s="2149"/>
      <c r="U195" s="1078"/>
      <c r="V195" s="1078"/>
      <c r="W195" s="1078"/>
      <c r="X195" s="1078"/>
      <c r="Y195" s="1078"/>
      <c r="Z195" s="1078"/>
      <c r="AA195" s="1078"/>
      <c r="AB195" s="1078"/>
      <c r="AC195" s="1078"/>
      <c r="AD195" s="1078"/>
      <c r="AE195" s="1078"/>
      <c r="AF195" s="1078"/>
      <c r="AG195" s="1078"/>
      <c r="AH195" s="2150" t="s">
        <v>2034</v>
      </c>
      <c r="AI195" s="2151"/>
      <c r="AJ195" s="2151"/>
      <c r="AK195" s="2151"/>
      <c r="AL195" s="2151"/>
      <c r="AM195" s="2151"/>
      <c r="AN195" s="2151"/>
      <c r="AO195" s="2151"/>
      <c r="AP195" s="2151"/>
      <c r="AQ195" s="2151"/>
      <c r="AR195" s="2151"/>
      <c r="AS195" s="2151"/>
      <c r="AT195" s="2151"/>
      <c r="AU195" s="2151"/>
      <c r="AV195" s="2151"/>
      <c r="AW195" s="2151"/>
      <c r="AX195" s="2151"/>
      <c r="AY195" s="2151"/>
      <c r="AZ195" s="2151"/>
      <c r="BA195" s="2151"/>
      <c r="BB195" s="2151"/>
      <c r="BC195" s="2151"/>
      <c r="BD195" s="2151"/>
      <c r="BE195" s="2152"/>
    </row>
    <row r="196" spans="1:57" ht="15.75" customHeight="1" thickBot="1">
      <c r="A196" s="1078"/>
      <c r="B196" s="1078"/>
      <c r="C196" s="2156" t="s">
        <v>2035</v>
      </c>
      <c r="D196" s="2157"/>
      <c r="E196" s="2157"/>
      <c r="F196" s="2157"/>
      <c r="G196" s="2157"/>
      <c r="H196" s="2157"/>
      <c r="I196" s="2157"/>
      <c r="J196" s="2157"/>
      <c r="K196" s="2157"/>
      <c r="L196" s="2157"/>
      <c r="M196" s="2157"/>
      <c r="N196" s="2158">
        <f>(N185-N195)/J29</f>
        <v>2003648.1785714286</v>
      </c>
      <c r="O196" s="2159"/>
      <c r="P196" s="2159"/>
      <c r="Q196" s="2159"/>
      <c r="R196" s="2159"/>
      <c r="S196" s="2159"/>
      <c r="T196" s="2160"/>
      <c r="U196" s="1083"/>
      <c r="V196" s="1078"/>
      <c r="W196" s="1078"/>
      <c r="X196" s="1078"/>
      <c r="Y196" s="1078"/>
      <c r="Z196" s="1078"/>
      <c r="AA196" s="1078"/>
      <c r="AB196" s="1078"/>
      <c r="AC196" s="1078"/>
      <c r="AD196" s="1078"/>
      <c r="AE196" s="1078"/>
      <c r="AF196" s="1078"/>
      <c r="AG196" s="1078"/>
      <c r="AH196" s="2153"/>
      <c r="AI196" s="2154"/>
      <c r="AJ196" s="2154"/>
      <c r="AK196" s="2154"/>
      <c r="AL196" s="2154"/>
      <c r="AM196" s="2154"/>
      <c r="AN196" s="2154"/>
      <c r="AO196" s="2154"/>
      <c r="AP196" s="2154"/>
      <c r="AQ196" s="2154"/>
      <c r="AR196" s="2154"/>
      <c r="AS196" s="2154"/>
      <c r="AT196" s="2154"/>
      <c r="AU196" s="2154"/>
      <c r="AV196" s="2154"/>
      <c r="AW196" s="2154"/>
      <c r="AX196" s="2154"/>
      <c r="AY196" s="2154"/>
      <c r="AZ196" s="2154"/>
      <c r="BA196" s="2154"/>
      <c r="BB196" s="2154"/>
      <c r="BC196" s="2154"/>
      <c r="BD196" s="2154"/>
      <c r="BE196" s="2155"/>
    </row>
    <row r="197" spans="1:57" ht="15.75" customHeight="1">
      <c r="A197" s="1078"/>
      <c r="B197" s="1078"/>
      <c r="C197" s="1078"/>
      <c r="D197" s="1078"/>
      <c r="E197" s="1078"/>
      <c r="F197" s="1078"/>
      <c r="G197" s="1078"/>
      <c r="H197" s="1078"/>
      <c r="I197" s="1078"/>
      <c r="J197" s="1078"/>
      <c r="K197" s="1078"/>
      <c r="L197" s="1078"/>
      <c r="M197" s="1078"/>
      <c r="N197" s="1078"/>
      <c r="O197" s="1078"/>
      <c r="P197" s="1078"/>
      <c r="Q197" s="1078"/>
      <c r="R197" s="1078"/>
      <c r="S197" s="1078"/>
      <c r="T197" s="1078"/>
      <c r="U197" s="1078"/>
      <c r="V197" s="1078"/>
      <c r="W197" s="1078"/>
      <c r="X197" s="1078"/>
      <c r="Y197" s="1078"/>
      <c r="Z197" s="1078"/>
      <c r="AA197" s="1078"/>
      <c r="AB197" s="1078"/>
      <c r="AC197" s="1078"/>
      <c r="AD197" s="1078"/>
      <c r="AE197" s="1078"/>
      <c r="AF197" s="1078"/>
      <c r="AG197" s="1078"/>
      <c r="AH197" s="2161"/>
      <c r="AI197" s="2161"/>
      <c r="AJ197" s="2161"/>
      <c r="AK197" s="2161"/>
      <c r="AL197" s="2161"/>
      <c r="AM197" s="2161"/>
      <c r="AN197" s="2161"/>
      <c r="AO197" s="2161"/>
      <c r="AP197" s="2161"/>
      <c r="AQ197" s="2161"/>
      <c r="AR197" s="2161"/>
      <c r="AS197" s="2162"/>
      <c r="AT197" s="2162"/>
      <c r="AU197" s="2162"/>
      <c r="AV197" s="2162"/>
      <c r="AW197" s="2162"/>
      <c r="AX197" s="2162"/>
      <c r="AY197" s="2162"/>
      <c r="AZ197" s="2162"/>
      <c r="BA197" s="2162"/>
      <c r="BB197" s="2162"/>
      <c r="BC197" s="2162"/>
      <c r="BD197" s="2162"/>
      <c r="BE197" s="1082"/>
    </row>
    <row r="198" spans="1:57" ht="15.75" customHeight="1" thickBot="1">
      <c r="A198" s="1078"/>
      <c r="B198" s="1078"/>
      <c r="C198" s="1078"/>
      <c r="D198" s="1078"/>
      <c r="E198" s="1078"/>
      <c r="F198" s="1078"/>
      <c r="G198" s="1078"/>
      <c r="H198" s="1078"/>
      <c r="I198" s="1078"/>
      <c r="J198" s="1078"/>
      <c r="K198" s="1078"/>
      <c r="L198" s="1078"/>
      <c r="M198" s="1078"/>
      <c r="N198" s="1078"/>
      <c r="O198" s="1078"/>
      <c r="P198" s="1078"/>
      <c r="Q198" s="1078"/>
      <c r="R198" s="1078"/>
      <c r="S198" s="1078"/>
      <c r="T198" s="1078"/>
      <c r="U198" s="1078"/>
      <c r="V198" s="1078"/>
      <c r="W198" s="1078"/>
      <c r="X198" s="1078"/>
      <c r="Y198" s="1078"/>
      <c r="Z198" s="1078"/>
      <c r="AA198" s="1078"/>
      <c r="AB198" s="1078"/>
      <c r="AC198" s="1078"/>
      <c r="AD198" s="1078"/>
      <c r="AE198" s="1078"/>
      <c r="AF198" s="1078"/>
      <c r="AG198" s="1078"/>
      <c r="AH198" s="1078"/>
      <c r="AI198" s="1078"/>
      <c r="AJ198" s="1078"/>
      <c r="AK198" s="1078"/>
      <c r="AL198" s="1078"/>
      <c r="AM198" s="1078"/>
      <c r="AN198" s="1078"/>
      <c r="AO198" s="1078"/>
      <c r="AP198" s="1078"/>
      <c r="AQ198" s="1078"/>
      <c r="AR198" s="1078"/>
      <c r="AS198" s="1078"/>
      <c r="AT198" s="1078"/>
      <c r="AU198" s="1078"/>
      <c r="AV198" s="1078"/>
      <c r="AW198" s="1078"/>
      <c r="AX198" s="1078"/>
      <c r="AY198" s="1078"/>
      <c r="AZ198" s="1078"/>
      <c r="BA198" s="1078"/>
      <c r="BB198" s="1078"/>
      <c r="BC198" s="1078"/>
      <c r="BD198" s="1078"/>
      <c r="BE198" s="1082"/>
    </row>
    <row r="199" spans="1:57" ht="15.75" customHeight="1" thickBot="1">
      <c r="A199" s="1078"/>
      <c r="B199" s="1078"/>
      <c r="C199" s="2180" t="s">
        <v>2036</v>
      </c>
      <c r="D199" s="2181"/>
      <c r="E199" s="2181"/>
      <c r="F199" s="2181"/>
      <c r="G199" s="2181"/>
      <c r="H199" s="2181"/>
      <c r="I199" s="2181"/>
      <c r="J199" s="2181"/>
      <c r="K199" s="2181"/>
      <c r="L199" s="2181"/>
      <c r="M199" s="2181"/>
      <c r="N199" s="2181"/>
      <c r="O199" s="2181"/>
      <c r="P199" s="2181"/>
      <c r="Q199" s="2181"/>
      <c r="R199" s="2181"/>
      <c r="S199" s="2181"/>
      <c r="T199" s="2181"/>
      <c r="U199" s="2181"/>
      <c r="V199" s="2181"/>
      <c r="W199" s="2181"/>
      <c r="X199" s="2181"/>
      <c r="Y199" s="2181"/>
      <c r="Z199" s="2181"/>
      <c r="AA199" s="2181"/>
      <c r="AB199" s="2181"/>
      <c r="AC199" s="2181"/>
      <c r="AD199" s="2181"/>
      <c r="AE199" s="2182"/>
      <c r="AF199" s="1078"/>
      <c r="AG199" s="1078"/>
      <c r="AH199" s="1078"/>
      <c r="AI199" s="1078"/>
      <c r="AJ199" s="1078"/>
      <c r="AK199" s="1078"/>
      <c r="AL199" s="1078"/>
      <c r="AM199" s="1078"/>
      <c r="AN199" s="1078"/>
      <c r="AO199" s="1078"/>
      <c r="AP199" s="1078"/>
      <c r="AQ199" s="1078"/>
      <c r="AR199" s="1078"/>
      <c r="AS199" s="1078"/>
      <c r="AT199" s="1078"/>
      <c r="AU199" s="1078"/>
      <c r="AV199" s="1078"/>
      <c r="AW199" s="1078"/>
      <c r="AX199" s="1078"/>
      <c r="AY199" s="1078"/>
      <c r="AZ199" s="1078"/>
      <c r="BA199" s="1078"/>
      <c r="BB199" s="1078"/>
      <c r="BC199" s="1078"/>
      <c r="BD199" s="1078"/>
      <c r="BE199" s="1082"/>
    </row>
    <row r="200" spans="1:57" ht="15.75" customHeight="1">
      <c r="A200" s="1078"/>
      <c r="B200" s="1078"/>
      <c r="C200" s="2183" t="s">
        <v>2037</v>
      </c>
      <c r="D200" s="2183"/>
      <c r="E200" s="2183"/>
      <c r="F200" s="2183"/>
      <c r="G200" s="2183"/>
      <c r="H200" s="2183"/>
      <c r="I200" s="2183"/>
      <c r="J200" s="2183"/>
      <c r="K200" s="2183"/>
      <c r="L200" s="2183"/>
      <c r="M200" s="2183"/>
      <c r="N200" s="2183"/>
      <c r="O200" s="2184" t="s">
        <v>2038</v>
      </c>
      <c r="P200" s="2184"/>
      <c r="Q200" s="2184"/>
      <c r="R200" s="2184"/>
      <c r="S200" s="2184"/>
      <c r="T200" s="2184"/>
      <c r="U200" s="2184"/>
      <c r="V200" s="2184"/>
      <c r="W200" s="2184"/>
      <c r="X200" s="2184" t="s">
        <v>2039</v>
      </c>
      <c r="Y200" s="2184"/>
      <c r="Z200" s="2184"/>
      <c r="AA200" s="2184"/>
      <c r="AB200" s="2184"/>
      <c r="AC200" s="2184"/>
      <c r="AD200" s="2184"/>
      <c r="AE200" s="2184"/>
      <c r="AF200" s="1078"/>
      <c r="AG200" s="1078"/>
      <c r="AH200" s="1078"/>
      <c r="AI200" s="1078"/>
      <c r="AJ200" s="1078"/>
      <c r="AK200" s="1078"/>
      <c r="AL200" s="1078"/>
      <c r="AM200" s="1078"/>
      <c r="AN200" s="1078"/>
      <c r="AO200" s="1078"/>
      <c r="AP200" s="1078"/>
      <c r="AQ200" s="1078"/>
      <c r="AR200" s="1078"/>
      <c r="AS200" s="1078"/>
      <c r="AT200" s="1078"/>
      <c r="AU200" s="1078"/>
      <c r="AV200" s="1078"/>
      <c r="AW200" s="1078"/>
      <c r="AX200" s="1078"/>
      <c r="AY200" s="1078"/>
      <c r="AZ200" s="1078"/>
      <c r="BA200" s="1078"/>
      <c r="BB200" s="1078"/>
      <c r="BC200" s="1078"/>
      <c r="BD200" s="1078"/>
      <c r="BE200" s="1082"/>
    </row>
    <row r="201" spans="1:57" ht="15.75" customHeight="1">
      <c r="A201" s="1078"/>
      <c r="B201" s="1078"/>
      <c r="C201" s="2175" t="s">
        <v>2040</v>
      </c>
      <c r="D201" s="2175"/>
      <c r="E201" s="2175"/>
      <c r="F201" s="2175"/>
      <c r="G201" s="2175"/>
      <c r="H201" s="2175"/>
      <c r="I201" s="2175"/>
      <c r="J201" s="2175"/>
      <c r="K201" s="2175"/>
      <c r="L201" s="2175"/>
      <c r="M201" s="2175"/>
      <c r="N201" s="2175"/>
      <c r="O201" s="2176" t="s">
        <v>2041</v>
      </c>
      <c r="P201" s="2176"/>
      <c r="Q201" s="2176"/>
      <c r="R201" s="2176"/>
      <c r="S201" s="2176"/>
      <c r="T201" s="2176"/>
      <c r="U201" s="2176"/>
      <c r="V201" s="2176"/>
      <c r="W201" s="2176"/>
      <c r="X201" s="2177">
        <v>0.03</v>
      </c>
      <c r="Y201" s="2177"/>
      <c r="Z201" s="2177"/>
      <c r="AA201" s="2177"/>
      <c r="AB201" s="2177"/>
      <c r="AC201" s="2177"/>
      <c r="AD201" s="2177"/>
      <c r="AE201" s="2177"/>
      <c r="AF201" s="1078"/>
      <c r="AG201" s="1078"/>
      <c r="AH201" s="1078"/>
      <c r="AI201" s="1078"/>
      <c r="AJ201" s="1078"/>
      <c r="AK201" s="1078"/>
      <c r="AL201" s="1078"/>
      <c r="AM201" s="1078"/>
      <c r="AN201" s="1078"/>
      <c r="AO201" s="1078"/>
      <c r="AP201" s="1078"/>
      <c r="AQ201" s="1078"/>
      <c r="AR201" s="1078"/>
      <c r="AS201" s="1078"/>
      <c r="AT201" s="1078"/>
      <c r="AU201" s="1078"/>
      <c r="AV201" s="1078"/>
      <c r="AW201" s="1078"/>
      <c r="AX201" s="1078"/>
      <c r="AY201" s="1078"/>
      <c r="AZ201" s="1078"/>
      <c r="BA201" s="1078"/>
      <c r="BB201" s="1078"/>
      <c r="BC201" s="1078"/>
      <c r="BD201" s="1078"/>
      <c r="BE201" s="1082"/>
    </row>
    <row r="202" spans="1:57" ht="15.75" customHeight="1">
      <c r="A202" s="1078"/>
      <c r="B202" s="1078"/>
      <c r="C202" s="2175" t="s">
        <v>2042</v>
      </c>
      <c r="D202" s="2175"/>
      <c r="E202" s="2175"/>
      <c r="F202" s="2175"/>
      <c r="G202" s="2175"/>
      <c r="H202" s="2175"/>
      <c r="I202" s="2175"/>
      <c r="J202" s="2175"/>
      <c r="K202" s="2175"/>
      <c r="L202" s="2175"/>
      <c r="M202" s="2175"/>
      <c r="N202" s="2175"/>
      <c r="O202" s="2176" t="s">
        <v>2041</v>
      </c>
      <c r="P202" s="2176"/>
      <c r="Q202" s="2176"/>
      <c r="R202" s="2176"/>
      <c r="S202" s="2176"/>
      <c r="T202" s="2176"/>
      <c r="U202" s="2176"/>
      <c r="V202" s="2176"/>
      <c r="W202" s="2176"/>
      <c r="X202" s="2177">
        <v>0.03</v>
      </c>
      <c r="Y202" s="2177"/>
      <c r="Z202" s="2177"/>
      <c r="AA202" s="2177"/>
      <c r="AB202" s="2177"/>
      <c r="AC202" s="2177"/>
      <c r="AD202" s="2177"/>
      <c r="AE202" s="2177"/>
      <c r="AF202" s="1078"/>
      <c r="AG202" s="1078"/>
      <c r="AH202" s="1078"/>
      <c r="AI202" s="1078"/>
      <c r="AJ202" s="1078"/>
      <c r="AK202" s="1078"/>
      <c r="AL202" s="1078"/>
      <c r="AM202" s="1078"/>
      <c r="AN202" s="1078"/>
      <c r="AO202" s="1078"/>
      <c r="AP202" s="1078"/>
      <c r="AQ202" s="1078"/>
      <c r="AR202" s="1078"/>
      <c r="AS202" s="1078"/>
      <c r="AT202" s="1078"/>
      <c r="AU202" s="1078"/>
      <c r="AV202" s="1078"/>
      <c r="AW202" s="1078"/>
      <c r="AX202" s="1078"/>
      <c r="AY202" s="1078"/>
      <c r="AZ202" s="1078"/>
      <c r="BA202" s="1078"/>
      <c r="BB202" s="1078"/>
      <c r="BC202" s="1078"/>
      <c r="BD202" s="1078"/>
      <c r="BE202" s="1082"/>
    </row>
    <row r="203" spans="1:57" ht="15.75" customHeight="1">
      <c r="A203" s="1078"/>
      <c r="B203" s="1078"/>
      <c r="C203" s="2175" t="s">
        <v>2043</v>
      </c>
      <c r="D203" s="2175"/>
      <c r="E203" s="2175"/>
      <c r="F203" s="2175"/>
      <c r="G203" s="2175"/>
      <c r="H203" s="2175"/>
      <c r="I203" s="2175"/>
      <c r="J203" s="2175"/>
      <c r="K203" s="2175"/>
      <c r="L203" s="2175"/>
      <c r="M203" s="2175"/>
      <c r="N203" s="2175"/>
      <c r="O203" s="2178">
        <f>SUM(O201:W202)</f>
        <v>0</v>
      </c>
      <c r="P203" s="2179"/>
      <c r="Q203" s="2179"/>
      <c r="R203" s="2179"/>
      <c r="S203" s="2179"/>
      <c r="T203" s="2179"/>
      <c r="U203" s="2179"/>
      <c r="V203" s="2179"/>
      <c r="W203" s="2179"/>
      <c r="X203" s="2179" t="s">
        <v>2044</v>
      </c>
      <c r="Y203" s="2179"/>
      <c r="Z203" s="2179"/>
      <c r="AA203" s="2179"/>
      <c r="AB203" s="2179"/>
      <c r="AC203" s="2179"/>
      <c r="AD203" s="2179"/>
      <c r="AE203" s="2179"/>
      <c r="AF203" s="1078"/>
      <c r="AG203" s="1078"/>
      <c r="AH203" s="1078"/>
      <c r="AI203" s="1078"/>
      <c r="AJ203" s="1078"/>
      <c r="AK203" s="1078"/>
      <c r="AL203" s="1078"/>
      <c r="AM203" s="1078"/>
      <c r="AN203" s="1078"/>
      <c r="AO203" s="1078"/>
      <c r="AP203" s="1078"/>
      <c r="AQ203" s="1078"/>
      <c r="AR203" s="1078"/>
      <c r="AS203" s="1078"/>
      <c r="AT203" s="1078"/>
      <c r="AU203" s="1078"/>
      <c r="AV203" s="1078"/>
      <c r="AW203" s="1078"/>
      <c r="AX203" s="1078"/>
      <c r="AY203" s="1078"/>
      <c r="AZ203" s="1078"/>
      <c r="BA203" s="1078"/>
      <c r="BB203" s="1078"/>
      <c r="BC203" s="1078"/>
      <c r="BD203" s="1078"/>
      <c r="BE203" s="1082"/>
    </row>
    <row r="204" spans="1:57" ht="15.75" customHeight="1">
      <c r="A204" s="1078"/>
      <c r="B204" s="1078"/>
      <c r="C204" s="2185" t="s">
        <v>2045</v>
      </c>
      <c r="D204" s="2185"/>
      <c r="E204" s="2185"/>
      <c r="F204" s="2185"/>
      <c r="G204" s="2185"/>
      <c r="H204" s="2185"/>
      <c r="I204" s="2185"/>
      <c r="J204" s="2185"/>
      <c r="K204" s="2185"/>
      <c r="L204" s="2185"/>
      <c r="M204" s="2185"/>
      <c r="N204" s="2185"/>
      <c r="O204" s="2185"/>
      <c r="P204" s="2185"/>
      <c r="Q204" s="2185"/>
      <c r="R204" s="2185"/>
      <c r="S204" s="2185"/>
      <c r="T204" s="2185"/>
      <c r="U204" s="2185"/>
      <c r="V204" s="2185"/>
      <c r="W204" s="2185"/>
      <c r="X204" s="2185"/>
      <c r="Y204" s="2185"/>
      <c r="Z204" s="2185"/>
      <c r="AA204" s="2185"/>
      <c r="AB204" s="2185"/>
      <c r="AC204" s="2185"/>
      <c r="AD204" s="2185"/>
      <c r="AE204" s="2185"/>
      <c r="AF204" s="1078"/>
      <c r="AG204" s="1078"/>
      <c r="AH204" s="1078"/>
      <c r="AI204" s="1078"/>
      <c r="AJ204" s="1078"/>
      <c r="AK204" s="1078"/>
      <c r="AL204" s="1078"/>
      <c r="AM204" s="1078"/>
      <c r="AN204" s="1078"/>
      <c r="AO204" s="1078"/>
      <c r="AP204" s="1078"/>
      <c r="AQ204" s="1078"/>
      <c r="AR204" s="1078"/>
      <c r="AS204" s="1078"/>
      <c r="AT204" s="1078"/>
      <c r="AU204" s="1078"/>
      <c r="AV204" s="1078"/>
      <c r="AW204" s="1078"/>
      <c r="AX204" s="1078"/>
      <c r="AY204" s="1078"/>
      <c r="AZ204" s="1078"/>
      <c r="BA204" s="1078"/>
      <c r="BB204" s="1078"/>
      <c r="BC204" s="1078"/>
      <c r="BD204" s="1078"/>
      <c r="BE204" s="1082"/>
    </row>
    <row r="205" spans="1:57" ht="15.75" customHeight="1" thickBot="1">
      <c r="A205" s="1078"/>
      <c r="B205" s="1078"/>
      <c r="C205" s="1078"/>
      <c r="D205" s="1078"/>
      <c r="E205" s="1078"/>
      <c r="F205" s="1078"/>
      <c r="G205" s="1078"/>
      <c r="H205" s="1078"/>
      <c r="I205" s="1078"/>
      <c r="J205" s="1078"/>
      <c r="K205" s="1078"/>
      <c r="L205" s="1078"/>
      <c r="M205" s="1078"/>
      <c r="N205" s="1078"/>
      <c r="O205" s="1078"/>
      <c r="P205" s="1078"/>
      <c r="Q205" s="1078"/>
      <c r="R205" s="1078"/>
      <c r="S205" s="1078"/>
      <c r="T205" s="1078"/>
      <c r="U205" s="1078"/>
      <c r="V205" s="1078"/>
      <c r="W205" s="1078"/>
      <c r="X205" s="1078"/>
      <c r="Y205" s="1078"/>
      <c r="Z205" s="1078"/>
      <c r="AA205" s="1078"/>
      <c r="AB205" s="1078"/>
      <c r="AC205" s="1078"/>
      <c r="AD205" s="1078"/>
      <c r="AE205" s="1078"/>
      <c r="AF205" s="1078"/>
      <c r="AG205" s="1078"/>
      <c r="AH205" s="1078"/>
      <c r="AI205" s="1078"/>
      <c r="AJ205" s="1078"/>
      <c r="AK205" s="1078"/>
      <c r="AL205" s="1078"/>
      <c r="AM205" s="1078"/>
      <c r="AN205" s="1078"/>
      <c r="AO205" s="1078"/>
      <c r="AP205" s="1078"/>
      <c r="AQ205" s="1078"/>
      <c r="AR205" s="1078"/>
      <c r="AS205" s="1078"/>
      <c r="AT205" s="1078"/>
      <c r="AU205" s="1078"/>
      <c r="AV205" s="1078"/>
      <c r="AW205" s="1078"/>
      <c r="AX205" s="1078"/>
      <c r="AY205" s="1078"/>
      <c r="AZ205" s="1078"/>
      <c r="BA205" s="1078"/>
      <c r="BB205" s="1078"/>
      <c r="BC205" s="1078"/>
      <c r="BD205" s="1078"/>
      <c r="BE205" s="1082"/>
    </row>
    <row r="206" spans="1:57" ht="15.75" customHeight="1" thickBot="1">
      <c r="A206" s="1078"/>
      <c r="B206" s="1078"/>
      <c r="C206" s="2186" t="s">
        <v>2046</v>
      </c>
      <c r="D206" s="2187"/>
      <c r="E206" s="2187"/>
      <c r="F206" s="2187"/>
      <c r="G206" s="2187"/>
      <c r="H206" s="2187"/>
      <c r="I206" s="2187"/>
      <c r="J206" s="2187"/>
      <c r="K206" s="2187"/>
      <c r="L206" s="2187"/>
      <c r="M206" s="2187"/>
      <c r="N206" s="2187"/>
      <c r="O206" s="2187"/>
      <c r="P206" s="2187"/>
      <c r="Q206" s="2187"/>
      <c r="R206" s="2187"/>
      <c r="S206" s="2187"/>
      <c r="T206" s="2187"/>
      <c r="U206" s="2187"/>
      <c r="V206" s="2187"/>
      <c r="W206" s="2187"/>
      <c r="X206" s="2187"/>
      <c r="Y206" s="2187"/>
      <c r="Z206" s="2187"/>
      <c r="AA206" s="2187"/>
      <c r="AB206" s="2187"/>
      <c r="AC206" s="2187"/>
      <c r="AD206" s="2187"/>
      <c r="AE206" s="2187"/>
      <c r="AF206" s="2187"/>
      <c r="AG206" s="2187"/>
      <c r="AH206" s="2187"/>
      <c r="AI206" s="2187"/>
      <c r="AJ206" s="2187"/>
      <c r="AK206" s="2188"/>
      <c r="AL206" s="1078"/>
      <c r="AM206" s="1078"/>
      <c r="AN206" s="1078"/>
      <c r="AO206" s="1078"/>
      <c r="AP206" s="1078"/>
      <c r="AQ206" s="1078"/>
      <c r="AR206" s="1078"/>
      <c r="AS206" s="1078"/>
      <c r="AT206" s="1078"/>
      <c r="AU206" s="1078"/>
      <c r="AV206" s="1078"/>
      <c r="AW206" s="1078"/>
      <c r="AX206" s="1078"/>
      <c r="AY206" s="1078"/>
      <c r="AZ206" s="1078"/>
      <c r="BA206" s="1078"/>
      <c r="BB206" s="1078"/>
      <c r="BC206" s="1078"/>
      <c r="BD206" s="1078"/>
      <c r="BE206" s="1082"/>
    </row>
    <row r="207" spans="1:57" ht="15.75" customHeight="1">
      <c r="A207" s="1078"/>
      <c r="B207" s="1078"/>
      <c r="C207" s="2189" t="s">
        <v>2047</v>
      </c>
      <c r="D207" s="2190"/>
      <c r="E207" s="2190"/>
      <c r="F207" s="2191"/>
      <c r="G207" s="2195" t="s">
        <v>2048</v>
      </c>
      <c r="H207" s="2190"/>
      <c r="I207" s="2190"/>
      <c r="J207" s="2190"/>
      <c r="K207" s="2190"/>
      <c r="L207" s="2190"/>
      <c r="M207" s="2190"/>
      <c r="N207" s="2190"/>
      <c r="O207" s="2191"/>
      <c r="P207" s="2197" t="s">
        <v>2049</v>
      </c>
      <c r="Q207" s="2198"/>
      <c r="R207" s="2198"/>
      <c r="S207" s="2198"/>
      <c r="T207" s="2199"/>
      <c r="U207" s="2203" t="s">
        <v>2050</v>
      </c>
      <c r="V207" s="2204"/>
      <c r="W207" s="2204"/>
      <c r="X207" s="2205"/>
      <c r="Y207" s="2203" t="s">
        <v>2051</v>
      </c>
      <c r="Z207" s="2204"/>
      <c r="AA207" s="2204"/>
      <c r="AB207" s="2205"/>
      <c r="AC207" s="2203" t="s">
        <v>2052</v>
      </c>
      <c r="AD207" s="2204"/>
      <c r="AE207" s="2204"/>
      <c r="AF207" s="2205"/>
      <c r="AG207" s="2195" t="s">
        <v>2053</v>
      </c>
      <c r="AH207" s="2190"/>
      <c r="AI207" s="2190"/>
      <c r="AJ207" s="2190"/>
      <c r="AK207" s="2209"/>
      <c r="AL207" s="1078"/>
      <c r="AM207" s="1078"/>
      <c r="AN207" s="1078"/>
      <c r="AO207" s="1078"/>
      <c r="AP207" s="1078"/>
      <c r="AQ207" s="1078"/>
      <c r="AR207" s="1078"/>
      <c r="AS207" s="1078"/>
      <c r="AT207" s="1078"/>
      <c r="AU207" s="1078"/>
      <c r="AV207" s="1078"/>
      <c r="AW207" s="1078"/>
      <c r="AX207" s="1078"/>
      <c r="AY207" s="1078"/>
      <c r="AZ207" s="1078"/>
      <c r="BA207" s="1078"/>
      <c r="BB207" s="1078"/>
      <c r="BC207" s="1078"/>
      <c r="BD207" s="1078"/>
      <c r="BE207" s="1082"/>
    </row>
    <row r="208" spans="1:57" ht="15.75" customHeight="1">
      <c r="A208" s="1078"/>
      <c r="B208" s="1078"/>
      <c r="C208" s="2192"/>
      <c r="D208" s="2193"/>
      <c r="E208" s="2193"/>
      <c r="F208" s="2194"/>
      <c r="G208" s="2196"/>
      <c r="H208" s="2193"/>
      <c r="I208" s="2193"/>
      <c r="J208" s="2193"/>
      <c r="K208" s="2193"/>
      <c r="L208" s="2193"/>
      <c r="M208" s="2193"/>
      <c r="N208" s="2193"/>
      <c r="O208" s="2194"/>
      <c r="P208" s="2200"/>
      <c r="Q208" s="2201"/>
      <c r="R208" s="2201"/>
      <c r="S208" s="2201"/>
      <c r="T208" s="2202"/>
      <c r="U208" s="2206"/>
      <c r="V208" s="2207"/>
      <c r="W208" s="2207"/>
      <c r="X208" s="2208"/>
      <c r="Y208" s="2206"/>
      <c r="Z208" s="2207"/>
      <c r="AA208" s="2207"/>
      <c r="AB208" s="2208"/>
      <c r="AC208" s="2206"/>
      <c r="AD208" s="2207"/>
      <c r="AE208" s="2207"/>
      <c r="AF208" s="2208"/>
      <c r="AG208" s="2196"/>
      <c r="AH208" s="2193"/>
      <c r="AI208" s="2193"/>
      <c r="AJ208" s="2193"/>
      <c r="AK208" s="2210"/>
      <c r="AL208" s="1078"/>
      <c r="AM208" s="1078"/>
      <c r="AN208" s="1078"/>
      <c r="AO208" s="1078"/>
      <c r="AP208" s="1078"/>
      <c r="AQ208" s="1078"/>
      <c r="AR208" s="1078"/>
      <c r="AS208" s="1078"/>
      <c r="AT208" s="1078"/>
      <c r="AU208" s="1078"/>
      <c r="AV208" s="1078"/>
      <c r="AW208" s="1078"/>
      <c r="AX208" s="1078"/>
      <c r="AY208" s="1078"/>
      <c r="AZ208" s="1078"/>
      <c r="BA208" s="1078"/>
      <c r="BB208" s="1078"/>
      <c r="BC208" s="1078"/>
      <c r="BD208" s="1078"/>
      <c r="BE208" s="1082"/>
    </row>
    <row r="209" spans="1:57" ht="15.75" customHeight="1">
      <c r="A209" s="1078"/>
      <c r="B209" s="1078"/>
      <c r="C209" s="2214">
        <v>1</v>
      </c>
      <c r="D209" s="2215"/>
      <c r="E209" s="2215"/>
      <c r="F209" s="2215"/>
      <c r="G209" s="2216" t="s">
        <v>2054</v>
      </c>
      <c r="H209" s="2216"/>
      <c r="I209" s="2216"/>
      <c r="J209" s="2216"/>
      <c r="K209" s="2216"/>
      <c r="L209" s="2216"/>
      <c r="M209" s="2216"/>
      <c r="N209" s="2216"/>
      <c r="O209" s="2216"/>
      <c r="P209" s="2217"/>
      <c r="Q209" s="2220"/>
      <c r="R209" s="2220"/>
      <c r="S209" s="2220"/>
      <c r="T209" s="2220"/>
      <c r="U209" s="2218" t="s">
        <v>2054</v>
      </c>
      <c r="V209" s="2218"/>
      <c r="W209" s="2218"/>
      <c r="X209" s="2218"/>
      <c r="Y209" s="2218" t="s">
        <v>2054</v>
      </c>
      <c r="Z209" s="2218"/>
      <c r="AA209" s="2218"/>
      <c r="AB209" s="2218"/>
      <c r="AC209" s="2219" t="s">
        <v>2054</v>
      </c>
      <c r="AD209" s="2219"/>
      <c r="AE209" s="2219"/>
      <c r="AF209" s="2219"/>
      <c r="AG209" s="2211"/>
      <c r="AH209" s="2212"/>
      <c r="AI209" s="2212"/>
      <c r="AJ209" s="2212"/>
      <c r="AK209" s="2213"/>
      <c r="AL209" s="1078"/>
      <c r="AM209" s="1078"/>
      <c r="AN209" s="1078"/>
      <c r="AO209" s="1078"/>
      <c r="AP209" s="1078"/>
      <c r="AQ209" s="1078"/>
      <c r="AR209" s="1078"/>
      <c r="AS209" s="1078"/>
      <c r="AT209" s="1078"/>
      <c r="AU209" s="1078"/>
      <c r="AV209" s="1078"/>
      <c r="AW209" s="1078"/>
      <c r="AX209" s="1078"/>
      <c r="AY209" s="1078"/>
      <c r="AZ209" s="1078"/>
      <c r="BA209" s="1078"/>
      <c r="BB209" s="1078"/>
      <c r="BC209" s="1078"/>
      <c r="BD209" s="1078"/>
      <c r="BE209" s="1082"/>
    </row>
    <row r="210" spans="1:57" ht="15.75" customHeight="1">
      <c r="A210" s="1078"/>
      <c r="B210" s="1078"/>
      <c r="C210" s="2214">
        <v>2</v>
      </c>
      <c r="D210" s="2215"/>
      <c r="E210" s="2215"/>
      <c r="F210" s="2215"/>
      <c r="G210" s="2216" t="s">
        <v>2054</v>
      </c>
      <c r="H210" s="2216"/>
      <c r="I210" s="2216"/>
      <c r="J210" s="2216"/>
      <c r="K210" s="2216"/>
      <c r="L210" s="2216"/>
      <c r="M210" s="2216"/>
      <c r="N210" s="2216"/>
      <c r="O210" s="2216"/>
      <c r="P210" s="2217"/>
      <c r="Q210" s="2217"/>
      <c r="R210" s="2217"/>
      <c r="S210" s="2217"/>
      <c r="T210" s="2217"/>
      <c r="U210" s="2218" t="s">
        <v>2054</v>
      </c>
      <c r="V210" s="2218"/>
      <c r="W210" s="2218"/>
      <c r="X210" s="2218"/>
      <c r="Y210" s="2218" t="s">
        <v>2054</v>
      </c>
      <c r="Z210" s="2218"/>
      <c r="AA210" s="2218"/>
      <c r="AB210" s="2218"/>
      <c r="AC210" s="2219" t="s">
        <v>2054</v>
      </c>
      <c r="AD210" s="2219"/>
      <c r="AE210" s="2219"/>
      <c r="AF210" s="2219"/>
      <c r="AG210" s="2211"/>
      <c r="AH210" s="2212"/>
      <c r="AI210" s="2212"/>
      <c r="AJ210" s="2212"/>
      <c r="AK210" s="2213"/>
      <c r="AL210" s="1078"/>
      <c r="AM210" s="1078"/>
      <c r="AN210" s="1078"/>
      <c r="AO210" s="1078"/>
      <c r="AP210" s="1078"/>
      <c r="AQ210" s="1078"/>
      <c r="AR210" s="1078"/>
      <c r="AS210" s="1078"/>
      <c r="AT210" s="1078"/>
      <c r="AU210" s="1078"/>
      <c r="AV210" s="1078"/>
      <c r="AW210" s="1078"/>
      <c r="AX210" s="1078"/>
      <c r="AY210" s="1078"/>
      <c r="AZ210" s="1078"/>
      <c r="BA210" s="1078"/>
      <c r="BB210" s="1078"/>
      <c r="BC210" s="1078"/>
      <c r="BD210" s="1078"/>
      <c r="BE210" s="1082"/>
    </row>
    <row r="211" spans="1:57" ht="15.75" customHeight="1">
      <c r="A211" s="1078"/>
      <c r="B211" s="1078"/>
      <c r="C211" s="2214">
        <v>3</v>
      </c>
      <c r="D211" s="2215"/>
      <c r="E211" s="2215"/>
      <c r="F211" s="2215"/>
      <c r="G211" s="2216" t="s">
        <v>2054</v>
      </c>
      <c r="H211" s="2216"/>
      <c r="I211" s="2216"/>
      <c r="J211" s="2216"/>
      <c r="K211" s="2216"/>
      <c r="L211" s="2216"/>
      <c r="M211" s="2216"/>
      <c r="N211" s="2216"/>
      <c r="O211" s="2216"/>
      <c r="P211" s="2217"/>
      <c r="Q211" s="2217"/>
      <c r="R211" s="2217"/>
      <c r="S211" s="2217"/>
      <c r="T211" s="2217"/>
      <c r="U211" s="2218" t="s">
        <v>2054</v>
      </c>
      <c r="V211" s="2218"/>
      <c r="W211" s="2218"/>
      <c r="X211" s="2218"/>
      <c r="Y211" s="2218" t="s">
        <v>2054</v>
      </c>
      <c r="Z211" s="2218"/>
      <c r="AA211" s="2218"/>
      <c r="AB211" s="2218"/>
      <c r="AC211" s="2219" t="s">
        <v>2054</v>
      </c>
      <c r="AD211" s="2219"/>
      <c r="AE211" s="2219"/>
      <c r="AF211" s="2219"/>
      <c r="AG211" s="2211"/>
      <c r="AH211" s="2212"/>
      <c r="AI211" s="2212"/>
      <c r="AJ211" s="2212"/>
      <c r="AK211" s="2213"/>
      <c r="AL211" s="1078"/>
      <c r="AM211" s="1078"/>
      <c r="AN211" s="1078"/>
      <c r="AO211" s="1078"/>
      <c r="AP211" s="1078"/>
      <c r="AQ211" s="1078"/>
      <c r="AR211" s="1078"/>
      <c r="AS211" s="1078"/>
      <c r="AT211" s="1078"/>
      <c r="AU211" s="1078"/>
      <c r="AV211" s="1078"/>
      <c r="AW211" s="1078"/>
      <c r="AX211" s="1078"/>
      <c r="AY211" s="1078"/>
      <c r="AZ211" s="1078"/>
      <c r="BA211" s="1078"/>
      <c r="BB211" s="1078"/>
      <c r="BC211" s="1078"/>
      <c r="BD211" s="1078"/>
      <c r="BE211" s="1082"/>
    </row>
    <row r="212" spans="1:57" ht="15.75" customHeight="1">
      <c r="A212" s="1078"/>
      <c r="B212" s="1078"/>
      <c r="C212" s="2214">
        <v>4</v>
      </c>
      <c r="D212" s="2215"/>
      <c r="E212" s="2215"/>
      <c r="F212" s="2215"/>
      <c r="G212" s="2216" t="s">
        <v>2054</v>
      </c>
      <c r="H212" s="2216"/>
      <c r="I212" s="2216"/>
      <c r="J212" s="2216"/>
      <c r="K212" s="2216"/>
      <c r="L212" s="2216"/>
      <c r="M212" s="2216"/>
      <c r="N212" s="2216"/>
      <c r="O212" s="2216"/>
      <c r="P212" s="2217"/>
      <c r="Q212" s="2217"/>
      <c r="R212" s="2217"/>
      <c r="S212" s="2217"/>
      <c r="T212" s="2217"/>
      <c r="U212" s="2218" t="s">
        <v>2054</v>
      </c>
      <c r="V212" s="2218"/>
      <c r="W212" s="2218"/>
      <c r="X212" s="2218"/>
      <c r="Y212" s="2218" t="s">
        <v>2054</v>
      </c>
      <c r="Z212" s="2218"/>
      <c r="AA212" s="2218"/>
      <c r="AB212" s="2218"/>
      <c r="AC212" s="2219" t="s">
        <v>2054</v>
      </c>
      <c r="AD212" s="2219"/>
      <c r="AE212" s="2219"/>
      <c r="AF212" s="2219"/>
      <c r="AG212" s="2211"/>
      <c r="AH212" s="2212"/>
      <c r="AI212" s="2212"/>
      <c r="AJ212" s="2212"/>
      <c r="AK212" s="2213"/>
      <c r="AL212" s="1078"/>
      <c r="AM212" s="1078"/>
      <c r="AN212" s="1078"/>
      <c r="AO212" s="1078"/>
      <c r="AP212" s="1078"/>
      <c r="AQ212" s="1078"/>
      <c r="AR212" s="1078"/>
      <c r="AS212" s="1078"/>
      <c r="AT212" s="1078"/>
      <c r="AU212" s="1078"/>
      <c r="AV212" s="1078"/>
      <c r="AW212" s="1078"/>
      <c r="AX212" s="1078"/>
      <c r="AY212" s="1078"/>
      <c r="AZ212" s="1078"/>
      <c r="BA212" s="1078"/>
      <c r="BB212" s="1078"/>
      <c r="BC212" s="1078"/>
      <c r="BD212" s="1078"/>
      <c r="BE212" s="1082"/>
    </row>
    <row r="213" spans="1:57" ht="15.75" customHeight="1">
      <c r="A213" s="1078"/>
      <c r="B213" s="1078"/>
      <c r="C213" s="2214">
        <v>5</v>
      </c>
      <c r="D213" s="2215"/>
      <c r="E213" s="2215"/>
      <c r="F213" s="2215"/>
      <c r="G213" s="2216" t="s">
        <v>2054</v>
      </c>
      <c r="H213" s="2216"/>
      <c r="I213" s="2216"/>
      <c r="J213" s="2216"/>
      <c r="K213" s="2216"/>
      <c r="L213" s="2216"/>
      <c r="M213" s="2216"/>
      <c r="N213" s="2216"/>
      <c r="O213" s="2216"/>
      <c r="P213" s="2217"/>
      <c r="Q213" s="2217"/>
      <c r="R213" s="2217"/>
      <c r="S213" s="2217"/>
      <c r="T213" s="2217"/>
      <c r="U213" s="2218" t="s">
        <v>2054</v>
      </c>
      <c r="V213" s="2218"/>
      <c r="W213" s="2218"/>
      <c r="X213" s="2218"/>
      <c r="Y213" s="2218" t="s">
        <v>2054</v>
      </c>
      <c r="Z213" s="2218"/>
      <c r="AA213" s="2218"/>
      <c r="AB213" s="2218"/>
      <c r="AC213" s="2219" t="s">
        <v>2054</v>
      </c>
      <c r="AD213" s="2219"/>
      <c r="AE213" s="2219"/>
      <c r="AF213" s="2219"/>
      <c r="AG213" s="2211"/>
      <c r="AH213" s="2212"/>
      <c r="AI213" s="2212"/>
      <c r="AJ213" s="2212"/>
      <c r="AK213" s="2213"/>
      <c r="AL213" s="1078"/>
      <c r="AM213" s="1078"/>
      <c r="AN213" s="1078"/>
      <c r="AO213" s="1078"/>
      <c r="AP213" s="1078"/>
      <c r="AQ213" s="1078"/>
      <c r="AR213" s="1078"/>
      <c r="AS213" s="1078"/>
      <c r="AT213" s="1078"/>
      <c r="AU213" s="1078"/>
      <c r="AV213" s="1078"/>
      <c r="AW213" s="1078"/>
      <c r="AX213" s="1078"/>
      <c r="AY213" s="1078"/>
      <c r="AZ213" s="1078"/>
      <c r="BA213" s="1078"/>
      <c r="BB213" s="1078"/>
      <c r="BC213" s="1078"/>
      <c r="BD213" s="1078"/>
      <c r="BE213" s="1082"/>
    </row>
    <row r="214" spans="1:57" ht="15.75" customHeight="1">
      <c r="A214" s="1078"/>
      <c r="B214" s="1078"/>
      <c r="C214" s="2214">
        <v>6</v>
      </c>
      <c r="D214" s="2215"/>
      <c r="E214" s="2215"/>
      <c r="F214" s="2215"/>
      <c r="G214" s="2216" t="s">
        <v>2054</v>
      </c>
      <c r="H214" s="2216"/>
      <c r="I214" s="2216"/>
      <c r="J214" s="2216"/>
      <c r="K214" s="2216"/>
      <c r="L214" s="2216"/>
      <c r="M214" s="2216"/>
      <c r="N214" s="2216"/>
      <c r="O214" s="2216"/>
      <c r="P214" s="2217"/>
      <c r="Q214" s="2217"/>
      <c r="R214" s="2217"/>
      <c r="S214" s="2217"/>
      <c r="T214" s="2217"/>
      <c r="U214" s="2218"/>
      <c r="V214" s="2218"/>
      <c r="W214" s="2218"/>
      <c r="X214" s="2218"/>
      <c r="Y214" s="2218"/>
      <c r="Z214" s="2218"/>
      <c r="AA214" s="2218"/>
      <c r="AB214" s="2218"/>
      <c r="AC214" s="2219" t="s">
        <v>2054</v>
      </c>
      <c r="AD214" s="2219"/>
      <c r="AE214" s="2219"/>
      <c r="AF214" s="2219"/>
      <c r="AG214" s="2211"/>
      <c r="AH214" s="2212"/>
      <c r="AI214" s="2212"/>
      <c r="AJ214" s="2212"/>
      <c r="AK214" s="2213"/>
      <c r="AL214" s="1078"/>
      <c r="AM214" s="1078"/>
      <c r="AN214" s="1078"/>
      <c r="AO214" s="1078"/>
      <c r="AP214" s="1078"/>
      <c r="AQ214" s="1078"/>
      <c r="AR214" s="1078"/>
      <c r="AS214" s="1078"/>
      <c r="AT214" s="1078"/>
      <c r="AU214" s="1078"/>
      <c r="AV214" s="1078"/>
      <c r="AW214" s="1078"/>
      <c r="AX214" s="1078"/>
      <c r="AY214" s="1078"/>
      <c r="AZ214" s="1078"/>
      <c r="BA214" s="1078"/>
      <c r="BB214" s="1078"/>
      <c r="BC214" s="1078"/>
      <c r="BD214" s="1078"/>
      <c r="BE214" s="1082"/>
    </row>
    <row r="215" spans="1:57" ht="15.75" customHeight="1">
      <c r="A215" s="1078"/>
      <c r="B215" s="1078"/>
      <c r="C215" s="2214">
        <v>7</v>
      </c>
      <c r="D215" s="2215"/>
      <c r="E215" s="2215"/>
      <c r="F215" s="2215"/>
      <c r="G215" s="2216"/>
      <c r="H215" s="2216"/>
      <c r="I215" s="2216"/>
      <c r="J215" s="2216"/>
      <c r="K215" s="2216"/>
      <c r="L215" s="2216"/>
      <c r="M215" s="2216"/>
      <c r="N215" s="2216"/>
      <c r="O215" s="2216"/>
      <c r="P215" s="2217"/>
      <c r="Q215" s="2217"/>
      <c r="R215" s="2217"/>
      <c r="S215" s="2217"/>
      <c r="T215" s="2217"/>
      <c r="U215" s="2218"/>
      <c r="V215" s="2218"/>
      <c r="W215" s="2218"/>
      <c r="X215" s="2218"/>
      <c r="Y215" s="2218"/>
      <c r="Z215" s="2218"/>
      <c r="AA215" s="2218"/>
      <c r="AB215" s="2218"/>
      <c r="AC215" s="2219" t="s">
        <v>2054</v>
      </c>
      <c r="AD215" s="2219"/>
      <c r="AE215" s="2219"/>
      <c r="AF215" s="2219"/>
      <c r="AG215" s="2211"/>
      <c r="AH215" s="2212"/>
      <c r="AI215" s="2212"/>
      <c r="AJ215" s="2212"/>
      <c r="AK215" s="2213"/>
      <c r="AL215" s="1078"/>
      <c r="AM215" s="1078"/>
      <c r="AN215" s="1078"/>
      <c r="AO215" s="1078"/>
      <c r="AP215" s="1078"/>
      <c r="AQ215" s="1078"/>
      <c r="AR215" s="1078"/>
      <c r="AS215" s="1078"/>
      <c r="AT215" s="1078"/>
      <c r="AU215" s="1078"/>
      <c r="AV215" s="1078"/>
      <c r="AW215" s="1078"/>
      <c r="AX215" s="1078"/>
      <c r="AY215" s="1078"/>
      <c r="AZ215" s="1078"/>
      <c r="BA215" s="1078"/>
      <c r="BB215" s="1078"/>
      <c r="BC215" s="1078"/>
      <c r="BD215" s="1078"/>
      <c r="BE215" s="1082"/>
    </row>
    <row r="216" spans="1:57" ht="15.75" customHeight="1">
      <c r="A216" s="1078"/>
      <c r="B216" s="1078"/>
      <c r="C216" s="2233" t="s">
        <v>2055</v>
      </c>
      <c r="D216" s="2234"/>
      <c r="E216" s="2234"/>
      <c r="F216" s="2234"/>
      <c r="G216" s="2234"/>
      <c r="H216" s="2234"/>
      <c r="I216" s="2234"/>
      <c r="J216" s="2234"/>
      <c r="K216" s="2234"/>
      <c r="L216" s="2234"/>
      <c r="M216" s="2234"/>
      <c r="N216" s="2234"/>
      <c r="O216" s="2234"/>
      <c r="P216" s="2235"/>
      <c r="Q216" s="2235"/>
      <c r="R216" s="2235"/>
      <c r="S216" s="2235"/>
      <c r="T216" s="2235"/>
      <c r="U216" s="2236">
        <f>-SUM(U209:U215)</f>
        <v>0</v>
      </c>
      <c r="V216" s="2236"/>
      <c r="W216" s="2236"/>
      <c r="X216" s="2236"/>
      <c r="Y216" s="2236">
        <f>-SUM(Y209:Y215)</f>
        <v>0</v>
      </c>
      <c r="Z216" s="2236"/>
      <c r="AA216" s="2236"/>
      <c r="AB216" s="2236"/>
      <c r="AC216" s="2237">
        <f>-SUM(AC209:AC215)</f>
        <v>0</v>
      </c>
      <c r="AD216" s="2237"/>
      <c r="AE216" s="2237"/>
      <c r="AF216" s="2237"/>
      <c r="AG216" s="2238"/>
      <c r="AH216" s="2239"/>
      <c r="AI216" s="2239"/>
      <c r="AJ216" s="2239"/>
      <c r="AK216" s="2240"/>
      <c r="AL216" s="1078"/>
      <c r="AM216" s="1078"/>
      <c r="AN216" s="1078"/>
      <c r="AO216" s="1078"/>
      <c r="AP216" s="1078"/>
      <c r="AQ216" s="1078"/>
      <c r="AR216" s="1078"/>
      <c r="AS216" s="1078"/>
      <c r="AT216" s="1078"/>
      <c r="AU216" s="1078"/>
      <c r="AV216" s="1078"/>
      <c r="AW216" s="1078"/>
      <c r="AX216" s="1078"/>
      <c r="AY216" s="1078"/>
      <c r="AZ216" s="1078"/>
      <c r="BA216" s="1078"/>
      <c r="BB216" s="1078"/>
      <c r="BC216" s="1078"/>
      <c r="BD216" s="1078"/>
      <c r="BE216" s="1082"/>
    </row>
    <row r="217" spans="1:57" ht="15.75" customHeight="1">
      <c r="A217" s="1078"/>
      <c r="B217" s="1078"/>
      <c r="C217" s="1078" t="s">
        <v>2056</v>
      </c>
      <c r="D217" s="1078"/>
      <c r="E217" s="1078"/>
      <c r="F217" s="1078"/>
      <c r="G217" s="1078"/>
      <c r="H217" s="1078"/>
      <c r="I217" s="1078"/>
      <c r="J217" s="1078"/>
      <c r="K217" s="1078"/>
      <c r="L217" s="1078"/>
      <c r="M217" s="1078"/>
      <c r="N217" s="1078"/>
      <c r="O217" s="1078"/>
      <c r="P217" s="1078"/>
      <c r="Q217" s="1078"/>
      <c r="R217" s="1078"/>
      <c r="S217" s="1078"/>
      <c r="T217" s="1078"/>
      <c r="U217" s="1078"/>
      <c r="V217" s="1078"/>
      <c r="W217" s="1078"/>
      <c r="X217" s="1078"/>
      <c r="Y217" s="1078"/>
      <c r="Z217" s="1078"/>
      <c r="AA217" s="1078"/>
      <c r="AB217" s="1078"/>
      <c r="AC217" s="1078"/>
      <c r="AD217" s="1078"/>
      <c r="AE217" s="1078"/>
      <c r="AF217" s="1078"/>
      <c r="AG217" s="1078"/>
      <c r="AH217" s="1078"/>
      <c r="AI217" s="1078"/>
      <c r="AJ217" s="1078"/>
      <c r="AK217" s="1078"/>
      <c r="AL217" s="1078"/>
      <c r="AM217" s="1078"/>
      <c r="AN217" s="1078"/>
      <c r="AO217" s="1078"/>
      <c r="AP217" s="1078"/>
      <c r="AQ217" s="1078"/>
      <c r="AR217" s="1078"/>
      <c r="AS217" s="1078"/>
      <c r="AT217" s="1078"/>
      <c r="AU217" s="1078"/>
      <c r="AV217" s="1078"/>
      <c r="AW217" s="1078"/>
      <c r="AX217" s="1078"/>
      <c r="AY217" s="1078"/>
      <c r="AZ217" s="1078"/>
      <c r="BA217" s="1078"/>
      <c r="BB217" s="1078"/>
      <c r="BC217" s="1078"/>
      <c r="BD217" s="1078"/>
      <c r="BE217" s="1082"/>
    </row>
    <row r="218" spans="1:57" ht="15.75" customHeight="1">
      <c r="A218" s="1078"/>
      <c r="B218" s="1078"/>
      <c r="C218" s="1078"/>
      <c r="D218" s="1078"/>
      <c r="E218" s="1078"/>
      <c r="F218" s="1078"/>
      <c r="G218" s="1078"/>
      <c r="H218" s="1078"/>
      <c r="I218" s="1078"/>
      <c r="J218" s="1078"/>
      <c r="K218" s="1078"/>
      <c r="L218" s="1078"/>
      <c r="M218" s="1078"/>
      <c r="N218" s="1078"/>
      <c r="O218" s="1078"/>
      <c r="P218" s="1078"/>
      <c r="Q218" s="1078"/>
      <c r="R218" s="1078"/>
      <c r="S218" s="1078"/>
      <c r="T218" s="1078"/>
      <c r="U218" s="1078"/>
      <c r="V218" s="1078"/>
      <c r="W218" s="1078"/>
      <c r="X218" s="1078"/>
      <c r="Y218" s="1078"/>
      <c r="Z218" s="1078"/>
      <c r="AA218" s="1078"/>
      <c r="AB218" s="1078"/>
      <c r="AC218" s="1078"/>
      <c r="AD218" s="1078"/>
      <c r="AE218" s="1078"/>
      <c r="AF218" s="1078"/>
      <c r="AG218" s="1078"/>
      <c r="AH218" s="1078"/>
      <c r="AI218" s="1078"/>
      <c r="AJ218" s="1078"/>
      <c r="AK218" s="1078"/>
      <c r="AL218" s="1078"/>
      <c r="AM218" s="1078"/>
      <c r="AN218" s="1078"/>
      <c r="AO218" s="1078"/>
      <c r="AP218" s="1078"/>
      <c r="AQ218" s="1078"/>
      <c r="AR218" s="1078"/>
      <c r="AS218" s="1078"/>
      <c r="AT218" s="1078"/>
      <c r="AU218" s="1078"/>
      <c r="AV218" s="1078"/>
      <c r="AW218" s="1078"/>
      <c r="AX218" s="1078"/>
      <c r="AY218" s="1078"/>
      <c r="AZ218" s="1078"/>
      <c r="BA218" s="1078"/>
      <c r="BB218" s="1078"/>
      <c r="BC218" s="1078"/>
      <c r="BD218" s="1078"/>
      <c r="BE218" s="1082"/>
    </row>
    <row r="219" spans="1:57" ht="15.75" customHeight="1">
      <c r="A219" s="1078"/>
      <c r="B219" s="1078"/>
      <c r="C219" s="1078"/>
      <c r="D219" s="1078"/>
      <c r="E219" s="1078"/>
      <c r="F219" s="1078"/>
      <c r="G219" s="1078"/>
      <c r="H219" s="1078"/>
      <c r="I219" s="1078"/>
      <c r="J219" s="1078"/>
      <c r="K219" s="1078"/>
      <c r="L219" s="1078"/>
      <c r="M219" s="1078"/>
      <c r="N219" s="1078"/>
      <c r="O219" s="1078"/>
      <c r="P219" s="1078"/>
      <c r="Q219" s="1078"/>
      <c r="R219" s="1078"/>
      <c r="S219" s="1078"/>
      <c r="T219" s="1078"/>
      <c r="U219" s="1078"/>
      <c r="V219" s="1078"/>
      <c r="W219" s="1078"/>
      <c r="X219" s="1078"/>
      <c r="Y219" s="1078"/>
      <c r="Z219" s="1078"/>
      <c r="AA219" s="1078"/>
      <c r="AB219" s="1078"/>
      <c r="AC219" s="1078"/>
      <c r="AD219" s="1078"/>
      <c r="AE219" s="1078"/>
      <c r="AF219" s="1078"/>
      <c r="AG219" s="1078"/>
      <c r="AH219" s="1078"/>
      <c r="AI219" s="1078"/>
      <c r="AJ219" s="1078"/>
      <c r="AK219" s="1078"/>
      <c r="AL219" s="1078"/>
      <c r="AM219" s="1078"/>
      <c r="AN219" s="1078"/>
      <c r="AO219" s="1078"/>
      <c r="AP219" s="1078"/>
      <c r="AQ219" s="1078"/>
      <c r="AR219" s="1078"/>
      <c r="AS219" s="1078"/>
      <c r="AT219" s="1078"/>
      <c r="AU219" s="1078"/>
      <c r="AV219" s="1078"/>
      <c r="AW219" s="1078"/>
      <c r="AX219" s="1078"/>
      <c r="AY219" s="1078"/>
      <c r="AZ219" s="1078"/>
      <c r="BA219" s="1078"/>
      <c r="BB219" s="1078"/>
      <c r="BC219" s="1078"/>
      <c r="BD219" s="1078"/>
      <c r="BE219" s="1082"/>
    </row>
    <row r="220" spans="1:57" ht="15.75" customHeight="1" thickBot="1">
      <c r="A220" s="1078"/>
      <c r="B220" s="1078"/>
      <c r="C220" s="1078"/>
      <c r="D220" s="1078"/>
      <c r="E220" s="1078"/>
      <c r="F220" s="1078"/>
      <c r="G220" s="1078"/>
      <c r="H220" s="1078"/>
      <c r="I220" s="1078"/>
      <c r="J220" s="1078"/>
      <c r="K220" s="1078"/>
      <c r="L220" s="1078"/>
      <c r="M220" s="1078"/>
      <c r="N220" s="1078"/>
      <c r="O220" s="1078"/>
      <c r="P220" s="1078"/>
      <c r="Q220" s="1078"/>
      <c r="R220" s="1078"/>
      <c r="S220" s="1078"/>
      <c r="T220" s="1078"/>
      <c r="U220" s="1078"/>
      <c r="V220" s="1078"/>
      <c r="W220" s="1078"/>
      <c r="X220" s="1078"/>
      <c r="Y220" s="1078"/>
      <c r="Z220" s="1078"/>
      <c r="AA220" s="1078"/>
      <c r="AB220" s="1078"/>
      <c r="AC220" s="1078"/>
      <c r="AD220" s="1078"/>
      <c r="AE220" s="1078"/>
      <c r="AF220" s="1078"/>
      <c r="AG220" s="1078"/>
      <c r="AH220" s="1078"/>
      <c r="AI220" s="1078"/>
      <c r="AJ220" s="1078"/>
      <c r="AK220" s="1078"/>
      <c r="AL220" s="1078"/>
      <c r="AM220" s="1078"/>
      <c r="AN220" s="1078"/>
      <c r="AO220" s="1078"/>
      <c r="AP220" s="1078"/>
      <c r="AQ220" s="1078"/>
      <c r="AR220" s="1078"/>
      <c r="AS220" s="1078"/>
      <c r="AT220" s="1078"/>
      <c r="AU220" s="1078"/>
      <c r="AV220" s="1078"/>
      <c r="AW220" s="1078"/>
      <c r="AX220" s="1078"/>
      <c r="AY220" s="1078"/>
      <c r="AZ220" s="1078"/>
      <c r="BA220" s="1078"/>
      <c r="BB220" s="1078"/>
      <c r="BC220" s="1078"/>
      <c r="BD220" s="1078"/>
      <c r="BE220" s="1082"/>
    </row>
    <row r="221" spans="1:57" ht="15.75" customHeight="1">
      <c r="A221" s="1078"/>
      <c r="B221" s="2221" t="s">
        <v>2057</v>
      </c>
      <c r="C221" s="2222"/>
      <c r="D221" s="2222"/>
      <c r="E221" s="2222"/>
      <c r="F221" s="2222"/>
      <c r="G221" s="2222"/>
      <c r="H221" s="2222"/>
      <c r="I221" s="2222"/>
      <c r="J221" s="2222"/>
      <c r="K221" s="2222"/>
      <c r="L221" s="2222"/>
      <c r="M221" s="2222"/>
      <c r="N221" s="2222"/>
      <c r="O221" s="2222"/>
      <c r="P221" s="2222"/>
      <c r="Q221" s="2222"/>
      <c r="R221" s="2222"/>
      <c r="S221" s="2222"/>
      <c r="T221" s="2222"/>
      <c r="U221" s="2222"/>
      <c r="V221" s="2222"/>
      <c r="W221" s="2222"/>
      <c r="X221" s="2222"/>
      <c r="Y221" s="2222"/>
      <c r="Z221" s="2222"/>
      <c r="AA221" s="2222"/>
      <c r="AB221" s="2222"/>
      <c r="AC221" s="2222"/>
      <c r="AD221" s="2222"/>
      <c r="AE221" s="2222"/>
      <c r="AF221" s="2222"/>
      <c r="AG221" s="2222"/>
      <c r="AH221" s="2222"/>
      <c r="AI221" s="2222"/>
      <c r="AJ221" s="2222"/>
      <c r="AK221" s="2222"/>
      <c r="AL221" s="2222"/>
      <c r="AM221" s="2222"/>
      <c r="AN221" s="2222"/>
      <c r="AO221" s="2222"/>
      <c r="AP221" s="2222"/>
      <c r="AQ221" s="2222"/>
      <c r="AR221" s="2222"/>
      <c r="AS221" s="2222"/>
      <c r="AT221" s="2222"/>
      <c r="AU221" s="2222"/>
      <c r="AV221" s="2222"/>
      <c r="AW221" s="2222"/>
      <c r="AX221" s="2222"/>
      <c r="AY221" s="2222"/>
      <c r="AZ221" s="2222"/>
      <c r="BA221" s="2222"/>
      <c r="BB221" s="2222"/>
      <c r="BC221" s="2222"/>
      <c r="BD221" s="2223"/>
      <c r="BE221" s="1082"/>
    </row>
    <row r="222" spans="1:57" ht="15.75" customHeight="1">
      <c r="A222" s="1078"/>
      <c r="B222" s="2224"/>
      <c r="C222" s="2225"/>
      <c r="D222" s="2225"/>
      <c r="E222" s="2225"/>
      <c r="F222" s="2225"/>
      <c r="G222" s="2225"/>
      <c r="H222" s="2225"/>
      <c r="I222" s="2225"/>
      <c r="J222" s="2225"/>
      <c r="K222" s="2225"/>
      <c r="L222" s="2225"/>
      <c r="M222" s="2225"/>
      <c r="N222" s="2225"/>
      <c r="O222" s="2225"/>
      <c r="P222" s="2225"/>
      <c r="Q222" s="2225"/>
      <c r="R222" s="2225"/>
      <c r="S222" s="2225"/>
      <c r="T222" s="2225"/>
      <c r="U222" s="2225"/>
      <c r="V222" s="2225"/>
      <c r="W222" s="2225"/>
      <c r="X222" s="2225"/>
      <c r="Y222" s="2225"/>
      <c r="Z222" s="2225"/>
      <c r="AA222" s="2225"/>
      <c r="AB222" s="2225"/>
      <c r="AC222" s="2225"/>
      <c r="AD222" s="2225"/>
      <c r="AE222" s="2225"/>
      <c r="AF222" s="2225"/>
      <c r="AG222" s="2225"/>
      <c r="AH222" s="2225"/>
      <c r="AI222" s="2225"/>
      <c r="AJ222" s="2225"/>
      <c r="AK222" s="2225"/>
      <c r="AL222" s="2225"/>
      <c r="AM222" s="2225"/>
      <c r="AN222" s="2225"/>
      <c r="AO222" s="2225"/>
      <c r="AP222" s="2225"/>
      <c r="AQ222" s="2225"/>
      <c r="AR222" s="2225"/>
      <c r="AS222" s="2225"/>
      <c r="AT222" s="2225"/>
      <c r="AU222" s="2225"/>
      <c r="AV222" s="2225"/>
      <c r="AW222" s="2225"/>
      <c r="AX222" s="2225"/>
      <c r="AY222" s="2225"/>
      <c r="AZ222" s="2225"/>
      <c r="BA222" s="2225"/>
      <c r="BB222" s="2225"/>
      <c r="BC222" s="2225"/>
      <c r="BD222" s="2226"/>
      <c r="BE222" s="1082"/>
    </row>
    <row r="223" spans="1:57" ht="15.75" customHeight="1">
      <c r="A223" s="1078"/>
      <c r="B223" s="2227" t="s">
        <v>2058</v>
      </c>
      <c r="C223" s="2228"/>
      <c r="D223" s="2228"/>
      <c r="E223" s="2228"/>
      <c r="F223" s="2228"/>
      <c r="G223" s="2228"/>
      <c r="H223" s="2228"/>
      <c r="I223" s="2228"/>
      <c r="J223" s="2228"/>
      <c r="K223" s="2228"/>
      <c r="L223" s="2228"/>
      <c r="M223" s="2228"/>
      <c r="N223" s="2228"/>
      <c r="O223" s="2228"/>
      <c r="P223" s="2228"/>
      <c r="Q223" s="2228"/>
      <c r="R223" s="2228"/>
      <c r="S223" s="2228"/>
      <c r="T223" s="2228"/>
      <c r="U223" s="2228"/>
      <c r="V223" s="2228"/>
      <c r="W223" s="2228"/>
      <c r="X223" s="2228"/>
      <c r="Y223" s="2228"/>
      <c r="Z223" s="2228"/>
      <c r="AA223" s="2228"/>
      <c r="AB223" s="2228"/>
      <c r="AC223" s="2228"/>
      <c r="AD223" s="2228"/>
      <c r="AE223" s="2228"/>
      <c r="AF223" s="2228"/>
      <c r="AG223" s="2228"/>
      <c r="AH223" s="2228"/>
      <c r="AI223" s="2228"/>
      <c r="AJ223" s="2228"/>
      <c r="AK223" s="2228"/>
      <c r="AL223" s="2228"/>
      <c r="AM223" s="2228"/>
      <c r="AN223" s="2228"/>
      <c r="AO223" s="2228"/>
      <c r="AP223" s="2228"/>
      <c r="AQ223" s="2228"/>
      <c r="AR223" s="2228"/>
      <c r="AS223" s="2228"/>
      <c r="AT223" s="2228"/>
      <c r="AU223" s="2228"/>
      <c r="AV223" s="2228"/>
      <c r="AW223" s="2228"/>
      <c r="AX223" s="2228"/>
      <c r="AY223" s="2228"/>
      <c r="AZ223" s="2228"/>
      <c r="BA223" s="2228"/>
      <c r="BB223" s="2228"/>
      <c r="BC223" s="2228"/>
      <c r="BD223" s="2229"/>
      <c r="BE223" s="1082"/>
    </row>
    <row r="224" spans="1:57" ht="15.75" customHeight="1">
      <c r="A224" s="1078"/>
      <c r="B224" s="2227" t="s">
        <v>2059</v>
      </c>
      <c r="C224" s="2228"/>
      <c r="D224" s="2228"/>
      <c r="E224" s="2228"/>
      <c r="F224" s="2228"/>
      <c r="G224" s="2228"/>
      <c r="H224" s="2228"/>
      <c r="I224" s="2228"/>
      <c r="J224" s="2228"/>
      <c r="K224" s="2228"/>
      <c r="L224" s="2228"/>
      <c r="M224" s="2228"/>
      <c r="N224" s="2228"/>
      <c r="O224" s="2228"/>
      <c r="P224" s="2228"/>
      <c r="Q224" s="2228"/>
      <c r="R224" s="2228"/>
      <c r="S224" s="2228"/>
      <c r="T224" s="2228"/>
      <c r="U224" s="2228"/>
      <c r="V224" s="2228"/>
      <c r="W224" s="2228"/>
      <c r="X224" s="2228"/>
      <c r="Y224" s="2228"/>
      <c r="Z224" s="2228"/>
      <c r="AA224" s="2228"/>
      <c r="AB224" s="2228"/>
      <c r="AC224" s="2228"/>
      <c r="AD224" s="2228"/>
      <c r="AE224" s="2228"/>
      <c r="AF224" s="2228"/>
      <c r="AG224" s="2228"/>
      <c r="AH224" s="2228"/>
      <c r="AI224" s="2228"/>
      <c r="AJ224" s="2228"/>
      <c r="AK224" s="2228"/>
      <c r="AL224" s="2228"/>
      <c r="AM224" s="2228"/>
      <c r="AN224" s="2228"/>
      <c r="AO224" s="2228"/>
      <c r="AP224" s="2228"/>
      <c r="AQ224" s="2228"/>
      <c r="AR224" s="2228"/>
      <c r="AS224" s="2228"/>
      <c r="AT224" s="2228"/>
      <c r="AU224" s="2228"/>
      <c r="AV224" s="2228"/>
      <c r="AW224" s="2228"/>
      <c r="AX224" s="2228"/>
      <c r="AY224" s="2228"/>
      <c r="AZ224" s="2228"/>
      <c r="BA224" s="2228"/>
      <c r="BB224" s="2228"/>
      <c r="BC224" s="2228"/>
      <c r="BD224" s="2229"/>
      <c r="BE224" s="1082"/>
    </row>
    <row r="225" spans="1:57" ht="15.75" customHeight="1">
      <c r="A225" s="1078"/>
      <c r="B225" s="1077"/>
      <c r="C225" s="1078"/>
      <c r="D225" s="1078"/>
      <c r="E225" s="1078"/>
      <c r="F225" s="1078"/>
      <c r="G225" s="1078"/>
      <c r="H225" s="1078"/>
      <c r="I225" s="1078"/>
      <c r="J225" s="1078"/>
      <c r="K225" s="1078"/>
      <c r="L225" s="1078"/>
      <c r="M225" s="1078"/>
      <c r="N225" s="1078"/>
      <c r="O225" s="1078"/>
      <c r="P225" s="1078"/>
      <c r="Q225" s="1078"/>
      <c r="R225" s="1078"/>
      <c r="S225" s="1078"/>
      <c r="T225" s="1078"/>
      <c r="U225" s="1078"/>
      <c r="V225" s="1078"/>
      <c r="W225" s="1078"/>
      <c r="X225" s="1078"/>
      <c r="Y225" s="1078"/>
      <c r="Z225" s="1078"/>
      <c r="AA225" s="1078"/>
      <c r="AB225" s="1078"/>
      <c r="AC225" s="1078"/>
      <c r="AD225" s="1078"/>
      <c r="AE225" s="1078"/>
      <c r="AF225" s="1078"/>
      <c r="AG225" s="1078"/>
      <c r="AH225" s="1078"/>
      <c r="AI225" s="1078"/>
      <c r="AJ225" s="1078"/>
      <c r="AK225" s="1078"/>
      <c r="AL225" s="1078"/>
      <c r="AM225" s="1078"/>
      <c r="AN225" s="1078"/>
      <c r="AO225" s="1078"/>
      <c r="AP225" s="1078"/>
      <c r="AQ225" s="1078"/>
      <c r="AR225" s="1078"/>
      <c r="AS225" s="1078"/>
      <c r="AT225" s="1078"/>
      <c r="AU225" s="1078"/>
      <c r="AV225" s="1078"/>
      <c r="AW225" s="1078"/>
      <c r="AX225" s="1078"/>
      <c r="AY225" s="1078"/>
      <c r="AZ225" s="1078"/>
      <c r="BA225" s="1078"/>
      <c r="BB225" s="1078"/>
      <c r="BC225" s="1078"/>
      <c r="BD225" s="1082"/>
      <c r="BE225" s="1082"/>
    </row>
    <row r="226" spans="1:57" ht="15.75" customHeight="1">
      <c r="A226" s="1078"/>
      <c r="B226" s="2230" t="s">
        <v>2060</v>
      </c>
      <c r="C226" s="2120"/>
      <c r="D226" s="2120"/>
      <c r="E226" s="2120"/>
      <c r="F226" s="2120"/>
      <c r="G226" s="2120"/>
      <c r="H226" s="2120"/>
      <c r="I226" s="2120"/>
      <c r="J226" s="2120"/>
      <c r="K226" s="2120"/>
      <c r="L226" s="2120"/>
      <c r="M226" s="2120"/>
      <c r="N226" s="2120"/>
      <c r="O226" s="2120"/>
      <c r="P226" s="2120"/>
      <c r="Q226" s="2120"/>
      <c r="R226" s="2120"/>
      <c r="S226" s="2120"/>
      <c r="T226" s="2120"/>
      <c r="U226" s="2120"/>
      <c r="V226" s="2120"/>
      <c r="W226" s="2120"/>
      <c r="X226" s="2120"/>
      <c r="Y226" s="2120"/>
      <c r="Z226" s="2120"/>
      <c r="AA226" s="2120"/>
      <c r="AB226" s="2120"/>
      <c r="AC226" s="2120"/>
      <c r="AD226" s="2120"/>
      <c r="AE226" s="2120"/>
      <c r="AF226" s="2120"/>
      <c r="AG226" s="2120"/>
      <c r="AH226" s="2120"/>
      <c r="AI226" s="2120"/>
      <c r="AJ226" s="2120"/>
      <c r="AK226" s="2120"/>
      <c r="AL226" s="2120"/>
      <c r="AM226" s="2120"/>
      <c r="AN226" s="2120"/>
      <c r="AO226" s="2120"/>
      <c r="AP226" s="2120"/>
      <c r="AQ226" s="2120"/>
      <c r="AR226" s="2120"/>
      <c r="AS226" s="2120"/>
      <c r="AT226" s="2120"/>
      <c r="AU226" s="2120"/>
      <c r="AV226" s="2120"/>
      <c r="AW226" s="2120"/>
      <c r="AX226" s="2120"/>
      <c r="AY226" s="2120"/>
      <c r="AZ226" s="2120"/>
      <c r="BA226" s="2120"/>
      <c r="BB226" s="2120"/>
      <c r="BC226" s="2120"/>
      <c r="BD226" s="2231"/>
      <c r="BE226" s="1082"/>
    </row>
    <row r="227" spans="1:57" ht="15.75" customHeight="1">
      <c r="A227" s="1078"/>
      <c r="B227" s="1121"/>
      <c r="C227" s="1078"/>
      <c r="D227" s="1078"/>
      <c r="E227" s="1078"/>
      <c r="F227" s="1078"/>
      <c r="G227" s="1078"/>
      <c r="H227" s="1078"/>
      <c r="I227" s="1078"/>
      <c r="J227" s="1078"/>
      <c r="K227" s="1078"/>
      <c r="L227" s="1078"/>
      <c r="M227" s="1078"/>
      <c r="N227" s="1078"/>
      <c r="O227" s="1078"/>
      <c r="P227" s="1078"/>
      <c r="Q227" s="1078"/>
      <c r="R227" s="1078"/>
      <c r="S227" s="1078"/>
      <c r="T227" s="1078"/>
      <c r="U227" s="1078"/>
      <c r="V227" s="1078"/>
      <c r="W227" s="1078"/>
      <c r="X227" s="1078"/>
      <c r="Y227" s="1078"/>
      <c r="Z227" s="1078"/>
      <c r="AA227" s="1078"/>
      <c r="AB227" s="1078"/>
      <c r="AC227" s="1078"/>
      <c r="AD227" s="1078"/>
      <c r="AE227" s="1078"/>
      <c r="AF227" s="1078"/>
      <c r="AG227" s="1078"/>
      <c r="AH227" s="1078"/>
      <c r="AI227" s="1078"/>
      <c r="AJ227" s="1078"/>
      <c r="AK227" s="1078"/>
      <c r="AL227" s="1078"/>
      <c r="AM227" s="1078"/>
      <c r="AN227" s="1078"/>
      <c r="AO227" s="1078"/>
      <c r="AP227" s="1078"/>
      <c r="AQ227" s="1078"/>
      <c r="AR227" s="1078"/>
      <c r="AS227" s="1078"/>
      <c r="AT227" s="1078"/>
      <c r="AU227" s="1078"/>
      <c r="AV227" s="1078"/>
      <c r="AW227" s="1078"/>
      <c r="AX227" s="1078"/>
      <c r="AY227" s="1078"/>
      <c r="AZ227" s="1078"/>
      <c r="BA227" s="1078"/>
      <c r="BB227" s="1078"/>
      <c r="BC227" s="1078"/>
      <c r="BD227" s="1082"/>
      <c r="BE227" s="1082"/>
    </row>
    <row r="228" spans="1:57" ht="15.75" customHeight="1">
      <c r="A228" s="1078"/>
      <c r="B228" s="1122"/>
      <c r="C228" s="1078"/>
      <c r="D228" s="1078"/>
      <c r="E228" s="1078"/>
      <c r="F228" s="1078"/>
      <c r="G228" s="1078"/>
      <c r="H228" s="1080" t="s">
        <v>2061</v>
      </c>
      <c r="I228" s="1078"/>
      <c r="J228" s="1078"/>
      <c r="K228" s="1078"/>
      <c r="L228" s="1078"/>
      <c r="M228" s="1078"/>
      <c r="N228" s="1078"/>
      <c r="O228" s="1078"/>
      <c r="P228" s="1078"/>
      <c r="Q228" s="1078"/>
      <c r="R228" s="1078"/>
      <c r="S228" s="1078"/>
      <c r="T228" s="1078"/>
      <c r="U228" s="1078"/>
      <c r="V228" s="1078"/>
      <c r="W228" s="1078"/>
      <c r="X228" s="1078"/>
      <c r="Y228" s="1078"/>
      <c r="Z228" s="1078"/>
      <c r="AA228" s="1078"/>
      <c r="AB228" s="1078"/>
      <c r="AC228" s="1078"/>
      <c r="AD228" s="1078"/>
      <c r="AE228" s="1078"/>
      <c r="AF228" s="1078"/>
      <c r="AG228" s="1078"/>
      <c r="AH228" s="1078"/>
      <c r="AI228" s="1078"/>
      <c r="AJ228" s="1078"/>
      <c r="AK228" s="1078"/>
      <c r="AL228" s="1078"/>
      <c r="AM228" s="1078"/>
      <c r="AN228" s="1078"/>
      <c r="AO228" s="1078"/>
      <c r="AP228" s="1078"/>
      <c r="AQ228" s="1078"/>
      <c r="AR228" s="1078"/>
      <c r="AS228" s="1078"/>
      <c r="AT228" s="1078"/>
      <c r="AU228" s="1078"/>
      <c r="AV228" s="1078"/>
      <c r="AW228" s="1078"/>
      <c r="AX228" s="1078"/>
      <c r="AY228" s="1078"/>
      <c r="AZ228" s="1078"/>
      <c r="BA228" s="1078"/>
      <c r="BB228" s="1078"/>
      <c r="BC228" s="1078"/>
      <c r="BD228" s="1082"/>
      <c r="BE228" s="1082"/>
    </row>
    <row r="229" spans="1:57" ht="15.75" customHeight="1">
      <c r="A229" s="1078"/>
      <c r="B229" s="1122"/>
      <c r="C229" s="1078"/>
      <c r="D229" s="1078"/>
      <c r="E229" s="1078"/>
      <c r="F229" s="1078"/>
      <c r="G229" s="1078"/>
      <c r="H229" s="1078"/>
      <c r="I229" s="1078"/>
      <c r="J229" s="1078"/>
      <c r="K229" s="1078"/>
      <c r="L229" s="1078"/>
      <c r="M229" s="1078"/>
      <c r="N229" s="1078"/>
      <c r="O229" s="1078"/>
      <c r="P229" s="1078"/>
      <c r="Q229" s="1078"/>
      <c r="R229" s="1078"/>
      <c r="S229" s="1078"/>
      <c r="T229" s="1078"/>
      <c r="U229" s="1078"/>
      <c r="V229" s="1078"/>
      <c r="W229" s="1078"/>
      <c r="X229" s="1078"/>
      <c r="Y229" s="1078"/>
      <c r="Z229" s="1078"/>
      <c r="AA229" s="1078"/>
      <c r="AB229" s="1078"/>
      <c r="AC229" s="1078"/>
      <c r="AD229" s="1078"/>
      <c r="AE229" s="1078"/>
      <c r="AF229" s="1078"/>
      <c r="AG229" s="1078"/>
      <c r="AH229" s="1078"/>
      <c r="AI229" s="1078"/>
      <c r="AJ229" s="1078"/>
      <c r="AK229" s="1078"/>
      <c r="AL229" s="1078"/>
      <c r="AM229" s="1078"/>
      <c r="AN229" s="1078"/>
      <c r="AO229" s="1078"/>
      <c r="AP229" s="1078"/>
      <c r="AQ229" s="1078"/>
      <c r="AR229" s="1078"/>
      <c r="AS229" s="1078"/>
      <c r="AT229" s="1078"/>
      <c r="AU229" s="1078"/>
      <c r="AV229" s="1078"/>
      <c r="AW229" s="1078"/>
      <c r="AX229" s="1078"/>
      <c r="AY229" s="1078"/>
      <c r="AZ229" s="1078"/>
      <c r="BA229" s="1078"/>
      <c r="BB229" s="1078"/>
      <c r="BC229" s="1078"/>
      <c r="BD229" s="1082"/>
      <c r="BE229" s="1082"/>
    </row>
    <row r="230" spans="1:57" ht="15.75" customHeight="1">
      <c r="A230" s="1078"/>
      <c r="B230" s="1122"/>
      <c r="C230" s="1078"/>
      <c r="D230" s="1078"/>
      <c r="E230" s="1078"/>
      <c r="F230" s="1078"/>
      <c r="G230" s="1078"/>
      <c r="H230" s="2232" t="s">
        <v>2062</v>
      </c>
      <c r="I230" s="2232"/>
      <c r="J230" s="2232"/>
      <c r="K230" s="2232"/>
      <c r="L230" s="2232"/>
      <c r="M230" s="2232"/>
      <c r="N230" s="2232"/>
      <c r="O230" s="2232"/>
      <c r="P230" s="2232"/>
      <c r="Q230" s="2232"/>
      <c r="R230" s="2232"/>
      <c r="S230" s="2232"/>
      <c r="T230" s="2232"/>
      <c r="U230" s="2232"/>
      <c r="V230" s="2232"/>
      <c r="W230" s="2232"/>
      <c r="X230" s="2232"/>
      <c r="Y230" s="2232"/>
      <c r="Z230" s="2232"/>
      <c r="AA230" s="2232"/>
      <c r="AB230" s="2232"/>
      <c r="AC230" s="2232"/>
      <c r="AD230" s="2232"/>
      <c r="AE230" s="2232"/>
      <c r="AF230" s="2232"/>
      <c r="AG230" s="2232"/>
      <c r="AH230" s="2232"/>
      <c r="AI230" s="2232"/>
      <c r="AJ230" s="2232"/>
      <c r="AK230" s="2232"/>
      <c r="AL230" s="2232"/>
      <c r="AM230" s="2232"/>
      <c r="AN230" s="2232"/>
      <c r="AO230" s="2232"/>
      <c r="AP230" s="2232"/>
      <c r="AQ230" s="2232"/>
      <c r="AR230" s="2232"/>
      <c r="AS230" s="2232"/>
      <c r="AT230" s="2232"/>
      <c r="AU230" s="2232"/>
      <c r="AV230" s="2232"/>
      <c r="AW230" s="2232"/>
      <c r="AX230" s="2232"/>
      <c r="AY230" s="2232"/>
      <c r="AZ230" s="1078"/>
      <c r="BA230" s="1078"/>
      <c r="BB230" s="1078"/>
      <c r="BC230" s="1078"/>
      <c r="BD230" s="1082"/>
      <c r="BE230" s="1082"/>
    </row>
    <row r="231" spans="1:57" ht="15.75" customHeight="1">
      <c r="A231" s="1078"/>
      <c r="B231" s="1122"/>
      <c r="C231" s="1078"/>
      <c r="D231" s="1078"/>
      <c r="E231" s="1078"/>
      <c r="F231" s="1078"/>
      <c r="G231" s="1078"/>
      <c r="H231" s="1078"/>
      <c r="I231" s="1078"/>
      <c r="J231" s="1078"/>
      <c r="K231" s="1078"/>
      <c r="L231" s="1078"/>
      <c r="M231" s="1078"/>
      <c r="N231" s="1078"/>
      <c r="O231" s="1078"/>
      <c r="P231" s="1078"/>
      <c r="Q231" s="1078"/>
      <c r="R231" s="1078"/>
      <c r="S231" s="1078"/>
      <c r="T231" s="1078"/>
      <c r="U231" s="1078"/>
      <c r="V231" s="1078"/>
      <c r="W231" s="1078"/>
      <c r="X231" s="1078"/>
      <c r="Y231" s="1078"/>
      <c r="Z231" s="1078"/>
      <c r="AA231" s="1078"/>
      <c r="AB231" s="1078"/>
      <c r="AC231" s="1078"/>
      <c r="AD231" s="1078"/>
      <c r="AE231" s="1078"/>
      <c r="AF231" s="1078"/>
      <c r="AG231" s="1078"/>
      <c r="AH231" s="1078"/>
      <c r="AI231" s="1078"/>
      <c r="AJ231" s="1078"/>
      <c r="AK231" s="1078"/>
      <c r="AL231" s="1078"/>
      <c r="AM231" s="1078"/>
      <c r="AN231" s="1078"/>
      <c r="AO231" s="1078"/>
      <c r="AP231" s="1078"/>
      <c r="AQ231" s="1078"/>
      <c r="AR231" s="1078"/>
      <c r="AS231" s="1078"/>
      <c r="AT231" s="1078"/>
      <c r="AU231" s="1078"/>
      <c r="AV231" s="1078"/>
      <c r="AW231" s="1078"/>
      <c r="AX231" s="1078"/>
      <c r="AY231" s="1078"/>
      <c r="AZ231" s="1078"/>
      <c r="BA231" s="1078"/>
      <c r="BB231" s="1078"/>
      <c r="BC231" s="1078"/>
      <c r="BD231" s="1082"/>
      <c r="BE231" s="1082"/>
    </row>
    <row r="232" spans="1:57" ht="15.75" customHeight="1">
      <c r="A232" s="1078"/>
      <c r="B232" s="1122"/>
      <c r="C232" s="1078"/>
      <c r="D232" s="1078"/>
      <c r="E232" s="1078"/>
      <c r="F232" s="1078"/>
      <c r="G232" s="1078"/>
      <c r="H232" s="2250" t="s">
        <v>2063</v>
      </c>
      <c r="I232" s="2250"/>
      <c r="J232" s="2250"/>
      <c r="K232" s="2250"/>
      <c r="L232" s="2250"/>
      <c r="M232" s="2250"/>
      <c r="N232" s="2250"/>
      <c r="O232" s="2250"/>
      <c r="P232" s="2250"/>
      <c r="Q232" s="2250"/>
      <c r="R232" s="2250"/>
      <c r="S232" s="2250"/>
      <c r="T232" s="2250"/>
      <c r="U232" s="2250"/>
      <c r="V232" s="2250"/>
      <c r="W232" s="2250"/>
      <c r="X232" s="2250"/>
      <c r="Y232" s="2250"/>
      <c r="Z232" s="2250"/>
      <c r="AA232" s="2250"/>
      <c r="AB232" s="2250"/>
      <c r="AC232" s="2250"/>
      <c r="AD232" s="2250"/>
      <c r="AE232" s="2250"/>
      <c r="AF232" s="2250"/>
      <c r="AG232" s="2250"/>
      <c r="AH232" s="2250"/>
      <c r="AI232" s="2250"/>
      <c r="AJ232" s="2250"/>
      <c r="AK232" s="2250"/>
      <c r="AL232" s="2250"/>
      <c r="AM232" s="2250"/>
      <c r="AN232" s="2250"/>
      <c r="AO232" s="2250"/>
      <c r="AP232" s="2250"/>
      <c r="AQ232" s="2250"/>
      <c r="AR232" s="2250"/>
      <c r="AS232" s="2250"/>
      <c r="AT232" s="2250"/>
      <c r="AU232" s="2250"/>
      <c r="AV232" s="2250"/>
      <c r="AW232" s="2250"/>
      <c r="AX232" s="2250"/>
      <c r="AY232" s="2250"/>
      <c r="AZ232" s="2250"/>
      <c r="BA232" s="1078"/>
      <c r="BB232" s="1078"/>
      <c r="BC232" s="1078"/>
      <c r="BD232" s="1082"/>
      <c r="BE232" s="1082"/>
    </row>
    <row r="233" spans="1:57" ht="15.75" customHeight="1">
      <c r="A233" s="1078"/>
      <c r="B233" s="1077"/>
      <c r="C233" s="1078"/>
      <c r="D233" s="1078"/>
      <c r="E233" s="1078"/>
      <c r="F233" s="1078"/>
      <c r="G233" s="1078"/>
      <c r="H233" s="2250"/>
      <c r="I233" s="2250"/>
      <c r="J233" s="2250"/>
      <c r="K233" s="2250"/>
      <c r="L233" s="2250"/>
      <c r="M233" s="2250"/>
      <c r="N233" s="2250"/>
      <c r="O233" s="2250"/>
      <c r="P233" s="2250"/>
      <c r="Q233" s="2250"/>
      <c r="R233" s="2250"/>
      <c r="S233" s="2250"/>
      <c r="T233" s="2250"/>
      <c r="U233" s="2250"/>
      <c r="V233" s="2250"/>
      <c r="W233" s="2250"/>
      <c r="X233" s="2250"/>
      <c r="Y233" s="2250"/>
      <c r="Z233" s="2250"/>
      <c r="AA233" s="2250"/>
      <c r="AB233" s="2250"/>
      <c r="AC233" s="2250"/>
      <c r="AD233" s="2250"/>
      <c r="AE233" s="2250"/>
      <c r="AF233" s="2250"/>
      <c r="AG233" s="2250"/>
      <c r="AH233" s="2250"/>
      <c r="AI233" s="2250"/>
      <c r="AJ233" s="2250"/>
      <c r="AK233" s="2250"/>
      <c r="AL233" s="2250"/>
      <c r="AM233" s="2250"/>
      <c r="AN233" s="2250"/>
      <c r="AO233" s="2250"/>
      <c r="AP233" s="2250"/>
      <c r="AQ233" s="2250"/>
      <c r="AR233" s="2250"/>
      <c r="AS233" s="2250"/>
      <c r="AT233" s="2250"/>
      <c r="AU233" s="2250"/>
      <c r="AV233" s="2250"/>
      <c r="AW233" s="2250"/>
      <c r="AX233" s="2250"/>
      <c r="AY233" s="2250"/>
      <c r="AZ233" s="2250"/>
      <c r="BA233" s="1078"/>
      <c r="BB233" s="1078"/>
      <c r="BC233" s="1078"/>
      <c r="BD233" s="1082"/>
      <c r="BE233" s="1082"/>
    </row>
    <row r="234" spans="1:57" ht="15.75" customHeight="1">
      <c r="A234" s="1078"/>
      <c r="B234" s="1077"/>
      <c r="C234" s="1078"/>
      <c r="D234" s="1078"/>
      <c r="E234" s="1078"/>
      <c r="F234" s="1078"/>
      <c r="G234" s="1078"/>
      <c r="H234" s="2250"/>
      <c r="I234" s="2250"/>
      <c r="J234" s="2250"/>
      <c r="K234" s="2250"/>
      <c r="L234" s="2250"/>
      <c r="M234" s="2250"/>
      <c r="N234" s="2250"/>
      <c r="O234" s="2250"/>
      <c r="P234" s="2250"/>
      <c r="Q234" s="2250"/>
      <c r="R234" s="2250"/>
      <c r="S234" s="2250"/>
      <c r="T234" s="2250"/>
      <c r="U234" s="2250"/>
      <c r="V234" s="2250"/>
      <c r="W234" s="2250"/>
      <c r="X234" s="2250"/>
      <c r="Y234" s="2250"/>
      <c r="Z234" s="2250"/>
      <c r="AA234" s="2250"/>
      <c r="AB234" s="2250"/>
      <c r="AC234" s="2250"/>
      <c r="AD234" s="2250"/>
      <c r="AE234" s="2250"/>
      <c r="AF234" s="2250"/>
      <c r="AG234" s="2250"/>
      <c r="AH234" s="2250"/>
      <c r="AI234" s="2250"/>
      <c r="AJ234" s="2250"/>
      <c r="AK234" s="2250"/>
      <c r="AL234" s="2250"/>
      <c r="AM234" s="2250"/>
      <c r="AN234" s="2250"/>
      <c r="AO234" s="2250"/>
      <c r="AP234" s="2250"/>
      <c r="AQ234" s="2250"/>
      <c r="AR234" s="2250"/>
      <c r="AS234" s="2250"/>
      <c r="AT234" s="2250"/>
      <c r="AU234" s="2250"/>
      <c r="AV234" s="2250"/>
      <c r="AW234" s="2250"/>
      <c r="AX234" s="2250"/>
      <c r="AY234" s="2250"/>
      <c r="AZ234" s="2250"/>
      <c r="BA234" s="1078"/>
      <c r="BB234" s="1078"/>
      <c r="BC234" s="1078"/>
      <c r="BD234" s="1082"/>
      <c r="BE234" s="1082"/>
    </row>
    <row r="235" spans="1:57" ht="15.75" customHeight="1">
      <c r="A235" s="1078"/>
      <c r="B235" s="1077"/>
      <c r="C235" s="1078"/>
      <c r="D235" s="1078"/>
      <c r="E235" s="1078"/>
      <c r="F235" s="1078"/>
      <c r="G235" s="1078"/>
      <c r="H235" s="2250"/>
      <c r="I235" s="2250"/>
      <c r="J235" s="2250"/>
      <c r="K235" s="2250"/>
      <c r="L235" s="2250"/>
      <c r="M235" s="2250"/>
      <c r="N235" s="2250"/>
      <c r="O235" s="2250"/>
      <c r="P235" s="2250"/>
      <c r="Q235" s="2250"/>
      <c r="R235" s="2250"/>
      <c r="S235" s="2250"/>
      <c r="T235" s="2250"/>
      <c r="U235" s="2250"/>
      <c r="V235" s="2250"/>
      <c r="W235" s="2250"/>
      <c r="X235" s="2250"/>
      <c r="Y235" s="2250"/>
      <c r="Z235" s="2250"/>
      <c r="AA235" s="2250"/>
      <c r="AB235" s="2250"/>
      <c r="AC235" s="2250"/>
      <c r="AD235" s="2250"/>
      <c r="AE235" s="2250"/>
      <c r="AF235" s="2250"/>
      <c r="AG235" s="2250"/>
      <c r="AH235" s="2250"/>
      <c r="AI235" s="2250"/>
      <c r="AJ235" s="2250"/>
      <c r="AK235" s="2250"/>
      <c r="AL235" s="2250"/>
      <c r="AM235" s="2250"/>
      <c r="AN235" s="2250"/>
      <c r="AO235" s="2250"/>
      <c r="AP235" s="2250"/>
      <c r="AQ235" s="2250"/>
      <c r="AR235" s="2250"/>
      <c r="AS235" s="2250"/>
      <c r="AT235" s="2250"/>
      <c r="AU235" s="2250"/>
      <c r="AV235" s="2250"/>
      <c r="AW235" s="2250"/>
      <c r="AX235" s="2250"/>
      <c r="AY235" s="2250"/>
      <c r="AZ235" s="2250"/>
      <c r="BA235" s="1078"/>
      <c r="BB235" s="1078"/>
      <c r="BC235" s="1078"/>
      <c r="BD235" s="1082"/>
      <c r="BE235" s="1082"/>
    </row>
    <row r="236" spans="1:57" ht="15.75" customHeight="1">
      <c r="A236" s="1078"/>
      <c r="B236" s="1077"/>
      <c r="C236" s="1078"/>
      <c r="D236" s="1078"/>
      <c r="E236" s="1078"/>
      <c r="F236" s="1078"/>
      <c r="G236" s="1078"/>
      <c r="H236" s="1078"/>
      <c r="I236" s="1078"/>
      <c r="J236" s="1078"/>
      <c r="K236" s="1078"/>
      <c r="L236" s="1078"/>
      <c r="M236" s="1078"/>
      <c r="N236" s="1078"/>
      <c r="O236" s="1078"/>
      <c r="P236" s="1078"/>
      <c r="Q236" s="1078"/>
      <c r="R236" s="1078"/>
      <c r="S236" s="1078"/>
      <c r="T236" s="1078"/>
      <c r="U236" s="1078"/>
      <c r="V236" s="1078"/>
      <c r="W236" s="1078"/>
      <c r="X236" s="1078"/>
      <c r="Y236" s="1078"/>
      <c r="Z236" s="1078"/>
      <c r="AA236" s="1078"/>
      <c r="AB236" s="1078"/>
      <c r="AC236" s="1078"/>
      <c r="AD236" s="1078"/>
      <c r="AE236" s="1078"/>
      <c r="AF236" s="1078"/>
      <c r="AG236" s="1078"/>
      <c r="AH236" s="1078"/>
      <c r="AI236" s="1078"/>
      <c r="AJ236" s="1078"/>
      <c r="AK236" s="1078"/>
      <c r="AL236" s="1078"/>
      <c r="AM236" s="1078"/>
      <c r="AN236" s="1078"/>
      <c r="AO236" s="1078"/>
      <c r="AP236" s="1078"/>
      <c r="AQ236" s="1078"/>
      <c r="AR236" s="1078"/>
      <c r="AS236" s="1078"/>
      <c r="AT236" s="1078"/>
      <c r="AU236" s="1078"/>
      <c r="AV236" s="1078"/>
      <c r="AW236" s="1078"/>
      <c r="AX236" s="1078"/>
      <c r="AY236" s="1078"/>
      <c r="AZ236" s="1078"/>
      <c r="BA236" s="1078"/>
      <c r="BB236" s="1078"/>
      <c r="BC236" s="1078"/>
      <c r="BD236" s="1082"/>
      <c r="BE236" s="1082"/>
    </row>
    <row r="237" spans="1:57" ht="15.75" customHeight="1" thickBot="1">
      <c r="A237" s="1078"/>
      <c r="B237" s="1123"/>
      <c r="C237" s="1124"/>
      <c r="D237" s="1124"/>
      <c r="E237" s="1124"/>
      <c r="F237" s="1124"/>
      <c r="G237" s="1124"/>
      <c r="H237" s="2251" t="s">
        <v>2064</v>
      </c>
      <c r="I237" s="2251"/>
      <c r="J237" s="2251"/>
      <c r="K237" s="2251"/>
      <c r="L237" s="2251"/>
      <c r="M237" s="2251"/>
      <c r="N237" s="2251"/>
      <c r="O237" s="2251"/>
      <c r="P237" s="2251"/>
      <c r="Q237" s="2251"/>
      <c r="R237" s="2251"/>
      <c r="S237" s="2251"/>
      <c r="T237" s="2251"/>
      <c r="U237" s="2251"/>
      <c r="V237" s="2251"/>
      <c r="W237" s="2251"/>
      <c r="X237" s="2251"/>
      <c r="Y237" s="2251"/>
      <c r="Z237" s="2251"/>
      <c r="AA237" s="2251"/>
      <c r="AB237" s="2251"/>
      <c r="AC237" s="2251"/>
      <c r="AD237" s="2251"/>
      <c r="AE237" s="2251"/>
      <c r="AF237" s="2251"/>
      <c r="AG237" s="2251"/>
      <c r="AH237" s="2251"/>
      <c r="AI237" s="2251"/>
      <c r="AJ237" s="2251"/>
      <c r="AK237" s="2251"/>
      <c r="AL237" s="2251"/>
      <c r="AM237" s="2251"/>
      <c r="AN237" s="2251"/>
      <c r="AO237" s="2251"/>
      <c r="AP237" s="2251"/>
      <c r="AQ237" s="2251"/>
      <c r="AR237" s="2251"/>
      <c r="AS237" s="2251"/>
      <c r="AT237" s="2251"/>
      <c r="AU237" s="2251"/>
      <c r="AV237" s="2251"/>
      <c r="AW237" s="1124"/>
      <c r="AX237" s="1124"/>
      <c r="AY237" s="1124"/>
      <c r="AZ237" s="1124"/>
      <c r="BA237" s="1124"/>
      <c r="BB237" s="1124"/>
      <c r="BC237" s="1124"/>
      <c r="BD237" s="1125"/>
      <c r="BE237" s="1082"/>
    </row>
    <row r="238" spans="1:57" ht="15.75" customHeight="1" thickBot="1">
      <c r="A238" s="1078"/>
      <c r="B238" s="1126"/>
      <c r="C238" s="1127"/>
      <c r="D238" s="1127"/>
      <c r="E238" s="1127"/>
      <c r="F238" s="1127"/>
      <c r="G238" s="1127"/>
      <c r="H238" s="1127"/>
      <c r="I238" s="1127"/>
      <c r="J238" s="1127"/>
      <c r="K238" s="1127"/>
      <c r="L238" s="1127"/>
      <c r="M238" s="1127"/>
      <c r="N238" s="1127"/>
      <c r="O238" s="1127"/>
      <c r="P238" s="1127"/>
      <c r="Q238" s="1127"/>
      <c r="R238" s="1127"/>
      <c r="S238" s="1127"/>
      <c r="T238" s="1127"/>
      <c r="U238" s="1127"/>
      <c r="V238" s="1127"/>
      <c r="W238" s="1127"/>
      <c r="X238" s="1127"/>
      <c r="Y238" s="1127"/>
      <c r="Z238" s="1127"/>
      <c r="AA238" s="1127"/>
      <c r="AB238" s="1127"/>
      <c r="AC238" s="1127"/>
      <c r="AD238" s="1127"/>
      <c r="AE238" s="1127"/>
      <c r="AF238" s="1127"/>
      <c r="AG238" s="1127"/>
      <c r="AH238" s="1127"/>
      <c r="AI238" s="1127"/>
      <c r="AJ238" s="1127"/>
      <c r="AK238" s="1127"/>
      <c r="AL238" s="1127"/>
      <c r="AM238" s="1127"/>
      <c r="AN238" s="1127"/>
      <c r="AO238" s="1127"/>
      <c r="AP238" s="1127"/>
      <c r="AQ238" s="1127"/>
      <c r="AR238" s="1127"/>
      <c r="AS238" s="1127"/>
      <c r="AT238" s="1127"/>
      <c r="AU238" s="1127"/>
      <c r="AV238" s="1127"/>
      <c r="AW238" s="1127"/>
      <c r="AX238" s="1127"/>
      <c r="AY238" s="1127"/>
      <c r="AZ238" s="1127"/>
      <c r="BA238" s="1127"/>
      <c r="BB238" s="1127"/>
      <c r="BC238" s="1127"/>
      <c r="BD238" s="1128"/>
      <c r="BE238" s="1082"/>
    </row>
    <row r="239" spans="1:57" ht="30" customHeight="1" thickBot="1">
      <c r="A239" s="1078"/>
      <c r="B239" s="1126"/>
      <c r="C239" s="1127"/>
      <c r="D239" s="1127"/>
      <c r="E239" s="1127"/>
      <c r="F239" s="1127"/>
      <c r="G239" s="1127"/>
      <c r="H239" s="2241" t="s">
        <v>2065</v>
      </c>
      <c r="I239" s="2241"/>
      <c r="J239" s="2241"/>
      <c r="K239" s="2241"/>
      <c r="L239" s="1127"/>
      <c r="M239" s="1127"/>
      <c r="N239" s="1127"/>
      <c r="O239" s="1127"/>
      <c r="P239" s="1127"/>
      <c r="Q239" s="1127"/>
      <c r="R239" s="1127"/>
      <c r="S239" s="2252"/>
      <c r="T239" s="2253"/>
      <c r="U239" s="2253"/>
      <c r="V239" s="2253"/>
      <c r="W239" s="2253"/>
      <c r="X239" s="2253"/>
      <c r="Y239" s="2253"/>
      <c r="Z239" s="2253"/>
      <c r="AA239" s="2253"/>
      <c r="AB239" s="2253"/>
      <c r="AC239" s="2253"/>
      <c r="AD239" s="2253"/>
      <c r="AE239" s="2253"/>
      <c r="AF239" s="2253"/>
      <c r="AG239" s="2253"/>
      <c r="AH239" s="2253"/>
      <c r="AI239" s="2253"/>
      <c r="AJ239" s="2254"/>
      <c r="AK239" s="1127"/>
      <c r="AL239" s="1127"/>
      <c r="AM239" s="1127"/>
      <c r="AN239" s="1127"/>
      <c r="AO239" s="1127"/>
      <c r="AP239" s="1127"/>
      <c r="AQ239" s="1127"/>
      <c r="AR239" s="1127"/>
      <c r="AS239" s="1127"/>
      <c r="AT239" s="1127"/>
      <c r="AU239" s="1127"/>
      <c r="AV239" s="1127"/>
      <c r="AW239" s="1127"/>
      <c r="AX239" s="1127"/>
      <c r="AY239" s="1127"/>
      <c r="AZ239" s="1127"/>
      <c r="BA239" s="1127"/>
      <c r="BB239" s="1127"/>
      <c r="BC239" s="1127"/>
      <c r="BD239" s="1128"/>
      <c r="BE239" s="1082"/>
    </row>
    <row r="240" spans="1:57" ht="15.75" customHeight="1" thickBot="1">
      <c r="A240" s="1078"/>
      <c r="B240" s="1126"/>
      <c r="C240" s="1127"/>
      <c r="D240" s="1127"/>
      <c r="E240" s="1127"/>
      <c r="F240" s="1127"/>
      <c r="G240" s="1127"/>
      <c r="H240" s="1129"/>
      <c r="I240" s="1129"/>
      <c r="J240" s="1129"/>
      <c r="K240" s="1129"/>
      <c r="L240" s="1127"/>
      <c r="M240" s="1127"/>
      <c r="N240" s="1127"/>
      <c r="O240" s="1127"/>
      <c r="P240" s="1127"/>
      <c r="Q240" s="1127"/>
      <c r="R240" s="1127"/>
      <c r="S240" s="1127"/>
      <c r="T240" s="1127"/>
      <c r="U240" s="1127"/>
      <c r="V240" s="1127"/>
      <c r="W240" s="1127"/>
      <c r="X240" s="1127"/>
      <c r="Y240" s="1127"/>
      <c r="Z240" s="1127"/>
      <c r="AA240" s="1127"/>
      <c r="AB240" s="1127"/>
      <c r="AC240" s="1127"/>
      <c r="AD240" s="1127"/>
      <c r="AE240" s="1127"/>
      <c r="AF240" s="1127"/>
      <c r="AG240" s="1127"/>
      <c r="AH240" s="1127"/>
      <c r="AI240" s="1127"/>
      <c r="AJ240" s="1127"/>
      <c r="AK240" s="1127"/>
      <c r="AL240" s="1127"/>
      <c r="AM240" s="1127"/>
      <c r="AN240" s="1127"/>
      <c r="AO240" s="1127"/>
      <c r="AP240" s="1127"/>
      <c r="AQ240" s="1127"/>
      <c r="AR240" s="1127"/>
      <c r="AS240" s="1127"/>
      <c r="AT240" s="1127"/>
      <c r="AU240" s="1127"/>
      <c r="AV240" s="1127"/>
      <c r="AW240" s="1127"/>
      <c r="AX240" s="1127"/>
      <c r="AY240" s="1127"/>
      <c r="AZ240" s="1127"/>
      <c r="BA240" s="1127"/>
      <c r="BB240" s="1127"/>
      <c r="BC240" s="1127"/>
      <c r="BD240" s="1128"/>
      <c r="BE240" s="1082"/>
    </row>
    <row r="241" spans="1:57" ht="15.75" customHeight="1" thickBot="1">
      <c r="A241" s="1078"/>
      <c r="B241" s="1126"/>
      <c r="C241" s="1127"/>
      <c r="D241" s="1127"/>
      <c r="E241" s="1127"/>
      <c r="F241" s="1127"/>
      <c r="G241" s="1127"/>
      <c r="H241" s="2241" t="s">
        <v>1964</v>
      </c>
      <c r="I241" s="2241"/>
      <c r="J241" s="2241"/>
      <c r="K241" s="1129"/>
      <c r="L241" s="1127"/>
      <c r="M241" s="1127"/>
      <c r="N241" s="1127"/>
      <c r="O241" s="1127"/>
      <c r="P241" s="1127"/>
      <c r="Q241" s="1127"/>
      <c r="R241" s="1127"/>
      <c r="S241" s="2242"/>
      <c r="T241" s="2243"/>
      <c r="U241" s="2243"/>
      <c r="V241" s="2243"/>
      <c r="W241" s="2243"/>
      <c r="X241" s="2243"/>
      <c r="Y241" s="2243"/>
      <c r="Z241" s="2243"/>
      <c r="AA241" s="2243"/>
      <c r="AB241" s="2243"/>
      <c r="AC241" s="2243"/>
      <c r="AD241" s="2243"/>
      <c r="AE241" s="2243"/>
      <c r="AF241" s="2243"/>
      <c r="AG241" s="2243"/>
      <c r="AH241" s="2243"/>
      <c r="AI241" s="2243"/>
      <c r="AJ241" s="2244"/>
      <c r="AK241" s="1127"/>
      <c r="AL241" s="1127"/>
      <c r="AM241" s="1127"/>
      <c r="AN241" s="1127"/>
      <c r="AO241" s="1127"/>
      <c r="AP241" s="1127"/>
      <c r="AQ241" s="1127"/>
      <c r="AR241" s="1127"/>
      <c r="AS241" s="1127"/>
      <c r="AT241" s="1127"/>
      <c r="AU241" s="1127"/>
      <c r="AV241" s="1127"/>
      <c r="AW241" s="1127"/>
      <c r="AX241" s="1127"/>
      <c r="AY241" s="1127"/>
      <c r="AZ241" s="1127"/>
      <c r="BA241" s="1127"/>
      <c r="BB241" s="1127"/>
      <c r="BC241" s="1127"/>
      <c r="BD241" s="1128"/>
      <c r="BE241" s="1082"/>
    </row>
    <row r="242" spans="1:57" ht="15.75" customHeight="1" thickBot="1">
      <c r="A242" s="1078"/>
      <c r="B242" s="1126"/>
      <c r="C242" s="1127"/>
      <c r="D242" s="1127"/>
      <c r="E242" s="1127"/>
      <c r="F242" s="1127"/>
      <c r="G242" s="1127"/>
      <c r="H242" s="1129"/>
      <c r="I242" s="1129"/>
      <c r="J242" s="1129"/>
      <c r="K242" s="1129"/>
      <c r="L242" s="1127"/>
      <c r="M242" s="1127"/>
      <c r="N242" s="1127"/>
      <c r="O242" s="1127"/>
      <c r="P242" s="1127"/>
      <c r="Q242" s="1127"/>
      <c r="R242" s="1127"/>
      <c r="S242" s="1127"/>
      <c r="T242" s="1127"/>
      <c r="U242" s="1127"/>
      <c r="V242" s="1127"/>
      <c r="W242" s="1127"/>
      <c r="X242" s="1127"/>
      <c r="Y242" s="1127"/>
      <c r="Z242" s="1127"/>
      <c r="AA242" s="1127"/>
      <c r="AB242" s="1127"/>
      <c r="AC242" s="1127"/>
      <c r="AD242" s="1127"/>
      <c r="AE242" s="1127"/>
      <c r="AF242" s="1127"/>
      <c r="AG242" s="1127"/>
      <c r="AH242" s="1127"/>
      <c r="AI242" s="1127"/>
      <c r="AJ242" s="1127"/>
      <c r="AK242" s="1127"/>
      <c r="AL242" s="1127"/>
      <c r="AM242" s="1127"/>
      <c r="AN242" s="1127"/>
      <c r="AO242" s="1127"/>
      <c r="AP242" s="1127"/>
      <c r="AQ242" s="1127"/>
      <c r="AR242" s="1127"/>
      <c r="AS242" s="1127"/>
      <c r="AT242" s="1127"/>
      <c r="AU242" s="1127"/>
      <c r="AV242" s="1127"/>
      <c r="AW242" s="1127"/>
      <c r="AX242" s="1127"/>
      <c r="AY242" s="1127"/>
      <c r="AZ242" s="1127"/>
      <c r="BA242" s="1127"/>
      <c r="BB242" s="1127"/>
      <c r="BC242" s="1127"/>
      <c r="BD242" s="1128"/>
      <c r="BE242" s="1082"/>
    </row>
    <row r="243" spans="1:57" ht="15.75" customHeight="1" thickBot="1">
      <c r="A243" s="1078"/>
      <c r="B243" s="1126"/>
      <c r="C243" s="1127"/>
      <c r="D243" s="1127"/>
      <c r="E243" s="1127"/>
      <c r="F243" s="1127"/>
      <c r="G243" s="1127"/>
      <c r="H243" s="2241" t="s">
        <v>805</v>
      </c>
      <c r="I243" s="2241"/>
      <c r="J243" s="1129"/>
      <c r="K243" s="1129"/>
      <c r="L243" s="1127"/>
      <c r="M243" s="1127"/>
      <c r="N243" s="1127"/>
      <c r="O243" s="1127"/>
      <c r="P243" s="1127"/>
      <c r="Q243" s="1127"/>
      <c r="R243" s="1127"/>
      <c r="S243" s="2242"/>
      <c r="T243" s="2243"/>
      <c r="U243" s="2243"/>
      <c r="V243" s="2243"/>
      <c r="W243" s="2243"/>
      <c r="X243" s="2243"/>
      <c r="Y243" s="2243"/>
      <c r="Z243" s="2243"/>
      <c r="AA243" s="2243"/>
      <c r="AB243" s="2243"/>
      <c r="AC243" s="2243"/>
      <c r="AD243" s="2243"/>
      <c r="AE243" s="2243"/>
      <c r="AF243" s="2243"/>
      <c r="AG243" s="2243"/>
      <c r="AH243" s="2243"/>
      <c r="AI243" s="2243"/>
      <c r="AJ243" s="2244"/>
      <c r="AK243" s="1127"/>
      <c r="AL243" s="1127"/>
      <c r="AM243" s="1127"/>
      <c r="AN243" s="1127"/>
      <c r="AO243" s="1127"/>
      <c r="AP243" s="1127"/>
      <c r="AQ243" s="1127"/>
      <c r="AR243" s="1127"/>
      <c r="AS243" s="1127"/>
      <c r="AT243" s="1127"/>
      <c r="AU243" s="1127"/>
      <c r="AV243" s="1127"/>
      <c r="AW243" s="1127"/>
      <c r="AX243" s="1127"/>
      <c r="AY243" s="1127"/>
      <c r="AZ243" s="1127"/>
      <c r="BA243" s="1127"/>
      <c r="BB243" s="1127"/>
      <c r="BC243" s="1127"/>
      <c r="BD243" s="1128"/>
      <c r="BE243" s="1082"/>
    </row>
    <row r="244" spans="1:57" ht="15.75" customHeight="1" thickBot="1">
      <c r="A244" s="1078"/>
      <c r="B244" s="1126"/>
      <c r="C244" s="1127"/>
      <c r="D244" s="1127"/>
      <c r="E244" s="1127"/>
      <c r="F244" s="1127"/>
      <c r="G244" s="1127"/>
      <c r="H244" s="1127"/>
      <c r="I244" s="1127"/>
      <c r="J244" s="1127"/>
      <c r="K244" s="1127"/>
      <c r="L244" s="1127"/>
      <c r="M244" s="1127"/>
      <c r="N244" s="1127"/>
      <c r="O244" s="1127"/>
      <c r="P244" s="1127"/>
      <c r="Q244" s="1127"/>
      <c r="R244" s="1127"/>
      <c r="S244" s="1127"/>
      <c r="T244" s="1127"/>
      <c r="U244" s="1127"/>
      <c r="V244" s="1127"/>
      <c r="W244" s="1127"/>
      <c r="X244" s="1127"/>
      <c r="Y244" s="1127"/>
      <c r="Z244" s="1127"/>
      <c r="AA244" s="1127"/>
      <c r="AB244" s="1127"/>
      <c r="AC244" s="1127"/>
      <c r="AD244" s="1127"/>
      <c r="AE244" s="1127"/>
      <c r="AF244" s="1127"/>
      <c r="AG244" s="1127"/>
      <c r="AH244" s="1127"/>
      <c r="AI244" s="1127"/>
      <c r="AJ244" s="1127"/>
      <c r="AK244" s="1127"/>
      <c r="AL244" s="1127"/>
      <c r="AM244" s="1127"/>
      <c r="AN244" s="1127"/>
      <c r="AO244" s="1127"/>
      <c r="AP244" s="1127"/>
      <c r="AQ244" s="1127"/>
      <c r="AR244" s="1127"/>
      <c r="AS244" s="1127"/>
      <c r="AT244" s="1127"/>
      <c r="AU244" s="1127"/>
      <c r="AV244" s="1127"/>
      <c r="AW244" s="1127"/>
      <c r="AX244" s="1127"/>
      <c r="AY244" s="1127"/>
      <c r="AZ244" s="1127"/>
      <c r="BA244" s="1127"/>
      <c r="BB244" s="1127"/>
      <c r="BC244" s="1127"/>
      <c r="BD244" s="1128"/>
      <c r="BE244" s="1082"/>
    </row>
    <row r="245" spans="1:57" ht="15.75" customHeight="1" thickBot="1">
      <c r="A245" s="1078"/>
      <c r="B245" s="1126"/>
      <c r="C245" s="1127"/>
      <c r="D245" s="1127"/>
      <c r="E245" s="1127"/>
      <c r="F245" s="1127"/>
      <c r="G245" s="1127"/>
      <c r="H245" s="2245" t="s">
        <v>2066</v>
      </c>
      <c r="I245" s="2245"/>
      <c r="J245" s="2245"/>
      <c r="K245" s="2245"/>
      <c r="L245" s="2245"/>
      <c r="M245" s="2245"/>
      <c r="N245" s="2245"/>
      <c r="O245" s="2245"/>
      <c r="P245" s="1127"/>
      <c r="Q245" s="1127"/>
      <c r="R245" s="1127"/>
      <c r="S245" s="2242"/>
      <c r="T245" s="2243"/>
      <c r="U245" s="2243"/>
      <c r="V245" s="2243"/>
      <c r="W245" s="2243"/>
      <c r="X245" s="2243"/>
      <c r="Y245" s="2243"/>
      <c r="Z245" s="2243"/>
      <c r="AA245" s="2243"/>
      <c r="AB245" s="2243"/>
      <c r="AC245" s="2243"/>
      <c r="AD245" s="2243"/>
      <c r="AE245" s="2243"/>
      <c r="AF245" s="2243"/>
      <c r="AG245" s="2243"/>
      <c r="AH245" s="2243"/>
      <c r="AI245" s="2243"/>
      <c r="AJ245" s="2244"/>
      <c r="AK245" s="1127"/>
      <c r="AL245" s="1127"/>
      <c r="AM245" s="1127"/>
      <c r="AN245" s="1127"/>
      <c r="AO245" s="1127"/>
      <c r="AP245" s="1127"/>
      <c r="AQ245" s="1127"/>
      <c r="AR245" s="1127"/>
      <c r="AS245" s="1127"/>
      <c r="AT245" s="1127"/>
      <c r="AU245" s="1127"/>
      <c r="AV245" s="1127"/>
      <c r="AW245" s="1127"/>
      <c r="AX245" s="1127"/>
      <c r="AY245" s="1127"/>
      <c r="AZ245" s="1127"/>
      <c r="BA245" s="1127"/>
      <c r="BB245" s="1127"/>
      <c r="BC245" s="1127"/>
      <c r="BD245" s="1128"/>
      <c r="BE245" s="1082"/>
    </row>
    <row r="246" spans="1:57" ht="15.75" customHeight="1" thickBot="1">
      <c r="A246" s="1078"/>
      <c r="B246" s="1126"/>
      <c r="C246" s="1127"/>
      <c r="D246" s="1127"/>
      <c r="E246" s="1127"/>
      <c r="F246" s="1127"/>
      <c r="G246" s="1127"/>
      <c r="H246" s="1127"/>
      <c r="I246" s="1127"/>
      <c r="J246" s="1127"/>
      <c r="K246" s="1127"/>
      <c r="L246" s="1127"/>
      <c r="M246" s="1127"/>
      <c r="N246" s="1127"/>
      <c r="O246" s="1127"/>
      <c r="P246" s="1127"/>
      <c r="Q246" s="1127"/>
      <c r="R246" s="1127"/>
      <c r="S246" s="1127"/>
      <c r="T246" s="1127"/>
      <c r="U246" s="1127"/>
      <c r="V246" s="1127"/>
      <c r="W246" s="1127"/>
      <c r="X246" s="1127"/>
      <c r="Y246" s="1127"/>
      <c r="Z246" s="1127"/>
      <c r="AA246" s="1127"/>
      <c r="AB246" s="1127"/>
      <c r="AC246" s="1127"/>
      <c r="AD246" s="1127"/>
      <c r="AE246" s="1127"/>
      <c r="AF246" s="1127"/>
      <c r="AG246" s="1127"/>
      <c r="AH246" s="1127"/>
      <c r="AI246" s="1127"/>
      <c r="AJ246" s="1127"/>
      <c r="AK246" s="1127"/>
      <c r="AL246" s="1127"/>
      <c r="AM246" s="1127"/>
      <c r="AN246" s="1127"/>
      <c r="AO246" s="1127"/>
      <c r="AP246" s="1127"/>
      <c r="AQ246" s="1127"/>
      <c r="AR246" s="1127"/>
      <c r="AS246" s="1127"/>
      <c r="AT246" s="1127"/>
      <c r="AU246" s="1127"/>
      <c r="AV246" s="1127"/>
      <c r="AW246" s="1127"/>
      <c r="AX246" s="1127"/>
      <c r="AY246" s="1127"/>
      <c r="AZ246" s="1127"/>
      <c r="BA246" s="1127"/>
      <c r="BB246" s="1127"/>
      <c r="BC246" s="1127"/>
      <c r="BD246" s="1128"/>
      <c r="BE246" s="1082"/>
    </row>
    <row r="247" spans="1:57" ht="15.75" customHeight="1" thickBot="1">
      <c r="A247" s="1078"/>
      <c r="B247" s="1126"/>
      <c r="C247" s="1127"/>
      <c r="D247" s="1127"/>
      <c r="E247" s="1127"/>
      <c r="F247" s="1127"/>
      <c r="G247" s="1127"/>
      <c r="H247" s="2246" t="s">
        <v>2067</v>
      </c>
      <c r="I247" s="2246"/>
      <c r="J247" s="1127"/>
      <c r="K247" s="1127"/>
      <c r="L247" s="1127"/>
      <c r="M247" s="1127"/>
      <c r="N247" s="1127"/>
      <c r="O247" s="1127"/>
      <c r="P247" s="1127"/>
      <c r="Q247" s="1127"/>
      <c r="R247" s="1127"/>
      <c r="S247" s="2247"/>
      <c r="T247" s="2248"/>
      <c r="U247" s="2248"/>
      <c r="V247" s="2248"/>
      <c r="W247" s="2248"/>
      <c r="X247" s="2248"/>
      <c r="Y247" s="2248"/>
      <c r="Z247" s="2248"/>
      <c r="AA247" s="2248"/>
      <c r="AB247" s="2248"/>
      <c r="AC247" s="2248"/>
      <c r="AD247" s="2248"/>
      <c r="AE247" s="2248"/>
      <c r="AF247" s="2248"/>
      <c r="AG247" s="2248"/>
      <c r="AH247" s="2248"/>
      <c r="AI247" s="2248"/>
      <c r="AJ247" s="2249"/>
      <c r="AK247" s="1127"/>
      <c r="AL247" s="1127"/>
      <c r="AM247" s="1127"/>
      <c r="AN247" s="1127"/>
      <c r="AO247" s="1127"/>
      <c r="AP247" s="1127"/>
      <c r="AQ247" s="1127"/>
      <c r="AR247" s="1127"/>
      <c r="AS247" s="1127"/>
      <c r="AT247" s="1127"/>
      <c r="AU247" s="1127"/>
      <c r="AV247" s="1127"/>
      <c r="AW247" s="1127"/>
      <c r="AX247" s="1127"/>
      <c r="AY247" s="1127"/>
      <c r="AZ247" s="1127"/>
      <c r="BA247" s="1127"/>
      <c r="BB247" s="1127"/>
      <c r="BC247" s="1127"/>
      <c r="BD247" s="1128"/>
      <c r="BE247" s="1082"/>
    </row>
    <row r="248" spans="1:57" ht="15.75" customHeight="1" thickBot="1">
      <c r="A248" s="1078"/>
      <c r="B248" s="1130"/>
      <c r="C248" s="1131"/>
      <c r="D248" s="1131"/>
      <c r="E248" s="1131"/>
      <c r="F248" s="1131"/>
      <c r="G248" s="1131"/>
      <c r="H248" s="1131"/>
      <c r="I248" s="1131"/>
      <c r="J248" s="1131"/>
      <c r="K248" s="1131"/>
      <c r="L248" s="1131"/>
      <c r="M248" s="1131"/>
      <c r="N248" s="1131"/>
      <c r="O248" s="1131"/>
      <c r="P248" s="1131"/>
      <c r="Q248" s="1131"/>
      <c r="R248" s="1131"/>
      <c r="S248" s="1131"/>
      <c r="T248" s="1131"/>
      <c r="U248" s="1131"/>
      <c r="V248" s="1131"/>
      <c r="W248" s="1131"/>
      <c r="X248" s="1131"/>
      <c r="Y248" s="1131"/>
      <c r="Z248" s="1131"/>
      <c r="AA248" s="1131"/>
      <c r="AB248" s="1131"/>
      <c r="AC248" s="1131"/>
      <c r="AD248" s="1131"/>
      <c r="AE248" s="1131"/>
      <c r="AF248" s="1131"/>
      <c r="AG248" s="1131"/>
      <c r="AH248" s="1131"/>
      <c r="AI248" s="1131"/>
      <c r="AJ248" s="1131"/>
      <c r="AK248" s="1131"/>
      <c r="AL248" s="1131"/>
      <c r="AM248" s="1131"/>
      <c r="AN248" s="1131"/>
      <c r="AO248" s="1131"/>
      <c r="AP248" s="1131"/>
      <c r="AQ248" s="1131"/>
      <c r="AR248" s="1131"/>
      <c r="AS248" s="1131"/>
      <c r="AT248" s="1131"/>
      <c r="AU248" s="1131"/>
      <c r="AV248" s="1131"/>
      <c r="AW248" s="1131"/>
      <c r="AX248" s="1131"/>
      <c r="AY248" s="1131"/>
      <c r="AZ248" s="1131"/>
      <c r="BA248" s="1131"/>
      <c r="BB248" s="1131"/>
      <c r="BC248" s="1131"/>
      <c r="BD248" s="1132"/>
      <c r="BE248" s="1082"/>
    </row>
    <row r="249" spans="1:57" ht="15.75" customHeight="1" thickBot="1">
      <c r="A249" s="1124"/>
      <c r="B249" s="1124"/>
      <c r="C249" s="1124"/>
      <c r="D249" s="1124"/>
      <c r="E249" s="1124"/>
      <c r="F249" s="1124"/>
      <c r="G249" s="1124"/>
      <c r="H249" s="1124"/>
      <c r="I249" s="1124"/>
      <c r="J249" s="1124"/>
      <c r="K249" s="1124"/>
      <c r="L249" s="1124"/>
      <c r="M249" s="1124"/>
      <c r="N249" s="1124"/>
      <c r="O249" s="1124"/>
      <c r="P249" s="1124"/>
      <c r="Q249" s="1124"/>
      <c r="R249" s="1124"/>
      <c r="S249" s="1124"/>
      <c r="T249" s="1124"/>
      <c r="U249" s="1124"/>
      <c r="V249" s="1124"/>
      <c r="W249" s="1124"/>
      <c r="X249" s="1124"/>
      <c r="Y249" s="1124"/>
      <c r="Z249" s="1124"/>
      <c r="AA249" s="1124"/>
      <c r="AB249" s="1124"/>
      <c r="AC249" s="1124"/>
      <c r="AD249" s="1124"/>
      <c r="AE249" s="1124"/>
      <c r="AF249" s="1124"/>
      <c r="AG249" s="1124"/>
      <c r="AH249" s="1124"/>
      <c r="AI249" s="1124"/>
      <c r="AJ249" s="1124"/>
      <c r="AK249" s="1124"/>
      <c r="AL249" s="1124"/>
      <c r="AM249" s="1124"/>
      <c r="AN249" s="1124"/>
      <c r="AO249" s="1124"/>
      <c r="AP249" s="1124"/>
      <c r="AQ249" s="1124"/>
      <c r="AR249" s="1124"/>
      <c r="AS249" s="1124"/>
      <c r="AT249" s="1124"/>
      <c r="AU249" s="1124"/>
      <c r="AV249" s="1124"/>
      <c r="AW249" s="1124"/>
      <c r="AX249" s="1124"/>
      <c r="AY249" s="1124"/>
      <c r="AZ249" s="1124"/>
      <c r="BA249" s="1124"/>
      <c r="BB249" s="1124"/>
      <c r="BC249" s="1124"/>
      <c r="BD249" s="1124"/>
      <c r="BE249" s="1125"/>
    </row>
    <row r="252" spans="1:57" ht="15.75" customHeight="1">
      <c r="D252" s="1076"/>
    </row>
    <row r="253" spans="1:57" ht="15.75" customHeight="1">
      <c r="D253" s="1133"/>
    </row>
    <row r="254" spans="1:57" ht="15.75" customHeight="1">
      <c r="D254" s="1076"/>
    </row>
    <row r="255" spans="1:57" ht="15.75" customHeight="1">
      <c r="D255" s="1076"/>
    </row>
    <row r="256" spans="1:57" ht="15.75" customHeight="1">
      <c r="R256" s="1075" t="s">
        <v>254</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0" sqref="AB50:AF50"/>
    </sheetView>
  </sheetViews>
  <sheetFormatPr defaultColWidth="0" defaultRowHeight="13" customHeight="1"/>
  <cols>
    <col min="1" max="1" width="1.453125" style="304" customWidth="1"/>
    <col min="2" max="2" width="0.81640625" style="304" customWidth="1"/>
    <col min="3" max="18" width="2.453125" style="304" customWidth="1"/>
    <col min="19" max="19" width="6.36328125" style="304" customWidth="1"/>
    <col min="20" max="39" width="2.6328125" style="304" customWidth="1"/>
    <col min="40" max="40" width="1.453125" style="304" customWidth="1"/>
    <col min="41" max="256" width="2.453125" style="304" hidden="1"/>
    <col min="257" max="257" width="1.453125" style="304" hidden="1" customWidth="1"/>
    <col min="258" max="258" width="0.81640625" style="304" hidden="1" customWidth="1"/>
    <col min="259" max="274" width="2.453125" style="304" hidden="1" customWidth="1"/>
    <col min="275" max="275" width="4" style="304" hidden="1" customWidth="1"/>
    <col min="276" max="295" width="2.453125" style="304" hidden="1" customWidth="1"/>
    <col min="296" max="296" width="1.453125" style="304" hidden="1" customWidth="1"/>
    <col min="297" max="512" width="2.453125" style="304" hidden="1"/>
    <col min="513" max="513" width="1.453125" style="304" hidden="1" customWidth="1"/>
    <col min="514" max="514" width="0.81640625" style="304" hidden="1" customWidth="1"/>
    <col min="515" max="530" width="2.453125" style="304" hidden="1" customWidth="1"/>
    <col min="531" max="531" width="4" style="304" hidden="1" customWidth="1"/>
    <col min="532" max="551" width="2.453125" style="304" hidden="1" customWidth="1"/>
    <col min="552" max="552" width="1.453125" style="304" hidden="1" customWidth="1"/>
    <col min="553" max="768" width="2.453125" style="304" hidden="1"/>
    <col min="769" max="769" width="1.453125" style="304" hidden="1" customWidth="1"/>
    <col min="770" max="770" width="0.81640625" style="304" hidden="1" customWidth="1"/>
    <col min="771" max="786" width="2.453125" style="304" hidden="1" customWidth="1"/>
    <col min="787" max="787" width="4" style="304" hidden="1" customWidth="1"/>
    <col min="788" max="807" width="2.453125" style="304" hidden="1" customWidth="1"/>
    <col min="808" max="808" width="1.453125" style="304" hidden="1" customWidth="1"/>
    <col min="809" max="1024" width="2.453125" style="304" hidden="1"/>
    <col min="1025" max="1025" width="1.453125" style="304" hidden="1" customWidth="1"/>
    <col min="1026" max="1026" width="0.81640625" style="304" hidden="1" customWidth="1"/>
    <col min="1027" max="1042" width="2.453125" style="304" hidden="1" customWidth="1"/>
    <col min="1043" max="1043" width="4" style="304" hidden="1" customWidth="1"/>
    <col min="1044" max="1063" width="2.453125" style="304" hidden="1" customWidth="1"/>
    <col min="1064" max="1064" width="1.453125" style="304" hidden="1" customWidth="1"/>
    <col min="1065" max="1280" width="2.453125" style="304" hidden="1"/>
    <col min="1281" max="1281" width="1.453125" style="304" hidden="1" customWidth="1"/>
    <col min="1282" max="1282" width="0.81640625" style="304" hidden="1" customWidth="1"/>
    <col min="1283" max="1298" width="2.453125" style="304" hidden="1" customWidth="1"/>
    <col min="1299" max="1299" width="4" style="304" hidden="1" customWidth="1"/>
    <col min="1300" max="1319" width="2.453125" style="304" hidden="1" customWidth="1"/>
    <col min="1320" max="1320" width="1.453125" style="304" hidden="1" customWidth="1"/>
    <col min="1321" max="1536" width="2.453125" style="304" hidden="1"/>
    <col min="1537" max="1537" width="1.453125" style="304" hidden="1" customWidth="1"/>
    <col min="1538" max="1538" width="0.81640625" style="304" hidden="1" customWidth="1"/>
    <col min="1539" max="1554" width="2.453125" style="304" hidden="1" customWidth="1"/>
    <col min="1555" max="1555" width="4" style="304" hidden="1" customWidth="1"/>
    <col min="1556" max="1575" width="2.453125" style="304" hidden="1" customWidth="1"/>
    <col min="1576" max="1576" width="1.453125" style="304" hidden="1" customWidth="1"/>
    <col min="1577" max="1792" width="2.453125" style="304" hidden="1"/>
    <col min="1793" max="1793" width="1.453125" style="304" hidden="1" customWidth="1"/>
    <col min="1794" max="1794" width="0.81640625" style="304" hidden="1" customWidth="1"/>
    <col min="1795" max="1810" width="2.453125" style="304" hidden="1" customWidth="1"/>
    <col min="1811" max="1811" width="4" style="304" hidden="1" customWidth="1"/>
    <col min="1812" max="1831" width="2.453125" style="304" hidden="1" customWidth="1"/>
    <col min="1832" max="1832" width="1.453125" style="304" hidden="1" customWidth="1"/>
    <col min="1833" max="2048" width="2.453125" style="304" hidden="1"/>
    <col min="2049" max="2049" width="1.453125" style="304" hidden="1" customWidth="1"/>
    <col min="2050" max="2050" width="0.81640625" style="304" hidden="1" customWidth="1"/>
    <col min="2051" max="2066" width="2.453125" style="304" hidden="1" customWidth="1"/>
    <col min="2067" max="2067" width="4" style="304" hidden="1" customWidth="1"/>
    <col min="2068" max="2087" width="2.453125" style="304" hidden="1" customWidth="1"/>
    <col min="2088" max="2088" width="1.453125" style="304" hidden="1" customWidth="1"/>
    <col min="2089" max="2304" width="2.453125" style="304" hidden="1"/>
    <col min="2305" max="2305" width="1.453125" style="304" hidden="1" customWidth="1"/>
    <col min="2306" max="2306" width="0.81640625" style="304" hidden="1" customWidth="1"/>
    <col min="2307" max="2322" width="2.453125" style="304" hidden="1" customWidth="1"/>
    <col min="2323" max="2323" width="4" style="304" hidden="1" customWidth="1"/>
    <col min="2324" max="2343" width="2.453125" style="304" hidden="1" customWidth="1"/>
    <col min="2344" max="2344" width="1.453125" style="304" hidden="1" customWidth="1"/>
    <col min="2345" max="2560" width="2.453125" style="304" hidden="1"/>
    <col min="2561" max="2561" width="1.453125" style="304" hidden="1" customWidth="1"/>
    <col min="2562" max="2562" width="0.81640625" style="304" hidden="1" customWidth="1"/>
    <col min="2563" max="2578" width="2.453125" style="304" hidden="1" customWidth="1"/>
    <col min="2579" max="2579" width="4" style="304" hidden="1" customWidth="1"/>
    <col min="2580" max="2599" width="2.453125" style="304" hidden="1" customWidth="1"/>
    <col min="2600" max="2600" width="1.453125" style="304" hidden="1" customWidth="1"/>
    <col min="2601" max="2816" width="2.453125" style="304" hidden="1"/>
    <col min="2817" max="2817" width="1.453125" style="304" hidden="1" customWidth="1"/>
    <col min="2818" max="2818" width="0.81640625" style="304" hidden="1" customWidth="1"/>
    <col min="2819" max="2834" width="2.453125" style="304" hidden="1" customWidth="1"/>
    <col min="2835" max="2835" width="4" style="304" hidden="1" customWidth="1"/>
    <col min="2836" max="2855" width="2.453125" style="304" hidden="1" customWidth="1"/>
    <col min="2856" max="2856" width="1.453125" style="304" hidden="1" customWidth="1"/>
    <col min="2857" max="3072" width="2.453125" style="304" hidden="1"/>
    <col min="3073" max="3073" width="1.453125" style="304" hidden="1" customWidth="1"/>
    <col min="3074" max="3074" width="0.81640625" style="304" hidden="1" customWidth="1"/>
    <col min="3075" max="3090" width="2.453125" style="304" hidden="1" customWidth="1"/>
    <col min="3091" max="3091" width="4" style="304" hidden="1" customWidth="1"/>
    <col min="3092" max="3111" width="2.453125" style="304" hidden="1" customWidth="1"/>
    <col min="3112" max="3112" width="1.453125" style="304" hidden="1" customWidth="1"/>
    <col min="3113" max="3328" width="2.453125" style="304" hidden="1"/>
    <col min="3329" max="3329" width="1.453125" style="304" hidden="1" customWidth="1"/>
    <col min="3330" max="3330" width="0.81640625" style="304" hidden="1" customWidth="1"/>
    <col min="3331" max="3346" width="2.453125" style="304" hidden="1" customWidth="1"/>
    <col min="3347" max="3347" width="4" style="304" hidden="1" customWidth="1"/>
    <col min="3348" max="3367" width="2.453125" style="304" hidden="1" customWidth="1"/>
    <col min="3368" max="3368" width="1.453125" style="304" hidden="1" customWidth="1"/>
    <col min="3369" max="3584" width="2.453125" style="304" hidden="1"/>
    <col min="3585" max="3585" width="1.453125" style="304" hidden="1" customWidth="1"/>
    <col min="3586" max="3586" width="0.81640625" style="304" hidden="1" customWidth="1"/>
    <col min="3587" max="3602" width="2.453125" style="304" hidden="1" customWidth="1"/>
    <col min="3603" max="3603" width="4" style="304" hidden="1" customWidth="1"/>
    <col min="3604" max="3623" width="2.453125" style="304" hidden="1" customWidth="1"/>
    <col min="3624" max="3624" width="1.453125" style="304" hidden="1" customWidth="1"/>
    <col min="3625" max="3840" width="2.453125" style="304" hidden="1"/>
    <col min="3841" max="3841" width="1.453125" style="304" hidden="1" customWidth="1"/>
    <col min="3842" max="3842" width="0.81640625" style="304" hidden="1" customWidth="1"/>
    <col min="3843" max="3858" width="2.453125" style="304" hidden="1" customWidth="1"/>
    <col min="3859" max="3859" width="4" style="304" hidden="1" customWidth="1"/>
    <col min="3860" max="3879" width="2.453125" style="304" hidden="1" customWidth="1"/>
    <col min="3880" max="3880" width="1.453125" style="304" hidden="1" customWidth="1"/>
    <col min="3881" max="4096" width="2.453125" style="304" hidden="1"/>
    <col min="4097" max="4097" width="1.453125" style="304" hidden="1" customWidth="1"/>
    <col min="4098" max="4098" width="0.81640625" style="304" hidden="1" customWidth="1"/>
    <col min="4099" max="4114" width="2.453125" style="304" hidden="1" customWidth="1"/>
    <col min="4115" max="4115" width="4" style="304" hidden="1" customWidth="1"/>
    <col min="4116" max="4135" width="2.453125" style="304" hidden="1" customWidth="1"/>
    <col min="4136" max="4136" width="1.453125" style="304" hidden="1" customWidth="1"/>
    <col min="4137" max="4352" width="2.453125" style="304" hidden="1"/>
    <col min="4353" max="4353" width="1.453125" style="304" hidden="1" customWidth="1"/>
    <col min="4354" max="4354" width="0.81640625" style="304" hidden="1" customWidth="1"/>
    <col min="4355" max="4370" width="2.453125" style="304" hidden="1" customWidth="1"/>
    <col min="4371" max="4371" width="4" style="304" hidden="1" customWidth="1"/>
    <col min="4372" max="4391" width="2.453125" style="304" hidden="1" customWidth="1"/>
    <col min="4392" max="4392" width="1.453125" style="304" hidden="1" customWidth="1"/>
    <col min="4393" max="4608" width="2.453125" style="304" hidden="1"/>
    <col min="4609" max="4609" width="1.453125" style="304" hidden="1" customWidth="1"/>
    <col min="4610" max="4610" width="0.81640625" style="304" hidden="1" customWidth="1"/>
    <col min="4611" max="4626" width="2.453125" style="304" hidden="1" customWidth="1"/>
    <col min="4627" max="4627" width="4" style="304" hidden="1" customWidth="1"/>
    <col min="4628" max="4647" width="2.453125" style="304" hidden="1" customWidth="1"/>
    <col min="4648" max="4648" width="1.453125" style="304" hidden="1" customWidth="1"/>
    <col min="4649" max="4864" width="2.453125" style="304" hidden="1"/>
    <col min="4865" max="4865" width="1.453125" style="304" hidden="1" customWidth="1"/>
    <col min="4866" max="4866" width="0.81640625" style="304" hidden="1" customWidth="1"/>
    <col min="4867" max="4882" width="2.453125" style="304" hidden="1" customWidth="1"/>
    <col min="4883" max="4883" width="4" style="304" hidden="1" customWidth="1"/>
    <col min="4884" max="4903" width="2.453125" style="304" hidden="1" customWidth="1"/>
    <col min="4904" max="4904" width="1.453125" style="304" hidden="1" customWidth="1"/>
    <col min="4905" max="5120" width="2.453125" style="304" hidden="1"/>
    <col min="5121" max="5121" width="1.453125" style="304" hidden="1" customWidth="1"/>
    <col min="5122" max="5122" width="0.81640625" style="304" hidden="1" customWidth="1"/>
    <col min="5123" max="5138" width="2.453125" style="304" hidden="1" customWidth="1"/>
    <col min="5139" max="5139" width="4" style="304" hidden="1" customWidth="1"/>
    <col min="5140" max="5159" width="2.453125" style="304" hidden="1" customWidth="1"/>
    <col min="5160" max="5160" width="1.453125" style="304" hidden="1" customWidth="1"/>
    <col min="5161" max="5376" width="2.453125" style="304" hidden="1"/>
    <col min="5377" max="5377" width="1.453125" style="304" hidden="1" customWidth="1"/>
    <col min="5378" max="5378" width="0.81640625" style="304" hidden="1" customWidth="1"/>
    <col min="5379" max="5394" width="2.453125" style="304" hidden="1" customWidth="1"/>
    <col min="5395" max="5395" width="4" style="304" hidden="1" customWidth="1"/>
    <col min="5396" max="5415" width="2.453125" style="304" hidden="1" customWidth="1"/>
    <col min="5416" max="5416" width="1.453125" style="304" hidden="1" customWidth="1"/>
    <col min="5417" max="5632" width="2.453125" style="304" hidden="1"/>
    <col min="5633" max="5633" width="1.453125" style="304" hidden="1" customWidth="1"/>
    <col min="5634" max="5634" width="0.81640625" style="304" hidden="1" customWidth="1"/>
    <col min="5635" max="5650" width="2.453125" style="304" hidden="1" customWidth="1"/>
    <col min="5651" max="5651" width="4" style="304" hidden="1" customWidth="1"/>
    <col min="5652" max="5671" width="2.453125" style="304" hidden="1" customWidth="1"/>
    <col min="5672" max="5672" width="1.453125" style="304" hidden="1" customWidth="1"/>
    <col min="5673" max="5888" width="2.453125" style="304" hidden="1"/>
    <col min="5889" max="5889" width="1.453125" style="304" hidden="1" customWidth="1"/>
    <col min="5890" max="5890" width="0.81640625" style="304" hidden="1" customWidth="1"/>
    <col min="5891" max="5906" width="2.453125" style="304" hidden="1" customWidth="1"/>
    <col min="5907" max="5907" width="4" style="304" hidden="1" customWidth="1"/>
    <col min="5908" max="5927" width="2.453125" style="304" hidden="1" customWidth="1"/>
    <col min="5928" max="5928" width="1.453125" style="304" hidden="1" customWidth="1"/>
    <col min="5929" max="6144" width="2.453125" style="304" hidden="1"/>
    <col min="6145" max="6145" width="1.453125" style="304" hidden="1" customWidth="1"/>
    <col min="6146" max="6146" width="0.81640625" style="304" hidden="1" customWidth="1"/>
    <col min="6147" max="6162" width="2.453125" style="304" hidden="1" customWidth="1"/>
    <col min="6163" max="6163" width="4" style="304" hidden="1" customWidth="1"/>
    <col min="6164" max="6183" width="2.453125" style="304" hidden="1" customWidth="1"/>
    <col min="6184" max="6184" width="1.453125" style="304" hidden="1" customWidth="1"/>
    <col min="6185" max="6400" width="2.453125" style="304" hidden="1"/>
    <col min="6401" max="6401" width="1.453125" style="304" hidden="1" customWidth="1"/>
    <col min="6402" max="6402" width="0.81640625" style="304" hidden="1" customWidth="1"/>
    <col min="6403" max="6418" width="2.453125" style="304" hidden="1" customWidth="1"/>
    <col min="6419" max="6419" width="4" style="304" hidden="1" customWidth="1"/>
    <col min="6420" max="6439" width="2.453125" style="304" hidden="1" customWidth="1"/>
    <col min="6440" max="6440" width="1.453125" style="304" hidden="1" customWidth="1"/>
    <col min="6441" max="6656" width="2.453125" style="304" hidden="1"/>
    <col min="6657" max="6657" width="1.453125" style="304" hidden="1" customWidth="1"/>
    <col min="6658" max="6658" width="0.81640625" style="304" hidden="1" customWidth="1"/>
    <col min="6659" max="6674" width="2.453125" style="304" hidden="1" customWidth="1"/>
    <col min="6675" max="6675" width="4" style="304" hidden="1" customWidth="1"/>
    <col min="6676" max="6695" width="2.453125" style="304" hidden="1" customWidth="1"/>
    <col min="6696" max="6696" width="1.453125" style="304" hidden="1" customWidth="1"/>
    <col min="6697" max="6912" width="2.453125" style="304" hidden="1"/>
    <col min="6913" max="6913" width="1.453125" style="304" hidden="1" customWidth="1"/>
    <col min="6914" max="6914" width="0.81640625" style="304" hidden="1" customWidth="1"/>
    <col min="6915" max="6930" width="2.453125" style="304" hidden="1" customWidth="1"/>
    <col min="6931" max="6931" width="4" style="304" hidden="1" customWidth="1"/>
    <col min="6932" max="6951" width="2.453125" style="304" hidden="1" customWidth="1"/>
    <col min="6952" max="6952" width="1.453125" style="304" hidden="1" customWidth="1"/>
    <col min="6953" max="7168" width="2.453125" style="304" hidden="1"/>
    <col min="7169" max="7169" width="1.453125" style="304" hidden="1" customWidth="1"/>
    <col min="7170" max="7170" width="0.81640625" style="304" hidden="1" customWidth="1"/>
    <col min="7171" max="7186" width="2.453125" style="304" hidden="1" customWidth="1"/>
    <col min="7187" max="7187" width="4" style="304" hidden="1" customWidth="1"/>
    <col min="7188" max="7207" width="2.453125" style="304" hidden="1" customWidth="1"/>
    <col min="7208" max="7208" width="1.453125" style="304" hidden="1" customWidth="1"/>
    <col min="7209" max="7424" width="2.453125" style="304" hidden="1"/>
    <col min="7425" max="7425" width="1.453125" style="304" hidden="1" customWidth="1"/>
    <col min="7426" max="7426" width="0.81640625" style="304" hidden="1" customWidth="1"/>
    <col min="7427" max="7442" width="2.453125" style="304" hidden="1" customWidth="1"/>
    <col min="7443" max="7443" width="4" style="304" hidden="1" customWidth="1"/>
    <col min="7444" max="7463" width="2.453125" style="304" hidden="1" customWidth="1"/>
    <col min="7464" max="7464" width="1.453125" style="304" hidden="1" customWidth="1"/>
    <col min="7465" max="7680" width="2.453125" style="304" hidden="1"/>
    <col min="7681" max="7681" width="1.453125" style="304" hidden="1" customWidth="1"/>
    <col min="7682" max="7682" width="0.81640625" style="304" hidden="1" customWidth="1"/>
    <col min="7683" max="7698" width="2.453125" style="304" hidden="1" customWidth="1"/>
    <col min="7699" max="7699" width="4" style="304" hidden="1" customWidth="1"/>
    <col min="7700" max="7719" width="2.453125" style="304" hidden="1" customWidth="1"/>
    <col min="7720" max="7720" width="1.453125" style="304" hidden="1" customWidth="1"/>
    <col min="7721" max="7936" width="2.453125" style="304" hidden="1"/>
    <col min="7937" max="7937" width="1.453125" style="304" hidden="1" customWidth="1"/>
    <col min="7938" max="7938" width="0.81640625" style="304" hidden="1" customWidth="1"/>
    <col min="7939" max="7954" width="2.453125" style="304" hidden="1" customWidth="1"/>
    <col min="7955" max="7955" width="4" style="304" hidden="1" customWidth="1"/>
    <col min="7956" max="7975" width="2.453125" style="304" hidden="1" customWidth="1"/>
    <col min="7976" max="7976" width="1.453125" style="304" hidden="1" customWidth="1"/>
    <col min="7977" max="8192" width="2.453125" style="304" hidden="1"/>
    <col min="8193" max="8193" width="1.453125" style="304" hidden="1" customWidth="1"/>
    <col min="8194" max="8194" width="0.81640625" style="304" hidden="1" customWidth="1"/>
    <col min="8195" max="8210" width="2.453125" style="304" hidden="1" customWidth="1"/>
    <col min="8211" max="8211" width="4" style="304" hidden="1" customWidth="1"/>
    <col min="8212" max="8231" width="2.453125" style="304" hidden="1" customWidth="1"/>
    <col min="8232" max="8232" width="1.453125" style="304" hidden="1" customWidth="1"/>
    <col min="8233" max="8448" width="2.453125" style="304" hidden="1"/>
    <col min="8449" max="8449" width="1.453125" style="304" hidden="1" customWidth="1"/>
    <col min="8450" max="8450" width="0.81640625" style="304" hidden="1" customWidth="1"/>
    <col min="8451" max="8466" width="2.453125" style="304" hidden="1" customWidth="1"/>
    <col min="8467" max="8467" width="4" style="304" hidden="1" customWidth="1"/>
    <col min="8468" max="8487" width="2.453125" style="304" hidden="1" customWidth="1"/>
    <col min="8488" max="8488" width="1.453125" style="304" hidden="1" customWidth="1"/>
    <col min="8489" max="8704" width="2.453125" style="304" hidden="1"/>
    <col min="8705" max="8705" width="1.453125" style="304" hidden="1" customWidth="1"/>
    <col min="8706" max="8706" width="0.81640625" style="304" hidden="1" customWidth="1"/>
    <col min="8707" max="8722" width="2.453125" style="304" hidden="1" customWidth="1"/>
    <col min="8723" max="8723" width="4" style="304" hidden="1" customWidth="1"/>
    <col min="8724" max="8743" width="2.453125" style="304" hidden="1" customWidth="1"/>
    <col min="8744" max="8744" width="1.453125" style="304" hidden="1" customWidth="1"/>
    <col min="8745" max="8960" width="2.453125" style="304" hidden="1"/>
    <col min="8961" max="8961" width="1.453125" style="304" hidden="1" customWidth="1"/>
    <col min="8962" max="8962" width="0.81640625" style="304" hidden="1" customWidth="1"/>
    <col min="8963" max="8978" width="2.453125" style="304" hidden="1" customWidth="1"/>
    <col min="8979" max="8979" width="4" style="304" hidden="1" customWidth="1"/>
    <col min="8980" max="8999" width="2.453125" style="304" hidden="1" customWidth="1"/>
    <col min="9000" max="9000" width="1.453125" style="304" hidden="1" customWidth="1"/>
    <col min="9001" max="9216" width="2.453125" style="304" hidden="1"/>
    <col min="9217" max="9217" width="1.453125" style="304" hidden="1" customWidth="1"/>
    <col min="9218" max="9218" width="0.81640625" style="304" hidden="1" customWidth="1"/>
    <col min="9219" max="9234" width="2.453125" style="304" hidden="1" customWidth="1"/>
    <col min="9235" max="9235" width="4" style="304" hidden="1" customWidth="1"/>
    <col min="9236" max="9255" width="2.453125" style="304" hidden="1" customWidth="1"/>
    <col min="9256" max="9256" width="1.453125" style="304" hidden="1" customWidth="1"/>
    <col min="9257" max="9472" width="2.453125" style="304" hidden="1"/>
    <col min="9473" max="9473" width="1.453125" style="304" hidden="1" customWidth="1"/>
    <col min="9474" max="9474" width="0.81640625" style="304" hidden="1" customWidth="1"/>
    <col min="9475" max="9490" width="2.453125" style="304" hidden="1" customWidth="1"/>
    <col min="9491" max="9491" width="4" style="304" hidden="1" customWidth="1"/>
    <col min="9492" max="9511" width="2.453125" style="304" hidden="1" customWidth="1"/>
    <col min="9512" max="9512" width="1.453125" style="304" hidden="1" customWidth="1"/>
    <col min="9513" max="9728" width="2.453125" style="304" hidden="1"/>
    <col min="9729" max="9729" width="1.453125" style="304" hidden="1" customWidth="1"/>
    <col min="9730" max="9730" width="0.81640625" style="304" hidden="1" customWidth="1"/>
    <col min="9731" max="9746" width="2.453125" style="304" hidden="1" customWidth="1"/>
    <col min="9747" max="9747" width="4" style="304" hidden="1" customWidth="1"/>
    <col min="9748" max="9767" width="2.453125" style="304" hidden="1" customWidth="1"/>
    <col min="9768" max="9768" width="1.453125" style="304" hidden="1" customWidth="1"/>
    <col min="9769" max="9984" width="2.453125" style="304" hidden="1"/>
    <col min="9985" max="9985" width="1.453125" style="304" hidden="1" customWidth="1"/>
    <col min="9986" max="9986" width="0.81640625" style="304" hidden="1" customWidth="1"/>
    <col min="9987" max="10002" width="2.453125" style="304" hidden="1" customWidth="1"/>
    <col min="10003" max="10003" width="4" style="304" hidden="1" customWidth="1"/>
    <col min="10004" max="10023" width="2.453125" style="304" hidden="1" customWidth="1"/>
    <col min="10024" max="10024" width="1.453125" style="304" hidden="1" customWidth="1"/>
    <col min="10025" max="10240" width="2.453125" style="304" hidden="1"/>
    <col min="10241" max="10241" width="1.453125" style="304" hidden="1" customWidth="1"/>
    <col min="10242" max="10242" width="0.81640625" style="304" hidden="1" customWidth="1"/>
    <col min="10243" max="10258" width="2.453125" style="304" hidden="1" customWidth="1"/>
    <col min="10259" max="10259" width="4" style="304" hidden="1" customWidth="1"/>
    <col min="10260" max="10279" width="2.453125" style="304" hidden="1" customWidth="1"/>
    <col min="10280" max="10280" width="1.453125" style="304" hidden="1" customWidth="1"/>
    <col min="10281" max="10496" width="2.453125" style="304" hidden="1"/>
    <col min="10497" max="10497" width="1.453125" style="304" hidden="1" customWidth="1"/>
    <col min="10498" max="10498" width="0.81640625" style="304" hidden="1" customWidth="1"/>
    <col min="10499" max="10514" width="2.453125" style="304" hidden="1" customWidth="1"/>
    <col min="10515" max="10515" width="4" style="304" hidden="1" customWidth="1"/>
    <col min="10516" max="10535" width="2.453125" style="304" hidden="1" customWidth="1"/>
    <col min="10536" max="10536" width="1.453125" style="304" hidden="1" customWidth="1"/>
    <col min="10537" max="10752" width="2.453125" style="304" hidden="1"/>
    <col min="10753" max="10753" width="1.453125" style="304" hidden="1" customWidth="1"/>
    <col min="10754" max="10754" width="0.81640625" style="304" hidden="1" customWidth="1"/>
    <col min="10755" max="10770" width="2.453125" style="304" hidden="1" customWidth="1"/>
    <col min="10771" max="10771" width="4" style="304" hidden="1" customWidth="1"/>
    <col min="10772" max="10791" width="2.453125" style="304" hidden="1" customWidth="1"/>
    <col min="10792" max="10792" width="1.453125" style="304" hidden="1" customWidth="1"/>
    <col min="10793" max="11008" width="2.453125" style="304" hidden="1"/>
    <col min="11009" max="11009" width="1.453125" style="304" hidden="1" customWidth="1"/>
    <col min="11010" max="11010" width="0.81640625" style="304" hidden="1" customWidth="1"/>
    <col min="11011" max="11026" width="2.453125" style="304" hidden="1" customWidth="1"/>
    <col min="11027" max="11027" width="4" style="304" hidden="1" customWidth="1"/>
    <col min="11028" max="11047" width="2.453125" style="304" hidden="1" customWidth="1"/>
    <col min="11048" max="11048" width="1.453125" style="304" hidden="1" customWidth="1"/>
    <col min="11049" max="11264" width="2.453125" style="304" hidden="1"/>
    <col min="11265" max="11265" width="1.453125" style="304" hidden="1" customWidth="1"/>
    <col min="11266" max="11266" width="0.81640625" style="304" hidden="1" customWidth="1"/>
    <col min="11267" max="11282" width="2.453125" style="304" hidden="1" customWidth="1"/>
    <col min="11283" max="11283" width="4" style="304" hidden="1" customWidth="1"/>
    <col min="11284" max="11303" width="2.453125" style="304" hidden="1" customWidth="1"/>
    <col min="11304" max="11304" width="1.453125" style="304" hidden="1" customWidth="1"/>
    <col min="11305" max="11520" width="2.453125" style="304" hidden="1"/>
    <col min="11521" max="11521" width="1.453125" style="304" hidden="1" customWidth="1"/>
    <col min="11522" max="11522" width="0.81640625" style="304" hidden="1" customWidth="1"/>
    <col min="11523" max="11538" width="2.453125" style="304" hidden="1" customWidth="1"/>
    <col min="11539" max="11539" width="4" style="304" hidden="1" customWidth="1"/>
    <col min="11540" max="11559" width="2.453125" style="304" hidden="1" customWidth="1"/>
    <col min="11560" max="11560" width="1.453125" style="304" hidden="1" customWidth="1"/>
    <col min="11561" max="11776" width="2.453125" style="304" hidden="1"/>
    <col min="11777" max="11777" width="1.453125" style="304" hidden="1" customWidth="1"/>
    <col min="11778" max="11778" width="0.81640625" style="304" hidden="1" customWidth="1"/>
    <col min="11779" max="11794" width="2.453125" style="304" hidden="1" customWidth="1"/>
    <col min="11795" max="11795" width="4" style="304" hidden="1" customWidth="1"/>
    <col min="11796" max="11815" width="2.453125" style="304" hidden="1" customWidth="1"/>
    <col min="11816" max="11816" width="1.453125" style="304" hidden="1" customWidth="1"/>
    <col min="11817" max="12032" width="2.453125" style="304" hidden="1"/>
    <col min="12033" max="12033" width="1.453125" style="304" hidden="1" customWidth="1"/>
    <col min="12034" max="12034" width="0.81640625" style="304" hidden="1" customWidth="1"/>
    <col min="12035" max="12050" width="2.453125" style="304" hidden="1" customWidth="1"/>
    <col min="12051" max="12051" width="4" style="304" hidden="1" customWidth="1"/>
    <col min="12052" max="12071" width="2.453125" style="304" hidden="1" customWidth="1"/>
    <col min="12072" max="12072" width="1.453125" style="304" hidden="1" customWidth="1"/>
    <col min="12073" max="12288" width="2.453125" style="304" hidden="1"/>
    <col min="12289" max="12289" width="1.453125" style="304" hidden="1" customWidth="1"/>
    <col min="12290" max="12290" width="0.81640625" style="304" hidden="1" customWidth="1"/>
    <col min="12291" max="12306" width="2.453125" style="304" hidden="1" customWidth="1"/>
    <col min="12307" max="12307" width="4" style="304" hidden="1" customWidth="1"/>
    <col min="12308" max="12327" width="2.453125" style="304" hidden="1" customWidth="1"/>
    <col min="12328" max="12328" width="1.453125" style="304" hidden="1" customWidth="1"/>
    <col min="12329" max="12544" width="2.453125" style="304" hidden="1"/>
    <col min="12545" max="12545" width="1.453125" style="304" hidden="1" customWidth="1"/>
    <col min="12546" max="12546" width="0.81640625" style="304" hidden="1" customWidth="1"/>
    <col min="12547" max="12562" width="2.453125" style="304" hidden="1" customWidth="1"/>
    <col min="12563" max="12563" width="4" style="304" hidden="1" customWidth="1"/>
    <col min="12564" max="12583" width="2.453125" style="304" hidden="1" customWidth="1"/>
    <col min="12584" max="12584" width="1.453125" style="304" hidden="1" customWidth="1"/>
    <col min="12585" max="12800" width="2.453125" style="304" hidden="1"/>
    <col min="12801" max="12801" width="1.453125" style="304" hidden="1" customWidth="1"/>
    <col min="12802" max="12802" width="0.81640625" style="304" hidden="1" customWidth="1"/>
    <col min="12803" max="12818" width="2.453125" style="304" hidden="1" customWidth="1"/>
    <col min="12819" max="12819" width="4" style="304" hidden="1" customWidth="1"/>
    <col min="12820" max="12839" width="2.453125" style="304" hidden="1" customWidth="1"/>
    <col min="12840" max="12840" width="1.453125" style="304" hidden="1" customWidth="1"/>
    <col min="12841" max="13056" width="2.453125" style="304" hidden="1"/>
    <col min="13057" max="13057" width="1.453125" style="304" hidden="1" customWidth="1"/>
    <col min="13058" max="13058" width="0.81640625" style="304" hidden="1" customWidth="1"/>
    <col min="13059" max="13074" width="2.453125" style="304" hidden="1" customWidth="1"/>
    <col min="13075" max="13075" width="4" style="304" hidden="1" customWidth="1"/>
    <col min="13076" max="13095" width="2.453125" style="304" hidden="1" customWidth="1"/>
    <col min="13096" max="13096" width="1.453125" style="304" hidden="1" customWidth="1"/>
    <col min="13097" max="13312" width="2.453125" style="304" hidden="1"/>
    <col min="13313" max="13313" width="1.453125" style="304" hidden="1" customWidth="1"/>
    <col min="13314" max="13314" width="0.81640625" style="304" hidden="1" customWidth="1"/>
    <col min="13315" max="13330" width="2.453125" style="304" hidden="1" customWidth="1"/>
    <col min="13331" max="13331" width="4" style="304" hidden="1" customWidth="1"/>
    <col min="13332" max="13351" width="2.453125" style="304" hidden="1" customWidth="1"/>
    <col min="13352" max="13352" width="1.453125" style="304" hidden="1" customWidth="1"/>
    <col min="13353" max="13568" width="2.453125" style="304" hidden="1"/>
    <col min="13569" max="13569" width="1.453125" style="304" hidden="1" customWidth="1"/>
    <col min="13570" max="13570" width="0.81640625" style="304" hidden="1" customWidth="1"/>
    <col min="13571" max="13586" width="2.453125" style="304" hidden="1" customWidth="1"/>
    <col min="13587" max="13587" width="4" style="304" hidden="1" customWidth="1"/>
    <col min="13588" max="13607" width="2.453125" style="304" hidden="1" customWidth="1"/>
    <col min="13608" max="13608" width="1.453125" style="304" hidden="1" customWidth="1"/>
    <col min="13609" max="13824" width="2.453125" style="304" hidden="1"/>
    <col min="13825" max="13825" width="1.453125" style="304" hidden="1" customWidth="1"/>
    <col min="13826" max="13826" width="0.81640625" style="304" hidden="1" customWidth="1"/>
    <col min="13827" max="13842" width="2.453125" style="304" hidden="1" customWidth="1"/>
    <col min="13843" max="13843" width="4" style="304" hidden="1" customWidth="1"/>
    <col min="13844" max="13863" width="2.453125" style="304" hidden="1" customWidth="1"/>
    <col min="13864" max="13864" width="1.453125" style="304" hidden="1" customWidth="1"/>
    <col min="13865" max="14080" width="2.453125" style="304" hidden="1"/>
    <col min="14081" max="14081" width="1.453125" style="304" hidden="1" customWidth="1"/>
    <col min="14082" max="14082" width="0.81640625" style="304" hidden="1" customWidth="1"/>
    <col min="14083" max="14098" width="2.453125" style="304" hidden="1" customWidth="1"/>
    <col min="14099" max="14099" width="4" style="304" hidden="1" customWidth="1"/>
    <col min="14100" max="14119" width="2.453125" style="304" hidden="1" customWidth="1"/>
    <col min="14120" max="14120" width="1.453125" style="304" hidden="1" customWidth="1"/>
    <col min="14121" max="14336" width="2.453125" style="304" hidden="1"/>
    <col min="14337" max="14337" width="1.453125" style="304" hidden="1" customWidth="1"/>
    <col min="14338" max="14338" width="0.81640625" style="304" hidden="1" customWidth="1"/>
    <col min="14339" max="14354" width="2.453125" style="304" hidden="1" customWidth="1"/>
    <col min="14355" max="14355" width="4" style="304" hidden="1" customWidth="1"/>
    <col min="14356" max="14375" width="2.453125" style="304" hidden="1" customWidth="1"/>
    <col min="14376" max="14376" width="1.453125" style="304" hidden="1" customWidth="1"/>
    <col min="14377" max="14592" width="2.453125" style="304" hidden="1"/>
    <col min="14593" max="14593" width="1.453125" style="304" hidden="1" customWidth="1"/>
    <col min="14594" max="14594" width="0.81640625" style="304" hidden="1" customWidth="1"/>
    <col min="14595" max="14610" width="2.453125" style="304" hidden="1" customWidth="1"/>
    <col min="14611" max="14611" width="4" style="304" hidden="1" customWidth="1"/>
    <col min="14612" max="14631" width="2.453125" style="304" hidden="1" customWidth="1"/>
    <col min="14632" max="14632" width="1.453125" style="304" hidden="1" customWidth="1"/>
    <col min="14633" max="14848" width="2.453125" style="304" hidden="1"/>
    <col min="14849" max="14849" width="1.453125" style="304" hidden="1" customWidth="1"/>
    <col min="14850" max="14850" width="0.81640625" style="304" hidden="1" customWidth="1"/>
    <col min="14851" max="14866" width="2.453125" style="304" hidden="1" customWidth="1"/>
    <col min="14867" max="14867" width="4" style="304" hidden="1" customWidth="1"/>
    <col min="14868" max="14887" width="2.453125" style="304" hidden="1" customWidth="1"/>
    <col min="14888" max="14888" width="1.453125" style="304" hidden="1" customWidth="1"/>
    <col min="14889" max="15104" width="2.453125" style="304" hidden="1"/>
    <col min="15105" max="15105" width="1.453125" style="304" hidden="1" customWidth="1"/>
    <col min="15106" max="15106" width="0.81640625" style="304" hidden="1" customWidth="1"/>
    <col min="15107" max="15122" width="2.453125" style="304" hidden="1" customWidth="1"/>
    <col min="15123" max="15123" width="4" style="304" hidden="1" customWidth="1"/>
    <col min="15124" max="15143" width="2.453125" style="304" hidden="1" customWidth="1"/>
    <col min="15144" max="15144" width="1.453125" style="304" hidden="1" customWidth="1"/>
    <col min="15145" max="15360" width="2.453125" style="304" hidden="1"/>
    <col min="15361" max="15361" width="1.453125" style="304" hidden="1" customWidth="1"/>
    <col min="15362" max="15362" width="0.81640625" style="304" hidden="1" customWidth="1"/>
    <col min="15363" max="15378" width="2.453125" style="304" hidden="1" customWidth="1"/>
    <col min="15379" max="15379" width="4" style="304" hidden="1" customWidth="1"/>
    <col min="15380" max="15399" width="2.453125" style="304" hidden="1" customWidth="1"/>
    <col min="15400" max="15400" width="1.453125" style="304" hidden="1" customWidth="1"/>
    <col min="15401" max="15616" width="2.453125" style="304" hidden="1"/>
    <col min="15617" max="15617" width="1.453125" style="304" hidden="1" customWidth="1"/>
    <col min="15618" max="15618" width="0.81640625" style="304" hidden="1" customWidth="1"/>
    <col min="15619" max="15634" width="2.453125" style="304" hidden="1" customWidth="1"/>
    <col min="15635" max="15635" width="4" style="304" hidden="1" customWidth="1"/>
    <col min="15636" max="15655" width="2.453125" style="304" hidden="1" customWidth="1"/>
    <col min="15656" max="15656" width="1.453125" style="304" hidden="1" customWidth="1"/>
    <col min="15657" max="15872" width="2.453125" style="304" hidden="1"/>
    <col min="15873" max="15873" width="1.453125" style="304" hidden="1" customWidth="1"/>
    <col min="15874" max="15874" width="0.81640625" style="304" hidden="1" customWidth="1"/>
    <col min="15875" max="15890" width="2.453125" style="304" hidden="1" customWidth="1"/>
    <col min="15891" max="15891" width="4" style="304" hidden="1" customWidth="1"/>
    <col min="15892" max="15911" width="2.453125" style="304" hidden="1" customWidth="1"/>
    <col min="15912" max="15912" width="1.453125" style="304" hidden="1" customWidth="1"/>
    <col min="15913" max="16128" width="2.453125" style="304" hidden="1"/>
    <col min="16129" max="16129" width="1.453125" style="304" hidden="1" customWidth="1"/>
    <col min="16130" max="16130" width="0.81640625" style="304" hidden="1" customWidth="1"/>
    <col min="16131" max="16146" width="2.453125" style="304" hidden="1" customWidth="1"/>
    <col min="16147" max="16147" width="4" style="304" hidden="1" customWidth="1"/>
    <col min="16148" max="16167" width="2.453125" style="304" hidden="1" customWidth="1"/>
    <col min="16168" max="16168" width="1.453125" style="304" hidden="1" customWidth="1"/>
    <col min="16169" max="16384" width="2.453125" style="304" hidden="1"/>
  </cols>
  <sheetData>
    <row r="1" spans="1:40" ht="13" customHeight="1">
      <c r="A1" s="2286" t="s">
        <v>2068</v>
      </c>
      <c r="B1" s="2286"/>
      <c r="C1" s="2286"/>
      <c r="D1" s="2286"/>
      <c r="E1" s="2286"/>
      <c r="F1" s="2286"/>
      <c r="G1" s="2286"/>
      <c r="H1" s="2286"/>
      <c r="I1" s="2286"/>
      <c r="J1" s="2286"/>
      <c r="K1" s="2286"/>
      <c r="L1" s="2286"/>
      <c r="M1" s="2286"/>
      <c r="N1" s="2286"/>
      <c r="O1" s="2286"/>
      <c r="P1" s="2286"/>
      <c r="Q1" s="2286"/>
      <c r="R1" s="2286"/>
      <c r="S1" s="2286"/>
      <c r="T1" s="2286"/>
      <c r="U1" s="2286"/>
      <c r="V1" s="2286"/>
      <c r="W1" s="2286"/>
      <c r="X1" s="2286"/>
      <c r="Y1" s="2286"/>
      <c r="Z1" s="2286"/>
      <c r="AA1" s="2286"/>
      <c r="AB1" s="2286"/>
      <c r="AC1" s="2286"/>
      <c r="AD1" s="2286"/>
      <c r="AE1" s="2286"/>
      <c r="AF1" s="2286"/>
      <c r="AG1" s="2286"/>
      <c r="AH1" s="2286"/>
      <c r="AI1" s="2286"/>
      <c r="AJ1" s="2286"/>
      <c r="AK1" s="2286"/>
      <c r="AL1" s="2286"/>
      <c r="AM1" s="2286"/>
      <c r="AN1" s="2286"/>
    </row>
    <row r="2" spans="1:40" ht="13" customHeight="1" thickBot="1">
      <c r="A2" s="2287"/>
      <c r="B2" s="2287"/>
      <c r="C2" s="2287"/>
      <c r="D2" s="2287"/>
      <c r="E2" s="2287"/>
      <c r="F2" s="2287"/>
      <c r="G2" s="2287"/>
      <c r="H2" s="2287"/>
      <c r="I2" s="2287"/>
      <c r="J2" s="2287"/>
      <c r="K2" s="2287"/>
      <c r="L2" s="2287"/>
      <c r="M2" s="2287"/>
      <c r="N2" s="2287"/>
      <c r="O2" s="2287"/>
      <c r="P2" s="2287"/>
      <c r="Q2" s="2287"/>
      <c r="R2" s="2287"/>
      <c r="S2" s="2287"/>
      <c r="T2" s="2287"/>
      <c r="U2" s="2287"/>
      <c r="V2" s="2287"/>
      <c r="W2" s="2287"/>
      <c r="X2" s="2287"/>
      <c r="Y2" s="2287"/>
      <c r="Z2" s="2287"/>
      <c r="AA2" s="2287"/>
      <c r="AB2" s="2287"/>
      <c r="AC2" s="2287"/>
      <c r="AD2" s="2287"/>
      <c r="AE2" s="2287"/>
      <c r="AF2" s="2287"/>
      <c r="AG2" s="2287"/>
      <c r="AH2" s="2287"/>
      <c r="AI2" s="2287"/>
      <c r="AJ2" s="2287"/>
      <c r="AK2" s="2287"/>
      <c r="AL2" s="2287"/>
      <c r="AM2" s="2287"/>
      <c r="AN2" s="2287"/>
    </row>
    <row r="3" spans="1:40" ht="13" customHeight="1" thickTop="1">
      <c r="A3" s="304" t="str">
        <f>+A1</f>
        <v>V. BASIS AND CREDITS : 4% FEDERAL AND STATE CREDIT</v>
      </c>
      <c r="C3" s="76"/>
      <c r="D3" s="76"/>
      <c r="E3" s="76"/>
      <c r="F3" s="76"/>
      <c r="G3" s="76"/>
      <c r="H3" s="76"/>
      <c r="I3" s="76"/>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row>
    <row r="4" spans="1:40" ht="13" customHeight="1">
      <c r="A4" s="306"/>
    </row>
    <row r="5" spans="1:40" ht="13" customHeight="1">
      <c r="A5" s="306" t="s">
        <v>867</v>
      </c>
      <c r="C5" s="306" t="s">
        <v>270</v>
      </c>
      <c r="F5" s="306"/>
    </row>
    <row r="6" spans="1:40" ht="13" customHeight="1">
      <c r="A6" s="306"/>
      <c r="C6" s="304" t="s">
        <v>2069</v>
      </c>
    </row>
    <row r="7" spans="1:40" ht="13" customHeight="1">
      <c r="B7" s="307"/>
      <c r="C7" s="308"/>
      <c r="D7" s="308"/>
      <c r="E7" s="308"/>
      <c r="F7" s="308"/>
      <c r="G7" s="308"/>
      <c r="H7" s="308"/>
      <c r="I7" s="308"/>
      <c r="J7" s="308"/>
      <c r="K7" s="308"/>
      <c r="L7" s="308"/>
      <c r="M7" s="308"/>
      <c r="N7" s="308"/>
      <c r="O7" s="308"/>
      <c r="P7" s="308"/>
      <c r="Q7" s="308"/>
      <c r="R7" s="308"/>
      <c r="S7" s="308"/>
      <c r="T7" s="2288" t="str">
        <f xml:space="preserve"> IF(T25=100%,'Sources and Basis Breakdown'!G2,'Sources and Basis Breakdown'!F2)</f>
        <v>30% PVC for New Const/
Rehabilitation
DDA/QCT
Building(s)</v>
      </c>
      <c r="U7" s="2288"/>
      <c r="V7" s="2288"/>
      <c r="W7" s="2288"/>
      <c r="X7" s="2288"/>
      <c r="Y7" s="2288" t="str">
        <f>IF(T25=100%,"",'Sources and Basis Breakdown'!G2)</f>
        <v>30% PVC for New Const/
Rehabilitation
NON-DDA/
NON-QCT Building(s)</v>
      </c>
      <c r="Z7" s="2288"/>
      <c r="AA7" s="2288"/>
      <c r="AB7" s="2288"/>
      <c r="AC7" s="2288"/>
      <c r="AD7" s="2288" t="str">
        <f xml:space="preserve"> IF(T25=100%, 'Sources and Basis Breakdown'!J2,'Sources and Basis Breakdown'!I2)</f>
        <v>30% PVC for Acquisition
DDA/QCT Building(s)</v>
      </c>
      <c r="AE7" s="2288"/>
      <c r="AF7" s="2288"/>
      <c r="AG7" s="2288"/>
      <c r="AH7" s="2288"/>
      <c r="AI7" s="2288" t="str">
        <f>IF(T25=100%,"",'Sources and Basis Breakdown'!J2)</f>
        <v>30% PVC for Acquisition
NON-DDA/
NON-QCT Building(s)</v>
      </c>
      <c r="AJ7" s="2288"/>
      <c r="AK7" s="2288"/>
      <c r="AL7" s="2288"/>
      <c r="AM7" s="2288"/>
    </row>
    <row r="8" spans="1:40" ht="13" customHeight="1">
      <c r="B8" s="309"/>
      <c r="T8" s="2288"/>
      <c r="U8" s="2288"/>
      <c r="V8" s="2288"/>
      <c r="W8" s="2288"/>
      <c r="X8" s="2288"/>
      <c r="Y8" s="2288"/>
      <c r="Z8" s="2288"/>
      <c r="AA8" s="2288"/>
      <c r="AB8" s="2288"/>
      <c r="AC8" s="2288"/>
      <c r="AD8" s="2288"/>
      <c r="AE8" s="2288"/>
      <c r="AF8" s="2288"/>
      <c r="AG8" s="2288"/>
      <c r="AH8" s="2288"/>
      <c r="AI8" s="2288"/>
      <c r="AJ8" s="2288"/>
      <c r="AK8" s="2288"/>
      <c r="AL8" s="2288"/>
      <c r="AM8" s="2288"/>
    </row>
    <row r="9" spans="1:40" ht="13" customHeight="1">
      <c r="B9" s="309"/>
      <c r="T9" s="2288"/>
      <c r="U9" s="2288"/>
      <c r="V9" s="2288"/>
      <c r="W9" s="2288"/>
      <c r="X9" s="2288"/>
      <c r="Y9" s="2288"/>
      <c r="Z9" s="2288"/>
      <c r="AA9" s="2288"/>
      <c r="AB9" s="2288"/>
      <c r="AC9" s="2288"/>
      <c r="AD9" s="2288"/>
      <c r="AE9" s="2288"/>
      <c r="AF9" s="2288"/>
      <c r="AG9" s="2288"/>
      <c r="AH9" s="2288"/>
      <c r="AI9" s="2288"/>
      <c r="AJ9" s="2288"/>
      <c r="AK9" s="2288"/>
      <c r="AL9" s="2288"/>
      <c r="AM9" s="2288"/>
    </row>
    <row r="10" spans="1:40" ht="13" customHeight="1">
      <c r="B10" s="310"/>
      <c r="C10" s="311"/>
      <c r="D10" s="311"/>
      <c r="E10" s="311"/>
      <c r="F10" s="311"/>
      <c r="G10" s="311"/>
      <c r="H10" s="311"/>
      <c r="I10" s="311"/>
      <c r="J10" s="311"/>
      <c r="K10" s="311"/>
      <c r="L10" s="311"/>
      <c r="M10" s="311"/>
      <c r="N10" s="311"/>
      <c r="O10" s="311"/>
      <c r="P10" s="311"/>
      <c r="Q10" s="311"/>
      <c r="R10" s="311"/>
      <c r="S10" s="311"/>
      <c r="T10" s="2288"/>
      <c r="U10" s="2288"/>
      <c r="V10" s="2288"/>
      <c r="W10" s="2288"/>
      <c r="X10" s="2288"/>
      <c r="Y10" s="2288"/>
      <c r="Z10" s="2288"/>
      <c r="AA10" s="2288"/>
      <c r="AB10" s="2288"/>
      <c r="AC10" s="2288"/>
      <c r="AD10" s="2288"/>
      <c r="AE10" s="2288"/>
      <c r="AF10" s="2288"/>
      <c r="AG10" s="2288"/>
      <c r="AH10" s="2288"/>
      <c r="AI10" s="2288"/>
      <c r="AJ10" s="2288"/>
      <c r="AK10" s="2288"/>
      <c r="AL10" s="2288"/>
      <c r="AM10" s="2288"/>
    </row>
    <row r="11" spans="1:40" ht="13" customHeight="1">
      <c r="B11" s="2267" t="s">
        <v>1886</v>
      </c>
      <c r="C11" s="2268"/>
      <c r="D11" s="2268"/>
      <c r="E11" s="2268"/>
      <c r="F11" s="2268"/>
      <c r="G11" s="2268"/>
      <c r="H11" s="2268"/>
      <c r="I11" s="2268"/>
      <c r="J11" s="2268"/>
      <c r="K11" s="2268"/>
      <c r="L11" s="2268"/>
      <c r="M11" s="2268"/>
      <c r="N11" s="2268"/>
      <c r="O11" s="2268"/>
      <c r="P11" s="2268"/>
      <c r="Q11" s="2268"/>
      <c r="R11" s="2268"/>
      <c r="S11" s="2269"/>
      <c r="T11" s="2289">
        <f>IF('Sources and Basis Breakdown'!F107=0,'Sources and Basis Breakdown'!E107,'Sources and Basis Breakdown'!F107)</f>
        <v>26277043</v>
      </c>
      <c r="U11" s="2290"/>
      <c r="V11" s="2290"/>
      <c r="W11" s="2290"/>
      <c r="X11" s="2290"/>
      <c r="Y11" s="2289">
        <f>IF(Y7="",0,IF('Sources and Basis Breakdown'!G107+'Sources and Basis Breakdown'!F107='Sources and Basis Breakdown'!E107,'Sources and Basis Breakdown'!G107,0))</f>
        <v>0</v>
      </c>
      <c r="Z11" s="2290"/>
      <c r="AA11" s="2290"/>
      <c r="AB11" s="2290"/>
      <c r="AC11" s="2290"/>
      <c r="AD11" s="2290">
        <f>IF('Sources and Basis Breakdown'!I107=0,'Sources and Basis Breakdown'!H107,'Sources and Basis Breakdown'!I107)</f>
        <v>27732460</v>
      </c>
      <c r="AE11" s="2290"/>
      <c r="AF11" s="2290"/>
      <c r="AG11" s="2290"/>
      <c r="AH11" s="2290"/>
      <c r="AI11" s="2290">
        <f>IF(Y7="",0,IF('Sources and Basis Breakdown'!I107+'Sources and Basis Breakdown'!J107='Sources and Basis Breakdown'!H107,'Sources and Basis Breakdown'!J107,0))</f>
        <v>0</v>
      </c>
      <c r="AJ11" s="2290"/>
      <c r="AK11" s="2290"/>
      <c r="AL11" s="2290"/>
      <c r="AM11" s="2290"/>
    </row>
    <row r="12" spans="1:40" ht="13" customHeight="1">
      <c r="B12" s="2282" t="s">
        <v>2070</v>
      </c>
      <c r="C12" s="1247"/>
      <c r="D12" s="1247"/>
      <c r="E12" s="1247"/>
      <c r="F12" s="1247"/>
      <c r="G12" s="1247"/>
      <c r="H12" s="1247"/>
      <c r="I12" s="1247"/>
      <c r="J12" s="1247"/>
      <c r="K12" s="1247"/>
      <c r="L12" s="1247"/>
      <c r="M12" s="1247"/>
      <c r="N12" s="1247"/>
      <c r="O12" s="1247"/>
      <c r="P12" s="1247"/>
      <c r="Q12" s="1247"/>
      <c r="R12" s="1247"/>
      <c r="S12" s="2283"/>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3" customHeight="1">
      <c r="B13" s="337"/>
      <c r="C13" s="2284" t="s">
        <v>2071</v>
      </c>
      <c r="D13" s="2284"/>
      <c r="E13" s="2284"/>
      <c r="F13" s="2284"/>
      <c r="G13" s="2284"/>
      <c r="H13" s="2284"/>
      <c r="I13" s="2284"/>
      <c r="J13" s="2284"/>
      <c r="K13" s="2284"/>
      <c r="L13" s="2284"/>
      <c r="M13" s="2284"/>
      <c r="N13" s="2284"/>
      <c r="O13" s="2284"/>
      <c r="P13" s="2284"/>
      <c r="Q13" s="2284"/>
      <c r="R13" s="2284"/>
      <c r="S13" s="2285"/>
      <c r="T13" s="2291"/>
      <c r="U13" s="2292"/>
      <c r="V13" s="2292"/>
      <c r="W13" s="2292"/>
      <c r="X13" s="2292"/>
      <c r="Y13" s="2291"/>
      <c r="Z13" s="2292"/>
      <c r="AA13" s="2292"/>
      <c r="AB13" s="2292"/>
      <c r="AC13" s="2292"/>
      <c r="AD13" s="2292"/>
      <c r="AE13" s="2292"/>
      <c r="AF13" s="2292"/>
      <c r="AG13" s="2292"/>
      <c r="AH13" s="2292"/>
      <c r="AI13" s="2292"/>
      <c r="AJ13" s="2292"/>
      <c r="AK13" s="2292"/>
      <c r="AL13" s="2292"/>
      <c r="AM13" s="2292"/>
    </row>
    <row r="14" spans="1:40" ht="13" customHeight="1">
      <c r="B14" s="337"/>
      <c r="C14" s="2284" t="s">
        <v>2072</v>
      </c>
      <c r="D14" s="2284"/>
      <c r="E14" s="2284"/>
      <c r="F14" s="2284"/>
      <c r="G14" s="2284"/>
      <c r="H14" s="2284"/>
      <c r="I14" s="2284"/>
      <c r="J14" s="2284"/>
      <c r="K14" s="2284"/>
      <c r="L14" s="2284"/>
      <c r="M14" s="2284"/>
      <c r="N14" s="2284"/>
      <c r="O14" s="2284"/>
      <c r="P14" s="2284"/>
      <c r="Q14" s="2284"/>
      <c r="R14" s="2284"/>
      <c r="S14" s="2285"/>
      <c r="T14" s="2258"/>
      <c r="U14" s="2259"/>
      <c r="V14" s="2259"/>
      <c r="W14" s="2259"/>
      <c r="X14" s="2259"/>
      <c r="Y14" s="2258"/>
      <c r="Z14" s="2259"/>
      <c r="AA14" s="2259"/>
      <c r="AB14" s="2259"/>
      <c r="AC14" s="2259"/>
      <c r="AD14" s="2259"/>
      <c r="AE14" s="2259"/>
      <c r="AF14" s="2259"/>
      <c r="AG14" s="2259"/>
      <c r="AH14" s="2259"/>
      <c r="AI14" s="2259"/>
      <c r="AJ14" s="2259"/>
      <c r="AK14" s="2259"/>
      <c r="AL14" s="2259"/>
      <c r="AM14" s="2259"/>
    </row>
    <row r="15" spans="1:40" ht="13" customHeight="1">
      <c r="B15" s="337"/>
      <c r="C15" s="2284" t="s">
        <v>2073</v>
      </c>
      <c r="D15" s="2284"/>
      <c r="E15" s="2284"/>
      <c r="F15" s="2284"/>
      <c r="G15" s="2284"/>
      <c r="H15" s="2284"/>
      <c r="I15" s="2284"/>
      <c r="J15" s="2284"/>
      <c r="K15" s="2284"/>
      <c r="L15" s="2284"/>
      <c r="M15" s="2284"/>
      <c r="N15" s="2284"/>
      <c r="O15" s="2284"/>
      <c r="P15" s="2284"/>
      <c r="Q15" s="2284"/>
      <c r="R15" s="2284"/>
      <c r="S15" s="2285"/>
      <c r="T15" s="2258"/>
      <c r="U15" s="2259"/>
      <c r="V15" s="2259"/>
      <c r="W15" s="2259"/>
      <c r="X15" s="2259"/>
      <c r="Y15" s="2258"/>
      <c r="Z15" s="2259"/>
      <c r="AA15" s="2259"/>
      <c r="AB15" s="2259"/>
      <c r="AC15" s="2259"/>
      <c r="AD15" s="2259"/>
      <c r="AE15" s="2259"/>
      <c r="AF15" s="2259"/>
      <c r="AG15" s="2259"/>
      <c r="AH15" s="2259"/>
      <c r="AI15" s="2259"/>
      <c r="AJ15" s="2259"/>
      <c r="AK15" s="2259"/>
      <c r="AL15" s="2259"/>
      <c r="AM15" s="2259"/>
    </row>
    <row r="16" spans="1:40" ht="13" customHeight="1">
      <c r="B16" s="337"/>
      <c r="C16" s="2284" t="s">
        <v>2074</v>
      </c>
      <c r="D16" s="2284"/>
      <c r="E16" s="2284"/>
      <c r="F16" s="2284"/>
      <c r="G16" s="2284"/>
      <c r="H16" s="2284"/>
      <c r="I16" s="2284"/>
      <c r="J16" s="2284"/>
      <c r="K16" s="2284"/>
      <c r="L16" s="2284"/>
      <c r="M16" s="2284"/>
      <c r="N16" s="2284"/>
      <c r="O16" s="2284"/>
      <c r="P16" s="2284"/>
      <c r="Q16" s="2284"/>
      <c r="R16" s="2284"/>
      <c r="S16" s="2285"/>
      <c r="T16" s="2258"/>
      <c r="U16" s="2259"/>
      <c r="V16" s="2259"/>
      <c r="W16" s="2259"/>
      <c r="X16" s="2259"/>
      <c r="Y16" s="2258"/>
      <c r="Z16" s="2259"/>
      <c r="AA16" s="2259"/>
      <c r="AB16" s="2259"/>
      <c r="AC16" s="2259"/>
      <c r="AD16" s="2259"/>
      <c r="AE16" s="2259"/>
      <c r="AF16" s="2259"/>
      <c r="AG16" s="2259"/>
      <c r="AH16" s="2259"/>
      <c r="AI16" s="2259"/>
      <c r="AJ16" s="2259"/>
      <c r="AK16" s="2259"/>
      <c r="AL16" s="2259"/>
      <c r="AM16" s="2259"/>
    </row>
    <row r="17" spans="1:40" ht="13" customHeight="1">
      <c r="B17" s="337"/>
      <c r="C17" s="2284" t="s">
        <v>2075</v>
      </c>
      <c r="D17" s="2284"/>
      <c r="E17" s="2284"/>
      <c r="F17" s="2284"/>
      <c r="G17" s="2284"/>
      <c r="H17" s="2284"/>
      <c r="I17" s="2284"/>
      <c r="J17" s="2284"/>
      <c r="K17" s="2284"/>
      <c r="L17" s="2284"/>
      <c r="M17" s="2284"/>
      <c r="N17" s="2284"/>
      <c r="O17" s="2284"/>
      <c r="P17" s="2284"/>
      <c r="Q17" s="2284"/>
      <c r="R17" s="2284"/>
      <c r="S17" s="2285"/>
      <c r="T17" s="2258"/>
      <c r="U17" s="2259"/>
      <c r="V17" s="2259"/>
      <c r="W17" s="2259"/>
      <c r="X17" s="2259"/>
      <c r="Y17" s="2258"/>
      <c r="Z17" s="2259"/>
      <c r="AA17" s="2259"/>
      <c r="AB17" s="2259"/>
      <c r="AC17" s="2259"/>
      <c r="AD17" s="2259"/>
      <c r="AE17" s="2259"/>
      <c r="AF17" s="2259"/>
      <c r="AG17" s="2259"/>
      <c r="AH17" s="2259"/>
      <c r="AI17" s="2259"/>
      <c r="AJ17" s="2259"/>
      <c r="AK17" s="2259"/>
      <c r="AL17" s="2259"/>
      <c r="AM17" s="2259"/>
    </row>
    <row r="18" spans="1:40" ht="13" customHeight="1">
      <c r="A18"/>
      <c r="B18" s="1038"/>
      <c r="C18" s="1743" t="s">
        <v>2076</v>
      </c>
      <c r="D18" s="1743"/>
      <c r="E18" s="1743"/>
      <c r="F18" s="1743"/>
      <c r="G18" s="1743"/>
      <c r="H18" s="1743"/>
      <c r="I18" s="1743"/>
      <c r="J18" s="1743"/>
      <c r="K18" s="1743"/>
      <c r="L18" s="1743"/>
      <c r="M18" s="1743"/>
      <c r="N18" s="1743"/>
      <c r="O18" s="1743"/>
      <c r="P18" s="1743"/>
      <c r="Q18" s="1743"/>
      <c r="R18" s="1743"/>
      <c r="S18" s="1744"/>
      <c r="T18" s="2258"/>
      <c r="U18" s="2259"/>
      <c r="V18" s="2259"/>
      <c r="W18" s="2259"/>
      <c r="X18" s="2259"/>
      <c r="Y18" s="2258"/>
      <c r="Z18" s="2259"/>
      <c r="AA18" s="2259"/>
      <c r="AB18" s="2259"/>
      <c r="AC18" s="2259"/>
      <c r="AD18" s="2259"/>
      <c r="AE18" s="2259"/>
      <c r="AF18" s="2259"/>
      <c r="AG18" s="2259"/>
      <c r="AH18" s="2259"/>
      <c r="AI18" s="2259"/>
      <c r="AJ18" s="2259"/>
      <c r="AK18" s="2259"/>
      <c r="AL18" s="2259"/>
      <c r="AM18" s="2259"/>
    </row>
    <row r="19" spans="1:40" ht="13" customHeight="1">
      <c r="B19" s="1038"/>
      <c r="C19" s="1743" t="s">
        <v>2076</v>
      </c>
      <c r="D19" s="1743"/>
      <c r="E19" s="1743"/>
      <c r="F19" s="1743"/>
      <c r="G19" s="1743"/>
      <c r="H19" s="1743"/>
      <c r="I19" s="1743"/>
      <c r="J19" s="1743"/>
      <c r="K19" s="1743"/>
      <c r="L19" s="1743"/>
      <c r="M19" s="1743"/>
      <c r="N19" s="1743"/>
      <c r="O19" s="1743"/>
      <c r="P19" s="1743"/>
      <c r="Q19" s="1743"/>
      <c r="R19" s="1743"/>
      <c r="S19" s="1744"/>
      <c r="T19" s="2258"/>
      <c r="U19" s="2259"/>
      <c r="V19" s="2259"/>
      <c r="W19" s="2259"/>
      <c r="X19" s="2259"/>
      <c r="Y19" s="2258"/>
      <c r="Z19" s="2259"/>
      <c r="AA19" s="2259"/>
      <c r="AB19" s="2259"/>
      <c r="AC19" s="2259"/>
      <c r="AD19" s="2259"/>
      <c r="AE19" s="2259"/>
      <c r="AF19" s="2259"/>
      <c r="AG19" s="2259"/>
      <c r="AH19" s="2259"/>
      <c r="AI19" s="2259"/>
      <c r="AJ19" s="2259"/>
      <c r="AK19" s="2259"/>
      <c r="AL19" s="2259"/>
      <c r="AM19" s="2259"/>
    </row>
    <row r="20" spans="1:40" ht="13" customHeight="1">
      <c r="B20" s="2267" t="s">
        <v>2077</v>
      </c>
      <c r="C20" s="2268"/>
      <c r="D20" s="2268"/>
      <c r="E20" s="2268"/>
      <c r="F20" s="2268"/>
      <c r="G20" s="2268"/>
      <c r="H20" s="2268"/>
      <c r="I20" s="2268"/>
      <c r="J20" s="2268"/>
      <c r="K20" s="2268"/>
      <c r="L20" s="2268"/>
      <c r="M20" s="2268"/>
      <c r="N20" s="2268"/>
      <c r="O20" s="2268"/>
      <c r="P20" s="2268"/>
      <c r="Q20" s="2268"/>
      <c r="R20" s="2268"/>
      <c r="S20" s="2269"/>
      <c r="T20" s="2260">
        <f>SUM(T13:X19)</f>
        <v>0</v>
      </c>
      <c r="U20" s="2261"/>
      <c r="V20" s="2261"/>
      <c r="W20" s="2261"/>
      <c r="X20" s="2261"/>
      <c r="Y20" s="2260">
        <f>SUM(Y13:AC19)</f>
        <v>0</v>
      </c>
      <c r="Z20" s="2261"/>
      <c r="AA20" s="2261"/>
      <c r="AB20" s="2261"/>
      <c r="AC20" s="2261"/>
      <c r="AD20" s="2262">
        <f>SUM(AD13:AH19)</f>
        <v>0</v>
      </c>
      <c r="AE20" s="2263"/>
      <c r="AF20" s="2263"/>
      <c r="AG20" s="2263"/>
      <c r="AH20" s="2260"/>
      <c r="AI20" s="2262">
        <f>SUM(AI13:AM19)</f>
        <v>0</v>
      </c>
      <c r="AJ20" s="2263"/>
      <c r="AK20" s="2263"/>
      <c r="AL20" s="2263"/>
      <c r="AM20" s="2260"/>
    </row>
    <row r="21" spans="1:40" ht="13" customHeight="1">
      <c r="B21" s="2267" t="s">
        <v>2078</v>
      </c>
      <c r="C21" s="2268"/>
      <c r="D21" s="2268"/>
      <c r="E21" s="2268"/>
      <c r="F21" s="2268"/>
      <c r="G21" s="2268"/>
      <c r="H21" s="2268"/>
      <c r="I21" s="2268"/>
      <c r="J21" s="2268"/>
      <c r="K21" s="2268"/>
      <c r="L21" s="2268"/>
      <c r="M21" s="2268"/>
      <c r="N21" s="2268"/>
      <c r="O21" s="2268"/>
      <c r="P21" s="2268"/>
      <c r="Q21" s="2268"/>
      <c r="R21" s="2268"/>
      <c r="S21" s="2269"/>
      <c r="T21" s="2258"/>
      <c r="U21" s="2259"/>
      <c r="V21" s="2259"/>
      <c r="W21" s="2259"/>
      <c r="X21" s="2259"/>
      <c r="Y21" s="2258"/>
      <c r="Z21" s="2259"/>
      <c r="AA21" s="2259"/>
      <c r="AB21" s="2259"/>
      <c r="AC21" s="2259"/>
      <c r="AD21" s="2255"/>
      <c r="AE21" s="2256"/>
      <c r="AF21" s="2256"/>
      <c r="AG21" s="2256"/>
      <c r="AH21" s="2257"/>
      <c r="AI21" s="2255"/>
      <c r="AJ21" s="2256"/>
      <c r="AK21" s="2256"/>
      <c r="AL21" s="2256"/>
      <c r="AM21" s="2257"/>
    </row>
    <row r="22" spans="1:40" ht="13" customHeight="1">
      <c r="B22" s="2267" t="s">
        <v>2079</v>
      </c>
      <c r="C22" s="2268"/>
      <c r="D22" s="2268"/>
      <c r="E22" s="2268"/>
      <c r="F22" s="2268"/>
      <c r="G22" s="2268"/>
      <c r="H22" s="2268"/>
      <c r="I22" s="2268"/>
      <c r="J22" s="2268"/>
      <c r="K22" s="2268"/>
      <c r="L22" s="2268"/>
      <c r="M22" s="2268"/>
      <c r="N22" s="2268"/>
      <c r="O22" s="2268"/>
      <c r="P22" s="2268"/>
      <c r="Q22" s="2268"/>
      <c r="R22" s="2268"/>
      <c r="S22" s="2269"/>
      <c r="T22" s="2293">
        <f>(ABS(T20)+ABS(T21))*-1</f>
        <v>0</v>
      </c>
      <c r="U22" s="2294"/>
      <c r="V22" s="2294"/>
      <c r="W22" s="2294"/>
      <c r="X22" s="2294"/>
      <c r="Y22" s="2293">
        <f>(Y20+Y21)*-1</f>
        <v>0</v>
      </c>
      <c r="Z22" s="2294"/>
      <c r="AA22" s="2294"/>
      <c r="AB22" s="2294"/>
      <c r="AC22" s="2294"/>
      <c r="AD22" s="2295">
        <f>(AD20)*-1</f>
        <v>0</v>
      </c>
      <c r="AE22" s="2296"/>
      <c r="AF22" s="2296"/>
      <c r="AG22" s="2296"/>
      <c r="AH22" s="2293"/>
      <c r="AI22" s="2295">
        <f>(AI20)*-1</f>
        <v>0</v>
      </c>
      <c r="AJ22" s="2296"/>
      <c r="AK22" s="2296"/>
      <c r="AL22" s="2296"/>
      <c r="AM22" s="2293"/>
    </row>
    <row r="23" spans="1:40" ht="13" customHeight="1">
      <c r="B23" s="2267" t="s">
        <v>2080</v>
      </c>
      <c r="C23" s="2268"/>
      <c r="D23" s="2268"/>
      <c r="E23" s="2268"/>
      <c r="F23" s="2268"/>
      <c r="G23" s="2268"/>
      <c r="H23" s="2268"/>
      <c r="I23" s="2268"/>
      <c r="J23" s="2268"/>
      <c r="K23" s="2268"/>
      <c r="L23" s="2268"/>
      <c r="M23" s="2268"/>
      <c r="N23" s="2268"/>
      <c r="O23" s="2268"/>
      <c r="P23" s="2268"/>
      <c r="Q23" s="2268"/>
      <c r="R23" s="2268"/>
      <c r="S23" s="2269"/>
      <c r="T23" s="2260">
        <f>T11+T22</f>
        <v>26277043</v>
      </c>
      <c r="U23" s="2261"/>
      <c r="V23" s="2261"/>
      <c r="W23" s="2261"/>
      <c r="X23" s="2261"/>
      <c r="Y23" s="2260">
        <f>Y11+Y22</f>
        <v>0</v>
      </c>
      <c r="Z23" s="2261"/>
      <c r="AA23" s="2261"/>
      <c r="AB23" s="2261"/>
      <c r="AC23" s="2261"/>
      <c r="AD23" s="2260">
        <f>AD11+AD22</f>
        <v>27732460</v>
      </c>
      <c r="AE23" s="2261"/>
      <c r="AF23" s="2261"/>
      <c r="AG23" s="2261"/>
      <c r="AH23" s="2261"/>
      <c r="AI23" s="2260">
        <f>AI11+AI22</f>
        <v>0</v>
      </c>
      <c r="AJ23" s="2261"/>
      <c r="AK23" s="2261"/>
      <c r="AL23" s="2261"/>
      <c r="AM23" s="2261"/>
    </row>
    <row r="24" spans="1:40" ht="13" customHeight="1">
      <c r="B24" s="2267" t="s">
        <v>2081</v>
      </c>
      <c r="C24" s="2268"/>
      <c r="D24" s="2268"/>
      <c r="E24" s="2268"/>
      <c r="F24" s="2268"/>
      <c r="G24" s="2268"/>
      <c r="H24" s="2268"/>
      <c r="I24" s="2268"/>
      <c r="J24" s="2268"/>
      <c r="K24" s="2268"/>
      <c r="L24" s="2268"/>
      <c r="M24" s="2268"/>
      <c r="N24" s="2268"/>
      <c r="O24" s="2268"/>
      <c r="P24" s="2268"/>
      <c r="Q24" s="2268"/>
      <c r="R24" s="2268"/>
      <c r="S24" s="2269"/>
      <c r="T24" s="2262">
        <f>Application!AJ1053</f>
        <v>95565450.25999999</v>
      </c>
      <c r="U24" s="2263"/>
      <c r="V24" s="2263"/>
      <c r="W24" s="2263"/>
      <c r="X24" s="2263"/>
      <c r="Y24" s="2263"/>
      <c r="Z24" s="2263"/>
      <c r="AA24" s="2263"/>
      <c r="AB24" s="2263"/>
      <c r="AC24" s="2263"/>
      <c r="AD24" s="2263"/>
      <c r="AE24" s="2263"/>
      <c r="AF24" s="2263"/>
      <c r="AG24" s="2263"/>
      <c r="AH24" s="2263"/>
      <c r="AI24" s="2263"/>
      <c r="AJ24" s="2263"/>
      <c r="AK24" s="2263"/>
      <c r="AL24" s="2263"/>
      <c r="AM24" s="2260"/>
    </row>
    <row r="25" spans="1:40" ht="13" customHeight="1">
      <c r="B25" s="2271" t="s">
        <v>2082</v>
      </c>
      <c r="C25" s="2272"/>
      <c r="D25" s="2272"/>
      <c r="E25" s="2272"/>
      <c r="F25" s="2272"/>
      <c r="G25" s="2272"/>
      <c r="H25" s="2272"/>
      <c r="I25" s="2272"/>
      <c r="J25" s="2272"/>
      <c r="K25" s="2272"/>
      <c r="L25" s="2272"/>
      <c r="M25" s="2272"/>
      <c r="N25" s="2272"/>
      <c r="O25" s="2272"/>
      <c r="P25" s="2272"/>
      <c r="Q25" s="2272"/>
      <c r="R25" s="2272"/>
      <c r="S25" s="2273"/>
      <c r="T25" s="2297">
        <f>IF(OR(Application!T196="yes",Application!T195="yes"),1.3,1)</f>
        <v>1.3</v>
      </c>
      <c r="U25" s="2298"/>
      <c r="V25" s="2298"/>
      <c r="W25" s="2298"/>
      <c r="X25" s="2298"/>
      <c r="Y25" s="2297">
        <v>1</v>
      </c>
      <c r="Z25" s="2298"/>
      <c r="AA25" s="2298"/>
      <c r="AB25" s="2298"/>
      <c r="AC25" s="2298"/>
      <c r="AD25" s="2297">
        <v>1</v>
      </c>
      <c r="AE25" s="2298"/>
      <c r="AF25" s="2298"/>
      <c r="AG25" s="2298"/>
      <c r="AH25" s="2299"/>
      <c r="AI25" s="2297">
        <v>1</v>
      </c>
      <c r="AJ25" s="2298"/>
      <c r="AK25" s="2298"/>
      <c r="AL25" s="2298"/>
      <c r="AM25" s="2299"/>
    </row>
    <row r="26" spans="1:40" ht="13" customHeight="1">
      <c r="B26" s="2267" t="s">
        <v>2083</v>
      </c>
      <c r="C26" s="2268"/>
      <c r="D26" s="2268"/>
      <c r="E26" s="2268"/>
      <c r="F26" s="2268"/>
      <c r="G26" s="2268"/>
      <c r="H26" s="2268"/>
      <c r="I26" s="2268"/>
      <c r="J26" s="2268"/>
      <c r="K26" s="2268"/>
      <c r="L26" s="2268"/>
      <c r="M26" s="2268"/>
      <c r="N26" s="2268"/>
      <c r="O26" s="2268"/>
      <c r="P26" s="2268"/>
      <c r="Q26" s="2268"/>
      <c r="R26" s="2268"/>
      <c r="S26" s="2269"/>
      <c r="T26" s="2260">
        <f>T23*T25</f>
        <v>34160155.899999999</v>
      </c>
      <c r="U26" s="2261"/>
      <c r="V26" s="2261"/>
      <c r="W26" s="2261"/>
      <c r="X26" s="2261"/>
      <c r="Y26" s="2260">
        <f>Y23*Y25</f>
        <v>0</v>
      </c>
      <c r="Z26" s="2261"/>
      <c r="AA26" s="2261"/>
      <c r="AB26" s="2261"/>
      <c r="AC26" s="2261"/>
      <c r="AD26" s="2260">
        <f>AD23*AD25</f>
        <v>27732460</v>
      </c>
      <c r="AE26" s="2261"/>
      <c r="AF26" s="2261"/>
      <c r="AG26" s="2261"/>
      <c r="AH26" s="2261"/>
      <c r="AI26" s="2260">
        <f>AI23*AI25</f>
        <v>0</v>
      </c>
      <c r="AJ26" s="2261"/>
      <c r="AK26" s="2261"/>
      <c r="AL26" s="2261"/>
      <c r="AM26" s="2261"/>
    </row>
    <row r="27" spans="1:40" ht="13" customHeight="1">
      <c r="A27" s="312"/>
      <c r="B27" s="2274" t="s">
        <v>2084</v>
      </c>
      <c r="C27" s="2275"/>
      <c r="D27" s="2275"/>
      <c r="E27" s="2275"/>
      <c r="F27" s="2275"/>
      <c r="G27" s="2275"/>
      <c r="H27" s="2275"/>
      <c r="I27" s="2275"/>
      <c r="J27" s="2275"/>
      <c r="K27" s="2275"/>
      <c r="L27" s="2275"/>
      <c r="M27" s="2275"/>
      <c r="N27" s="2275"/>
      <c r="O27" s="2275"/>
      <c r="P27" s="2275"/>
      <c r="Q27" s="2275"/>
      <c r="R27" s="2275"/>
      <c r="S27" s="2276"/>
      <c r="T27" s="2280">
        <f>Application!$AG$445</f>
        <v>1</v>
      </c>
      <c r="U27" s="2281"/>
      <c r="V27" s="2281"/>
      <c r="W27" s="2281"/>
      <c r="X27" s="2281"/>
      <c r="Y27" s="2280">
        <f>Application!$AG$445</f>
        <v>1</v>
      </c>
      <c r="Z27" s="2281"/>
      <c r="AA27" s="2281"/>
      <c r="AB27" s="2281"/>
      <c r="AC27" s="2281"/>
      <c r="AD27" s="2280">
        <f>Application!$AG$445</f>
        <v>1</v>
      </c>
      <c r="AE27" s="2281"/>
      <c r="AF27" s="2281"/>
      <c r="AG27" s="2281"/>
      <c r="AH27" s="2281"/>
      <c r="AI27" s="2280">
        <f>Application!$AG$445</f>
        <v>1</v>
      </c>
      <c r="AJ27" s="2281"/>
      <c r="AK27" s="2281"/>
      <c r="AL27" s="2281"/>
      <c r="AM27" s="2281"/>
    </row>
    <row r="28" spans="1:40" ht="13" customHeight="1">
      <c r="A28" s="306"/>
      <c r="B28" s="2267" t="s">
        <v>2085</v>
      </c>
      <c r="C28" s="2268"/>
      <c r="D28" s="2268"/>
      <c r="E28" s="2268"/>
      <c r="F28" s="2268"/>
      <c r="G28" s="2268"/>
      <c r="H28" s="2268"/>
      <c r="I28" s="2268"/>
      <c r="J28" s="2268"/>
      <c r="K28" s="2268"/>
      <c r="L28" s="2268"/>
      <c r="M28" s="2268"/>
      <c r="N28" s="2268"/>
      <c r="O28" s="2268"/>
      <c r="P28" s="2268"/>
      <c r="Q28" s="2268"/>
      <c r="R28" s="2268"/>
      <c r="S28" s="2269"/>
      <c r="T28" s="2260">
        <f>IF(ISERROR((T26*T27)),0,(T26*T27))</f>
        <v>34160155.899999999</v>
      </c>
      <c r="U28" s="2261"/>
      <c r="V28" s="2261"/>
      <c r="W28" s="2261"/>
      <c r="X28" s="2261"/>
      <c r="Y28" s="2260">
        <f>IF(ISERROR((Y26*Y27)),0,(Y26*Y27))</f>
        <v>0</v>
      </c>
      <c r="Z28" s="2261"/>
      <c r="AA28" s="2261"/>
      <c r="AB28" s="2261"/>
      <c r="AC28" s="2261"/>
      <c r="AD28" s="2260">
        <f>IF(ISERROR((AD26*AD27)),0,(AD26*AD27))</f>
        <v>27732460</v>
      </c>
      <c r="AE28" s="2261"/>
      <c r="AF28" s="2261"/>
      <c r="AG28" s="2261"/>
      <c r="AH28" s="2261"/>
      <c r="AI28" s="2260">
        <f>IF(ISERROR((AI26*AI27)),0,(AI26*AI27))</f>
        <v>0</v>
      </c>
      <c r="AJ28" s="2261"/>
      <c r="AK28" s="2261"/>
      <c r="AL28" s="2261"/>
      <c r="AM28" s="2261"/>
    </row>
    <row r="29" spans="1:40" ht="13" customHeight="1">
      <c r="B29" s="2267" t="s">
        <v>2086</v>
      </c>
      <c r="C29" s="2268"/>
      <c r="D29" s="2268"/>
      <c r="E29" s="2268"/>
      <c r="F29" s="2268"/>
      <c r="G29" s="2268"/>
      <c r="H29" s="2268"/>
      <c r="I29" s="2268"/>
      <c r="J29" s="2268"/>
      <c r="K29" s="2268"/>
      <c r="L29" s="2268"/>
      <c r="M29" s="2268"/>
      <c r="N29" s="2268"/>
      <c r="O29" s="2268"/>
      <c r="P29" s="2268"/>
      <c r="Q29" s="2268"/>
      <c r="R29" s="2268"/>
      <c r="S29" s="2269"/>
      <c r="T29" s="2262">
        <f>T28+Y28+AD28+AI28</f>
        <v>61892615.899999999</v>
      </c>
      <c r="U29" s="2263"/>
      <c r="V29" s="2263"/>
      <c r="W29" s="2263"/>
      <c r="X29" s="2263"/>
      <c r="Y29" s="2263"/>
      <c r="Z29" s="2263"/>
      <c r="AA29" s="2263"/>
      <c r="AB29" s="2263"/>
      <c r="AC29" s="2263"/>
      <c r="AD29" s="2263"/>
      <c r="AE29" s="2263"/>
      <c r="AF29" s="2263"/>
      <c r="AG29" s="2263"/>
      <c r="AH29" s="2263"/>
      <c r="AI29" s="2263"/>
      <c r="AJ29" s="2263"/>
      <c r="AK29" s="2263"/>
      <c r="AL29" s="2263"/>
      <c r="AM29" s="2260"/>
    </row>
    <row r="30" spans="1:40" ht="13" customHeight="1">
      <c r="B30" s="2270" t="s">
        <v>2087</v>
      </c>
      <c r="C30" s="2270"/>
      <c r="D30" s="2270"/>
      <c r="E30" s="2270"/>
      <c r="F30" s="2270"/>
      <c r="G30" s="2270"/>
      <c r="H30" s="2270"/>
      <c r="I30" s="2270"/>
      <c r="J30" s="2270"/>
      <c r="K30" s="2270"/>
      <c r="L30" s="2270"/>
      <c r="M30" s="2270"/>
      <c r="N30" s="2270"/>
      <c r="O30" s="2270"/>
      <c r="P30" s="2270"/>
      <c r="Q30" s="2270"/>
      <c r="R30" s="2270"/>
      <c r="S30" s="2270"/>
      <c r="T30" s="2270"/>
      <c r="U30" s="2270"/>
      <c r="V30" s="2270"/>
      <c r="W30" s="2270"/>
      <c r="X30" s="2270"/>
      <c r="Y30" s="2270"/>
      <c r="Z30" s="2270"/>
      <c r="AA30" s="2270"/>
      <c r="AB30" s="2270"/>
      <c r="AC30" s="2270"/>
      <c r="AD30" s="2270"/>
      <c r="AE30" s="2270"/>
      <c r="AF30" s="2270"/>
      <c r="AG30" s="2270"/>
      <c r="AH30" s="2270"/>
      <c r="AI30" s="2270"/>
      <c r="AJ30" s="2270"/>
      <c r="AK30" s="2270"/>
      <c r="AL30" s="2270"/>
      <c r="AM30" s="2270"/>
    </row>
    <row r="31" spans="1:40" ht="13" customHeight="1">
      <c r="B31" s="2270" t="s">
        <v>2088</v>
      </c>
      <c r="C31" s="2270"/>
      <c r="D31" s="2270"/>
      <c r="E31" s="2270"/>
      <c r="F31" s="2270"/>
      <c r="G31" s="2270"/>
      <c r="H31" s="2270"/>
      <c r="I31" s="2270"/>
      <c r="J31" s="2270"/>
      <c r="K31" s="2270"/>
      <c r="L31" s="2270"/>
      <c r="M31" s="2270"/>
      <c r="N31" s="2270"/>
      <c r="O31" s="2270"/>
      <c r="P31" s="2270"/>
      <c r="Q31" s="2270"/>
      <c r="R31" s="2270"/>
      <c r="S31" s="2270"/>
      <c r="T31" s="2270"/>
      <c r="U31" s="2270"/>
      <c r="V31" s="2270"/>
      <c r="W31" s="2270"/>
      <c r="X31" s="2270"/>
      <c r="Y31" s="2270"/>
      <c r="Z31" s="2270"/>
      <c r="AA31" s="2270"/>
      <c r="AB31" s="2270"/>
      <c r="AC31" s="2270"/>
      <c r="AD31" s="2270"/>
      <c r="AE31" s="2270"/>
      <c r="AF31" s="2270"/>
      <c r="AG31" s="2270"/>
      <c r="AH31" s="2270"/>
      <c r="AI31" s="2270"/>
      <c r="AJ31" s="2270"/>
      <c r="AK31" s="2270"/>
      <c r="AL31" s="2270"/>
      <c r="AM31" s="2270"/>
      <c r="AN31" s="417"/>
    </row>
    <row r="32" spans="1:40" ht="13" customHeight="1">
      <c r="B32" s="336"/>
      <c r="C32" s="410" t="s">
        <v>2089</v>
      </c>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c r="AM32" s="336"/>
    </row>
    <row r="34" spans="1:76" ht="13" customHeight="1">
      <c r="A34" s="306" t="s">
        <v>908</v>
      </c>
      <c r="C34" s="306" t="s">
        <v>279</v>
      </c>
    </row>
    <row r="35" spans="1:76" ht="13" customHeight="1">
      <c r="B35" s="307"/>
      <c r="C35" s="308"/>
      <c r="D35" s="308"/>
      <c r="E35" s="308"/>
      <c r="F35" s="308"/>
      <c r="G35" s="308"/>
      <c r="H35" s="308"/>
      <c r="I35" s="308"/>
      <c r="J35" s="308"/>
      <c r="K35" s="308"/>
      <c r="L35" s="308"/>
      <c r="M35" s="308"/>
      <c r="N35" s="308"/>
      <c r="O35" s="308"/>
      <c r="P35" s="308"/>
      <c r="Q35" s="308"/>
      <c r="R35" s="308"/>
      <c r="S35" s="308"/>
      <c r="T35" s="308"/>
      <c r="U35" s="308"/>
      <c r="V35" s="308"/>
      <c r="W35" s="308"/>
      <c r="X35" s="313"/>
      <c r="Y35" s="2288" t="s">
        <v>2090</v>
      </c>
      <c r="Z35" s="2288"/>
      <c r="AA35" s="2288"/>
      <c r="AB35" s="2288"/>
      <c r="AC35" s="2288"/>
      <c r="AD35" s="2308" t="s">
        <v>2091</v>
      </c>
      <c r="AE35" s="2308"/>
      <c r="AF35" s="2308"/>
      <c r="AG35" s="2308"/>
      <c r="AH35" s="2308"/>
    </row>
    <row r="36" spans="1:76" ht="13" customHeight="1">
      <c r="B36" s="309"/>
      <c r="X36" s="314"/>
      <c r="Y36" s="2288"/>
      <c r="Z36" s="2288"/>
      <c r="AA36" s="2288"/>
      <c r="AB36" s="2288"/>
      <c r="AC36" s="2288"/>
      <c r="AD36" s="2308"/>
      <c r="AE36" s="2308"/>
      <c r="AF36" s="2308"/>
      <c r="AG36" s="2308"/>
      <c r="AH36" s="2308"/>
    </row>
    <row r="37" spans="1:76" ht="13" customHeight="1">
      <c r="B37" s="310"/>
      <c r="C37" s="311"/>
      <c r="D37" s="311"/>
      <c r="E37" s="311"/>
      <c r="F37" s="311"/>
      <c r="G37" s="311"/>
      <c r="H37" s="311"/>
      <c r="I37" s="311"/>
      <c r="J37" s="311"/>
      <c r="K37" s="311"/>
      <c r="L37" s="311"/>
      <c r="M37" s="311"/>
      <c r="N37" s="311"/>
      <c r="O37" s="311"/>
      <c r="P37" s="311"/>
      <c r="Q37" s="311"/>
      <c r="R37" s="311"/>
      <c r="S37" s="311"/>
      <c r="T37" s="311"/>
      <c r="U37" s="311"/>
      <c r="V37" s="311"/>
      <c r="W37" s="311"/>
      <c r="X37" s="315"/>
      <c r="Y37" s="2288"/>
      <c r="Z37" s="2288"/>
      <c r="AA37" s="2288"/>
      <c r="AB37" s="2288"/>
      <c r="AC37" s="2288"/>
      <c r="AD37" s="2308"/>
      <c r="AE37" s="2308"/>
      <c r="AF37" s="2308"/>
      <c r="AG37" s="2308"/>
      <c r="AH37" s="2308"/>
    </row>
    <row r="38" spans="1:76" ht="13" customHeight="1">
      <c r="A38" s="306"/>
      <c r="B38" s="2267" t="s">
        <v>2085</v>
      </c>
      <c r="C38" s="2268"/>
      <c r="D38" s="2268"/>
      <c r="E38" s="2268"/>
      <c r="F38" s="2268"/>
      <c r="G38" s="2268"/>
      <c r="H38" s="2268"/>
      <c r="I38" s="2268"/>
      <c r="J38" s="2268"/>
      <c r="K38" s="2268"/>
      <c r="L38" s="2268"/>
      <c r="M38" s="2268"/>
      <c r="N38" s="2268"/>
      <c r="O38" s="2268"/>
      <c r="P38" s="2268"/>
      <c r="Q38" s="2268"/>
      <c r="R38" s="2268"/>
      <c r="S38" s="2268"/>
      <c r="T38" s="2268"/>
      <c r="U38" s="2268"/>
      <c r="V38" s="2268"/>
      <c r="W38" s="2268"/>
      <c r="X38" s="2269"/>
      <c r="Y38" s="2261">
        <f>IF(T24&gt;=(T23+Y23+AD23+AI23),T28+Y28,0)</f>
        <v>34160155.899999999</v>
      </c>
      <c r="Z38" s="2261"/>
      <c r="AA38" s="2261"/>
      <c r="AB38" s="2261"/>
      <c r="AC38" s="2261"/>
      <c r="AD38" s="2261">
        <f>IF(T24&gt;=(T23+Y23+AD23+AI23),AD28+AI28,0)</f>
        <v>27732460</v>
      </c>
      <c r="AE38" s="2261"/>
      <c r="AF38" s="2261"/>
      <c r="AG38" s="2261"/>
      <c r="AH38" s="2261"/>
    </row>
    <row r="39" spans="1:76" ht="13" customHeight="1">
      <c r="B39" s="2267" t="s">
        <v>2092</v>
      </c>
      <c r="C39" s="2268"/>
      <c r="D39" s="2268"/>
      <c r="E39" s="2268"/>
      <c r="F39" s="2268"/>
      <c r="G39" s="2268"/>
      <c r="H39" s="2268"/>
      <c r="I39" s="2268"/>
      <c r="J39" s="2268"/>
      <c r="K39" s="2268"/>
      <c r="L39" s="2268"/>
      <c r="M39" s="2268"/>
      <c r="N39" s="2268"/>
      <c r="O39" s="2268"/>
      <c r="P39" s="2268"/>
      <c r="Q39" s="2268"/>
      <c r="R39" s="2268"/>
      <c r="S39" s="2268"/>
      <c r="T39" s="2268"/>
      <c r="U39" s="2268"/>
      <c r="V39" s="2268"/>
      <c r="W39" s="2268"/>
      <c r="X39" s="2269"/>
      <c r="Y39" s="2309">
        <v>0.04</v>
      </c>
      <c r="Z39" s="2309"/>
      <c r="AA39" s="2309"/>
      <c r="AB39" s="2309"/>
      <c r="AC39" s="2309"/>
      <c r="AD39" s="2309">
        <v>0.04</v>
      </c>
      <c r="AE39" s="2309"/>
      <c r="AF39" s="2309"/>
      <c r="AG39" s="2309"/>
      <c r="AH39" s="2309"/>
    </row>
    <row r="40" spans="1:76" ht="13" customHeight="1">
      <c r="A40" s="306"/>
      <c r="B40" s="2267" t="s">
        <v>2093</v>
      </c>
      <c r="C40" s="2268"/>
      <c r="D40" s="2268"/>
      <c r="E40" s="2268"/>
      <c r="F40" s="2268"/>
      <c r="G40" s="2268"/>
      <c r="H40" s="2268"/>
      <c r="I40" s="2268"/>
      <c r="J40" s="2268"/>
      <c r="K40" s="2268"/>
      <c r="L40" s="2268"/>
      <c r="M40" s="2268"/>
      <c r="N40" s="2268"/>
      <c r="O40" s="2268"/>
      <c r="P40" s="2268"/>
      <c r="Q40" s="2268"/>
      <c r="R40" s="2268"/>
      <c r="S40" s="2268"/>
      <c r="T40" s="2268"/>
      <c r="U40" s="2268"/>
      <c r="V40" s="2268"/>
      <c r="W40" s="2268"/>
      <c r="X40" s="2269"/>
      <c r="Y40" s="2261">
        <f>ROUND(Y38*Y39,0)</f>
        <v>1366406</v>
      </c>
      <c r="Z40" s="2261"/>
      <c r="AA40" s="2261"/>
      <c r="AB40" s="2261"/>
      <c r="AC40" s="2261"/>
      <c r="AD40" s="2260">
        <f>ROUND(AD38*AD39,0)</f>
        <v>1109298</v>
      </c>
      <c r="AE40" s="2261"/>
      <c r="AF40" s="2261"/>
      <c r="AG40" s="2261"/>
      <c r="AH40" s="2261"/>
    </row>
    <row r="41" spans="1:76" ht="13" customHeight="1">
      <c r="B41" s="2267" t="s">
        <v>2094</v>
      </c>
      <c r="C41" s="2268"/>
      <c r="D41" s="2268"/>
      <c r="E41" s="2268"/>
      <c r="F41" s="2268"/>
      <c r="G41" s="2268"/>
      <c r="H41" s="2268"/>
      <c r="I41" s="2268"/>
      <c r="J41" s="2268"/>
      <c r="K41" s="2268"/>
      <c r="L41" s="2268"/>
      <c r="M41" s="2268"/>
      <c r="N41" s="2268"/>
      <c r="O41" s="2268"/>
      <c r="P41" s="2268"/>
      <c r="Q41" s="2268"/>
      <c r="R41" s="2268"/>
      <c r="S41" s="2268"/>
      <c r="T41" s="2268"/>
      <c r="U41" s="2268"/>
      <c r="V41" s="2268"/>
      <c r="W41" s="2268"/>
      <c r="X41" s="2269"/>
      <c r="Y41" s="2262">
        <f>Y40+AD40</f>
        <v>2475704</v>
      </c>
      <c r="Z41" s="2263"/>
      <c r="AA41" s="2263"/>
      <c r="AB41" s="2263"/>
      <c r="AC41" s="2263"/>
      <c r="AD41" s="2263"/>
      <c r="AE41" s="2263"/>
      <c r="AF41" s="2263"/>
      <c r="AG41" s="2263"/>
      <c r="AH41" s="2260"/>
    </row>
    <row r="42" spans="1:76" ht="13" customHeight="1">
      <c r="A42" s="306"/>
      <c r="B42" s="823"/>
      <c r="C42" s="823"/>
      <c r="D42" s="823"/>
      <c r="E42" s="823"/>
      <c r="F42" s="823"/>
      <c r="G42" s="823"/>
      <c r="H42" s="823"/>
      <c r="I42" s="823"/>
      <c r="J42" s="823"/>
      <c r="K42" s="823"/>
      <c r="L42" s="823"/>
      <c r="M42" s="823"/>
      <c r="N42" s="823"/>
      <c r="O42" s="823"/>
      <c r="P42" s="823"/>
      <c r="Q42" s="823"/>
      <c r="R42" s="823"/>
      <c r="S42" s="823"/>
      <c r="T42" s="823"/>
      <c r="U42" s="823"/>
      <c r="V42" s="823"/>
      <c r="W42" s="823"/>
      <c r="X42" s="823"/>
      <c r="Y42" s="823"/>
      <c r="Z42" s="823"/>
      <c r="AA42" s="823"/>
      <c r="AB42" s="823"/>
      <c r="AC42" s="823"/>
      <c r="AD42" s="823"/>
      <c r="AE42" s="823"/>
      <c r="AF42" s="823"/>
      <c r="AG42" s="823"/>
      <c r="AH42" s="823"/>
    </row>
    <row r="43" spans="1:76" ht="13" customHeight="1">
      <c r="B43" s="316"/>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row>
    <row r="44" spans="1:76" s="135" customFormat="1" ht="13" customHeight="1" thickBot="1">
      <c r="A44" s="2265" t="s">
        <v>2095</v>
      </c>
      <c r="B44" s="2265"/>
      <c r="C44" s="2265"/>
      <c r="D44" s="2265"/>
      <c r="E44" s="2265"/>
      <c r="F44" s="2265"/>
      <c r="G44" s="2265"/>
      <c r="H44" s="2265"/>
      <c r="I44" s="2265"/>
      <c r="J44" s="2265"/>
      <c r="K44" s="2265"/>
      <c r="L44" s="2265"/>
      <c r="M44" s="2265"/>
      <c r="N44" s="2265"/>
      <c r="O44" s="2265"/>
      <c r="P44" s="2265"/>
      <c r="Q44" s="2265"/>
      <c r="R44" s="2265"/>
      <c r="S44" s="2265"/>
      <c r="T44" s="2265"/>
      <c r="U44" s="2265"/>
      <c r="V44" s="2265"/>
      <c r="W44" s="2265"/>
      <c r="X44" s="2265"/>
      <c r="Y44" s="2265"/>
      <c r="Z44" s="2265"/>
      <c r="AA44" s="2265"/>
      <c r="AB44" s="2265"/>
      <c r="AC44" s="2265"/>
      <c r="AD44" s="2265"/>
      <c r="AE44" s="2265"/>
      <c r="AF44" s="2265"/>
      <c r="AG44" s="2265"/>
      <c r="AH44" s="2265"/>
      <c r="AI44" s="2265"/>
      <c r="AJ44" s="2265"/>
      <c r="AK44" s="2265"/>
      <c r="AL44" s="2265"/>
      <c r="AM44" s="2265"/>
      <c r="AN44" s="2265"/>
      <c r="AO44" s="2265"/>
      <c r="AP44" s="2265"/>
      <c r="AQ44" s="2265"/>
      <c r="AR44" s="2265"/>
      <c r="AS44" s="2265"/>
      <c r="AT44" s="2265"/>
      <c r="AU44" s="2265"/>
      <c r="AV44" s="2265"/>
      <c r="AW44" s="2265"/>
      <c r="AX44" s="2265"/>
      <c r="AY44" s="2265"/>
      <c r="AZ44" s="2265"/>
      <c r="BA44" s="2265"/>
      <c r="BB44" s="2265"/>
      <c r="BC44" s="2265"/>
      <c r="BD44" s="2265"/>
      <c r="BE44" s="2265"/>
      <c r="BF44" s="2265"/>
      <c r="BG44" s="2265"/>
      <c r="BH44" s="2265"/>
      <c r="BI44" s="2265"/>
      <c r="BJ44" s="2265"/>
      <c r="BK44" s="2265"/>
      <c r="BL44" s="2265"/>
      <c r="BM44" s="2265"/>
      <c r="BN44" s="2265"/>
      <c r="BO44" s="2265"/>
      <c r="BP44" s="2265"/>
      <c r="BQ44" s="2265"/>
      <c r="BR44" s="2265"/>
      <c r="BS44" s="2265"/>
      <c r="BT44" s="2265"/>
      <c r="BU44" s="2265"/>
      <c r="BV44" s="2265"/>
      <c r="BW44" s="2265"/>
      <c r="BX44" s="2265"/>
    </row>
    <row r="45" spans="1:76" s="135" customFormat="1" ht="13" customHeight="1" thickTop="1"/>
    <row r="46" spans="1:76" ht="13" customHeight="1">
      <c r="A46" s="306" t="s">
        <v>987</v>
      </c>
      <c r="C46" s="306" t="s">
        <v>282</v>
      </c>
    </row>
    <row r="47" spans="1:76" ht="13" customHeight="1">
      <c r="D47" s="306" t="s">
        <v>675</v>
      </c>
      <c r="AB47" s="2277">
        <f>'Sources and Uses Budget'!B105-MAX(IF('Sources and Uses Budget'!B15="",0,'Sources and Uses Budget'!B15),IF(Application!AG394="",0,Application!AG394))</f>
        <v>56745149</v>
      </c>
      <c r="AC47" s="2278"/>
      <c r="AD47" s="2278"/>
      <c r="AE47" s="2278"/>
      <c r="AF47" s="2279"/>
    </row>
    <row r="48" spans="1:76" ht="13" customHeight="1">
      <c r="D48" s="306" t="s">
        <v>175</v>
      </c>
      <c r="AB48" s="2277">
        <f>Application!AO639-MAX(IF('Sources and Uses Budget'!B15="",0,'Sources and Uses Budget'!B15),IF(Application!AG394="",0,Application!AG394))</f>
        <v>35109704</v>
      </c>
      <c r="AC48" s="2278"/>
      <c r="AD48" s="2278"/>
      <c r="AE48" s="2278"/>
      <c r="AF48" s="2279"/>
    </row>
    <row r="49" spans="1:76" ht="13" customHeight="1">
      <c r="D49" s="306" t="s">
        <v>2096</v>
      </c>
      <c r="AB49" s="2277">
        <f>AB47-AB48</f>
        <v>21635445</v>
      </c>
      <c r="AC49" s="2278"/>
      <c r="AD49" s="2278"/>
      <c r="AE49" s="2278"/>
      <c r="AF49" s="2279"/>
    </row>
    <row r="50" spans="1:76" ht="13" customHeight="1">
      <c r="D50" s="306" t="s">
        <v>2097</v>
      </c>
      <c r="AA50" s="317"/>
      <c r="AB50" s="2304">
        <f>+AB49/(Y41*10)</f>
        <v>0.87391081486316624</v>
      </c>
      <c r="AC50" s="2305"/>
      <c r="AD50" s="2305"/>
      <c r="AE50" s="2305"/>
      <c r="AF50" s="2306"/>
    </row>
    <row r="51" spans="1:76" s="319" customFormat="1" ht="13" customHeight="1">
      <c r="A51" s="304"/>
      <c r="B51" s="304"/>
      <c r="C51" s="304"/>
      <c r="D51" s="304"/>
      <c r="E51" s="2307" t="s">
        <v>2098</v>
      </c>
      <c r="F51" s="2307"/>
      <c r="G51" s="2307"/>
      <c r="H51" s="2307"/>
      <c r="I51" s="2307"/>
      <c r="J51" s="2307"/>
      <c r="K51" s="2307"/>
      <c r="L51" s="2307"/>
      <c r="M51" s="2307"/>
      <c r="N51" s="2307"/>
      <c r="O51" s="2307"/>
      <c r="P51" s="2307"/>
      <c r="Q51" s="2307"/>
      <c r="R51" s="2307"/>
      <c r="S51" s="2307"/>
      <c r="T51" s="2307"/>
      <c r="U51" s="2307"/>
      <c r="V51" s="2307"/>
      <c r="W51" s="2307"/>
      <c r="X51" s="2307"/>
      <c r="Y51" s="2307"/>
      <c r="Z51" s="2307"/>
      <c r="AA51" s="318"/>
      <c r="AB51" s="318"/>
      <c r="AC51" s="318"/>
      <c r="AD51" s="318"/>
      <c r="AE51" s="318"/>
      <c r="AF51" s="318"/>
      <c r="AG51" s="304"/>
      <c r="AH51" s="304"/>
      <c r="AI51" s="304"/>
      <c r="AJ51" s="304"/>
      <c r="AK51" s="304"/>
      <c r="AL51" s="304"/>
      <c r="AM51" s="304"/>
      <c r="AN51" s="304"/>
    </row>
    <row r="52" spans="1:76" s="319" customFormat="1" ht="13" customHeight="1">
      <c r="A52" s="304"/>
      <c r="B52" s="304"/>
      <c r="C52" s="304"/>
      <c r="D52" s="304"/>
      <c r="E52" s="2307"/>
      <c r="F52" s="2307"/>
      <c r="G52" s="2307"/>
      <c r="H52" s="2307"/>
      <c r="I52" s="2307"/>
      <c r="J52" s="2307"/>
      <c r="K52" s="2307"/>
      <c r="L52" s="2307"/>
      <c r="M52" s="2307"/>
      <c r="N52" s="2307"/>
      <c r="O52" s="2307"/>
      <c r="P52" s="2307"/>
      <c r="Q52" s="2307"/>
      <c r="R52" s="2307"/>
      <c r="S52" s="2307"/>
      <c r="T52" s="2307"/>
      <c r="U52" s="2307"/>
      <c r="V52" s="2307"/>
      <c r="W52" s="2307"/>
      <c r="X52" s="2307"/>
      <c r="Y52" s="2307"/>
      <c r="Z52" s="2307"/>
      <c r="AA52" s="320"/>
      <c r="AB52" s="320"/>
      <c r="AC52" s="320"/>
      <c r="AD52" s="320"/>
      <c r="AE52" s="320"/>
      <c r="AF52" s="320"/>
      <c r="AG52" s="321"/>
      <c r="AH52" s="304"/>
      <c r="AI52" s="304"/>
      <c r="AJ52" s="304"/>
      <c r="AK52" s="304"/>
      <c r="AL52" s="304"/>
      <c r="AM52" s="304"/>
      <c r="AN52" s="304"/>
    </row>
    <row r="53" spans="1:76" ht="13" customHeight="1">
      <c r="E53" s="318"/>
      <c r="F53" s="318"/>
      <c r="G53" s="318"/>
      <c r="H53" s="318"/>
      <c r="I53" s="318"/>
      <c r="J53" s="318"/>
      <c r="K53" s="318"/>
      <c r="L53" s="318"/>
      <c r="M53" s="318"/>
      <c r="N53" s="318"/>
      <c r="O53" s="318"/>
      <c r="P53" s="318"/>
      <c r="Q53" s="318"/>
      <c r="R53" s="318"/>
      <c r="S53" s="318"/>
      <c r="T53" s="318"/>
      <c r="U53" s="318"/>
      <c r="V53" s="318"/>
      <c r="W53" s="318"/>
      <c r="X53" s="318"/>
      <c r="Y53" s="318"/>
      <c r="Z53" s="318"/>
    </row>
    <row r="54" spans="1:76" ht="13" customHeight="1">
      <c r="D54" s="306" t="s">
        <v>2099</v>
      </c>
      <c r="AB54" s="2277">
        <f>ROUND(IF(ISERROR((AB49/AB50)),0,(AB49/AB50)),0)</f>
        <v>24757040</v>
      </c>
      <c r="AC54" s="2278"/>
      <c r="AD54" s="2278"/>
      <c r="AE54" s="2278"/>
      <c r="AF54" s="2279"/>
    </row>
    <row r="55" spans="1:76" ht="13" customHeight="1">
      <c r="D55" s="306" t="s">
        <v>2100</v>
      </c>
      <c r="AB55" s="2277">
        <f>(AB54/10)</f>
        <v>2475704</v>
      </c>
      <c r="AC55" s="2278"/>
      <c r="AD55" s="2278"/>
      <c r="AE55" s="2278"/>
      <c r="AF55" s="2279"/>
    </row>
    <row r="56" spans="1:76" ht="13" customHeight="1">
      <c r="D56" s="306" t="s">
        <v>2101</v>
      </c>
      <c r="AB56" s="2277">
        <f>ROUND((IF((Y41&lt;AB55),Y41,AB55)),0)</f>
        <v>2475704</v>
      </c>
      <c r="AC56" s="2278"/>
      <c r="AD56" s="2278"/>
      <c r="AE56" s="2278"/>
      <c r="AF56" s="2279"/>
    </row>
    <row r="57" spans="1:76" ht="13" customHeight="1">
      <c r="D57" s="306" t="s">
        <v>2102</v>
      </c>
      <c r="AB57" s="2277">
        <f>ROUND((10*AB56*AB50),0)</f>
        <v>21635445</v>
      </c>
      <c r="AC57" s="2278"/>
      <c r="AD57" s="2278"/>
      <c r="AE57" s="2278"/>
      <c r="AF57" s="2279"/>
    </row>
    <row r="58" spans="1:76" ht="13" customHeight="1">
      <c r="D58" s="306"/>
      <c r="AB58" s="325"/>
      <c r="AC58" s="325"/>
      <c r="AD58" s="325"/>
      <c r="AE58" s="325"/>
      <c r="AF58" s="325"/>
    </row>
    <row r="59" spans="1:76" ht="13" customHeight="1">
      <c r="D59" s="306" t="s">
        <v>2103</v>
      </c>
      <c r="AB59" s="2300">
        <f>AB49-AB57</f>
        <v>0</v>
      </c>
      <c r="AC59" s="2300"/>
      <c r="AD59" s="2300"/>
      <c r="AE59" s="2300"/>
      <c r="AF59" s="2300"/>
    </row>
    <row r="60" spans="1:76" ht="13" customHeight="1">
      <c r="D60" s="306"/>
      <c r="AB60" s="325"/>
      <c r="AC60" s="325"/>
      <c r="AD60" s="325"/>
      <c r="AE60" s="325"/>
      <c r="AF60" s="325"/>
    </row>
    <row r="61" spans="1:76" s="135" customFormat="1" ht="13" customHeight="1" thickBot="1">
      <c r="A61" s="2265" t="str">
        <f>IF(Application!AP205="yes","Farmworker State Credit", "State Credit" )</f>
        <v>State Credit</v>
      </c>
      <c r="B61" s="2265"/>
      <c r="C61" s="2265"/>
      <c r="D61" s="2265"/>
      <c r="E61" s="2265"/>
      <c r="F61" s="2265"/>
      <c r="G61" s="2265"/>
      <c r="H61" s="2265"/>
      <c r="I61" s="2265"/>
      <c r="J61" s="2265"/>
      <c r="K61" s="2265"/>
      <c r="L61" s="2265"/>
      <c r="M61" s="2265"/>
      <c r="N61" s="2265"/>
      <c r="O61" s="2265"/>
      <c r="P61" s="2265"/>
      <c r="Q61" s="2265"/>
      <c r="R61" s="2265"/>
      <c r="S61" s="2265"/>
      <c r="T61" s="2265"/>
      <c r="U61" s="2265"/>
      <c r="V61" s="2265"/>
      <c r="W61" s="2265"/>
      <c r="X61" s="2265"/>
      <c r="Y61" s="2265"/>
      <c r="Z61" s="2265"/>
      <c r="AA61" s="2265"/>
      <c r="AB61" s="2265"/>
      <c r="AC61" s="2265"/>
      <c r="AD61" s="2265"/>
      <c r="AE61" s="2265"/>
      <c r="AF61" s="2265"/>
      <c r="AG61" s="2265"/>
      <c r="AH61" s="2265"/>
      <c r="AI61" s="2265"/>
      <c r="AJ61" s="2265"/>
      <c r="AK61" s="2265"/>
      <c r="AL61" s="2265"/>
      <c r="AM61" s="2265"/>
      <c r="AN61" s="2265"/>
      <c r="AO61" s="2265"/>
      <c r="AP61" s="2265"/>
      <c r="AQ61" s="2265"/>
      <c r="AR61" s="2265"/>
      <c r="AS61" s="2265"/>
      <c r="AT61" s="2265"/>
      <c r="AU61" s="2265"/>
      <c r="AV61" s="2265"/>
      <c r="AW61" s="2265"/>
      <c r="AX61" s="2265"/>
      <c r="AY61" s="2265"/>
      <c r="AZ61" s="2265"/>
      <c r="BA61" s="2265"/>
      <c r="BB61" s="2265"/>
      <c r="BC61" s="2265"/>
      <c r="BD61" s="2265"/>
      <c r="BE61" s="2265"/>
      <c r="BF61" s="2265"/>
      <c r="BG61" s="2265"/>
      <c r="BH61" s="2265"/>
      <c r="BI61" s="2265"/>
      <c r="BJ61" s="2265"/>
      <c r="BK61" s="2265"/>
      <c r="BL61" s="2265"/>
      <c r="BM61" s="2265"/>
      <c r="BN61" s="2265"/>
      <c r="BO61" s="2265"/>
      <c r="BP61" s="2265"/>
      <c r="BQ61" s="2265"/>
      <c r="BR61" s="2265"/>
      <c r="BS61" s="2265"/>
      <c r="BT61" s="2265"/>
      <c r="BU61" s="2265"/>
      <c r="BV61" s="2265"/>
      <c r="BW61" s="2265"/>
      <c r="BX61" s="2265"/>
    </row>
    <row r="62" spans="1:76" s="135" customFormat="1" ht="13" customHeight="1" thickTop="1"/>
    <row r="63" spans="1:76" ht="13" customHeight="1">
      <c r="A63" s="306" t="s">
        <v>1005</v>
      </c>
      <c r="C63" s="136" t="s">
        <v>2104</v>
      </c>
      <c r="Y63" s="2301" t="s">
        <v>2105</v>
      </c>
      <c r="Z63" s="2301"/>
      <c r="AA63" s="2301"/>
      <c r="AB63" s="2301"/>
      <c r="AC63" s="2301"/>
      <c r="AD63" s="2301" t="s">
        <v>2091</v>
      </c>
      <c r="AE63" s="2301"/>
      <c r="AF63" s="2301"/>
      <c r="AG63" s="2301"/>
      <c r="AH63" s="2301"/>
    </row>
    <row r="64" spans="1:76" ht="13" customHeight="1">
      <c r="C64" s="306"/>
      <c r="D64" s="279" t="s">
        <v>2106</v>
      </c>
      <c r="E64" s="322"/>
      <c r="F64" s="322"/>
      <c r="G64" s="322"/>
      <c r="H64" s="322"/>
      <c r="I64" s="322"/>
      <c r="J64" s="322"/>
      <c r="K64" s="322"/>
      <c r="L64" s="322"/>
      <c r="M64" s="322"/>
      <c r="N64" s="322"/>
      <c r="O64" s="322"/>
      <c r="P64" s="322"/>
      <c r="Q64" s="322"/>
      <c r="R64" s="322"/>
      <c r="S64" s="322"/>
      <c r="T64" s="322"/>
      <c r="U64" s="322"/>
      <c r="V64" s="322"/>
      <c r="W64" s="322"/>
      <c r="X64" s="322"/>
      <c r="Y64" s="2262">
        <f>IF(Application!$Z$205="(select)",0,((T23*T27)+Y28))</f>
        <v>0</v>
      </c>
      <c r="Z64" s="2302"/>
      <c r="AA64" s="2302"/>
      <c r="AB64" s="2302"/>
      <c r="AC64" s="2303"/>
      <c r="AD64" s="2262">
        <f>IF(AND(OR(Application!D211="At-Risk",Application!D211="At-Risk and Special Needs"),Application!M358="yes"),AD28+AI28,0)</f>
        <v>0</v>
      </c>
      <c r="AE64" s="2302"/>
      <c r="AF64" s="2302"/>
      <c r="AG64" s="2302"/>
      <c r="AH64" s="2303"/>
    </row>
    <row r="65" spans="1:36" ht="13" customHeight="1">
      <c r="C65" s="306"/>
      <c r="E65" s="908" t="s">
        <v>2107</v>
      </c>
      <c r="F65" s="341"/>
      <c r="G65" s="341"/>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row>
    <row r="66" spans="1:36" ht="22.5" customHeight="1">
      <c r="C66" s="306"/>
      <c r="E66" s="908" t="s">
        <v>2108</v>
      </c>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row>
    <row r="67" spans="1:36" ht="13" customHeight="1">
      <c r="C67" s="306"/>
      <c r="D67" s="306" t="s">
        <v>2109</v>
      </c>
      <c r="E67" s="323"/>
      <c r="F67" s="323"/>
      <c r="G67" s="323"/>
      <c r="H67" s="323"/>
      <c r="I67" s="323"/>
      <c r="J67" s="323"/>
      <c r="K67" s="323"/>
      <c r="L67" s="323"/>
      <c r="M67" s="323"/>
      <c r="N67" s="323"/>
      <c r="O67" s="323"/>
      <c r="P67" s="323"/>
      <c r="Q67" s="323"/>
      <c r="R67" s="323"/>
      <c r="S67" s="323"/>
      <c r="T67" s="323"/>
      <c r="U67" s="323"/>
      <c r="V67" s="323"/>
      <c r="W67" s="323"/>
      <c r="X67" s="323"/>
      <c r="Y67" s="2315">
        <f>IF(OR(Application!Z205="State Farmworker Credit",Application!Z205="$500M (Farmworker Housing)"),0.75,IF(Application!Z205="15% set-aside",0.13,IF(Application!Z205="15% set-aside with qualifying low value rehab",0.95,IF(Application!Z205="$500M",0.3,0))))</f>
        <v>0</v>
      </c>
      <c r="Z67" s="2315"/>
      <c r="AA67" s="2315"/>
      <c r="AB67" s="2315"/>
      <c r="AC67" s="2315"/>
      <c r="AD67" s="2315">
        <f>IF(Application!Z205="15% set-aside with qualifying low value rehab", 0.95,IF(OR(Application!D211="At-Risk",'Points System'!B13="Yes"),0.13,0))</f>
        <v>0</v>
      </c>
      <c r="AE67" s="2315"/>
      <c r="AF67" s="2315"/>
      <c r="AG67" s="2315"/>
      <c r="AH67" s="2315"/>
    </row>
    <row r="68" spans="1:36" ht="13" customHeight="1">
      <c r="C68" s="306"/>
      <c r="D68" s="136" t="s">
        <v>2110</v>
      </c>
      <c r="Y68" s="2261">
        <f>ROUND(Y64*Y67,0)</f>
        <v>0</v>
      </c>
      <c r="Z68" s="2316"/>
      <c r="AA68" s="2316"/>
      <c r="AB68" s="2316"/>
      <c r="AC68" s="2316"/>
      <c r="AD68" s="2261">
        <f>ROUND(AD64*AD67,0)</f>
        <v>0</v>
      </c>
      <c r="AE68" s="2316"/>
      <c r="AF68" s="2316"/>
      <c r="AG68" s="2316"/>
      <c r="AH68" s="2316"/>
    </row>
    <row r="69" spans="1:36" ht="13" customHeight="1">
      <c r="C69" s="306"/>
      <c r="D69" s="136" t="s">
        <v>2111</v>
      </c>
      <c r="Y69" s="2261">
        <f>IF(OR(Application!Z205="State Farmworker Credit",Application!Z205="$500M (Farmworker Housing)"),Y68+AD68,MIN(Y68+AD68,200000*(Application!G753+Application!O777)))</f>
        <v>0</v>
      </c>
      <c r="Z69" s="2261"/>
      <c r="AA69" s="2261"/>
      <c r="AB69" s="2261"/>
      <c r="AC69" s="2261"/>
      <c r="AD69" s="2261"/>
      <c r="AE69" s="2261"/>
      <c r="AF69" s="2261"/>
      <c r="AG69" s="2261"/>
      <c r="AH69" s="2261"/>
    </row>
    <row r="70" spans="1:36" ht="13" customHeight="1">
      <c r="C70" s="306"/>
      <c r="E70" s="306"/>
      <c r="AB70" s="324"/>
      <c r="AC70" s="324"/>
      <c r="AD70" s="324"/>
      <c r="AE70" s="324"/>
      <c r="AF70" s="324"/>
    </row>
    <row r="71" spans="1:36" ht="13" customHeight="1">
      <c r="A71" s="306" t="s">
        <v>1017</v>
      </c>
      <c r="C71" s="136" t="s">
        <v>288</v>
      </c>
    </row>
    <row r="72" spans="1:36" ht="13" customHeight="1">
      <c r="A72" s="306"/>
      <c r="C72" s="306"/>
      <c r="D72" s="136" t="s">
        <v>729</v>
      </c>
      <c r="AB72" s="2304"/>
      <c r="AC72" s="2305"/>
      <c r="AD72" s="2305"/>
      <c r="AE72" s="2305"/>
      <c r="AF72" s="2306"/>
    </row>
    <row r="73" spans="1:36" ht="13" customHeight="1">
      <c r="A73" s="306"/>
      <c r="C73" s="306"/>
      <c r="D73" s="306"/>
      <c r="E73" s="2317" t="s">
        <v>2112</v>
      </c>
      <c r="F73" s="2317"/>
      <c r="G73" s="2317"/>
      <c r="H73" s="2317"/>
      <c r="I73" s="2317"/>
      <c r="J73" s="2317"/>
      <c r="K73" s="2317"/>
      <c r="L73" s="2317"/>
      <c r="M73" s="2317"/>
      <c r="N73" s="2317"/>
      <c r="O73" s="2317"/>
      <c r="P73" s="2317"/>
      <c r="Q73" s="2317"/>
      <c r="R73" s="2317"/>
      <c r="S73" s="2317"/>
      <c r="T73" s="2317"/>
      <c r="U73" s="2317"/>
      <c r="V73" s="2317"/>
      <c r="W73" s="2317"/>
      <c r="X73" s="2317"/>
      <c r="Y73" s="2317"/>
      <c r="Z73" s="2317"/>
      <c r="AA73" s="2317"/>
      <c r="AB73" s="340"/>
      <c r="AC73" s="340"/>
    </row>
    <row r="74" spans="1:36" ht="13" customHeight="1">
      <c r="A74" s="306"/>
      <c r="C74" s="306"/>
      <c r="D74" s="306"/>
      <c r="E74" s="2317"/>
      <c r="F74" s="2317"/>
      <c r="G74" s="2317"/>
      <c r="H74" s="2317"/>
      <c r="I74" s="2317"/>
      <c r="J74" s="2317"/>
      <c r="K74" s="2317"/>
      <c r="L74" s="2317"/>
      <c r="M74" s="2317"/>
      <c r="N74" s="2317"/>
      <c r="O74" s="2317"/>
      <c r="P74" s="2317"/>
      <c r="Q74" s="2317"/>
      <c r="R74" s="2317"/>
      <c r="S74" s="2317"/>
      <c r="T74" s="2317"/>
      <c r="U74" s="2317"/>
      <c r="V74" s="2317"/>
      <c r="W74" s="2317"/>
      <c r="X74" s="2317"/>
      <c r="Y74" s="2317"/>
      <c r="Z74" s="2317"/>
      <c r="AA74" s="2317"/>
      <c r="AB74" s="340"/>
      <c r="AC74" s="340"/>
    </row>
    <row r="75" spans="1:36" ht="13" customHeight="1">
      <c r="A75" s="306"/>
      <c r="C75" s="306"/>
      <c r="D75" s="306"/>
      <c r="E75" s="2317"/>
      <c r="F75" s="2317"/>
      <c r="G75" s="2317"/>
      <c r="H75" s="2317"/>
      <c r="I75" s="2317"/>
      <c r="J75" s="2317"/>
      <c r="K75" s="2317"/>
      <c r="L75" s="2317"/>
      <c r="M75" s="2317"/>
      <c r="N75" s="2317"/>
      <c r="O75" s="2317"/>
      <c r="P75" s="2317"/>
      <c r="Q75" s="2317"/>
      <c r="R75" s="2317"/>
      <c r="S75" s="2317"/>
      <c r="T75" s="2317"/>
      <c r="U75" s="2317"/>
      <c r="V75" s="2317"/>
      <c r="W75" s="2317"/>
      <c r="X75" s="2317"/>
      <c r="Y75" s="2317"/>
      <c r="Z75" s="2317"/>
      <c r="AA75" s="2317"/>
      <c r="AB75" s="340"/>
      <c r="AC75" s="340"/>
    </row>
    <row r="76" spans="1:36" ht="13" customHeight="1">
      <c r="A76" s="306"/>
      <c r="C76" s="306"/>
      <c r="D76" s="306"/>
      <c r="E76" s="326"/>
      <c r="F76" s="326"/>
      <c r="G76" s="326"/>
      <c r="H76" s="326"/>
      <c r="I76" s="326"/>
      <c r="J76" s="326"/>
      <c r="K76" s="326"/>
      <c r="L76" s="326"/>
      <c r="M76" s="326"/>
      <c r="N76" s="326"/>
      <c r="O76" s="326"/>
      <c r="P76" s="326"/>
      <c r="Q76" s="326"/>
      <c r="R76" s="326"/>
      <c r="S76" s="326"/>
      <c r="T76" s="326"/>
      <c r="U76" s="326"/>
      <c r="V76" s="326"/>
      <c r="W76" s="326"/>
      <c r="X76" s="326"/>
      <c r="Y76" s="326"/>
      <c r="Z76" s="326"/>
      <c r="AA76" s="262"/>
      <c r="AB76" s="262"/>
      <c r="AC76" s="262"/>
    </row>
    <row r="77" spans="1:36" ht="13" customHeight="1">
      <c r="C77" s="306"/>
      <c r="D77" s="136" t="s">
        <v>2113</v>
      </c>
      <c r="AB77" s="2310">
        <f>ROUND(IF(ISERROR((AB59/AB72)),0,(AB59/AB72)),0)</f>
        <v>0</v>
      </c>
      <c r="AC77" s="2310"/>
      <c r="AD77" s="2310"/>
      <c r="AE77" s="2310"/>
      <c r="AF77" s="2310"/>
    </row>
    <row r="78" spans="1:36" ht="13" customHeight="1">
      <c r="C78" s="306"/>
      <c r="D78" s="136" t="s">
        <v>2114</v>
      </c>
      <c r="AB78" s="2311">
        <f>ROUNDUP(MIN(Y69,AB77),0)</f>
        <v>0</v>
      </c>
      <c r="AC78" s="2312"/>
      <c r="AD78" s="2312"/>
      <c r="AE78" s="2312"/>
      <c r="AF78" s="2313"/>
    </row>
    <row r="79" spans="1:36" ht="13" customHeight="1">
      <c r="C79" s="306"/>
      <c r="D79" s="136" t="s">
        <v>2115</v>
      </c>
      <c r="AB79" s="2314">
        <f>AB78*AB72</f>
        <v>0</v>
      </c>
      <c r="AC79" s="2314"/>
      <c r="AD79" s="2314"/>
      <c r="AE79" s="2314"/>
      <c r="AF79" s="2314"/>
    </row>
    <row r="80" spans="1:36" ht="13" customHeight="1">
      <c r="C80" s="306"/>
      <c r="D80" s="306"/>
      <c r="AB80" s="327"/>
      <c r="AC80" s="327"/>
      <c r="AD80" s="327"/>
      <c r="AE80" s="327"/>
      <c r="AF80" s="327"/>
    </row>
    <row r="81" spans="1:78" ht="13" customHeight="1">
      <c r="D81" s="306" t="s">
        <v>2103</v>
      </c>
      <c r="AB81" s="2300">
        <f>AB49-(AB57+AB79)</f>
        <v>0</v>
      </c>
      <c r="AC81" s="2300"/>
      <c r="AD81" s="2300"/>
      <c r="AE81" s="2300"/>
      <c r="AF81" s="2300"/>
    </row>
    <row r="82" spans="1:78" ht="13" customHeight="1">
      <c r="F82" s="421"/>
      <c r="J82" s="421" t="str">
        <f>IF(AB81&gt;0,"FUNDING GAP MUST NOT EXCEED ZERO","")</f>
        <v/>
      </c>
    </row>
    <row r="83" spans="1:78" ht="13" customHeight="1">
      <c r="D83" s="422"/>
    </row>
    <row r="84" spans="1:78" ht="13" customHeight="1" thickBot="1">
      <c r="A84" s="2265"/>
      <c r="B84" s="2265"/>
      <c r="C84" s="2265"/>
      <c r="D84" s="2265"/>
      <c r="E84" s="2265"/>
      <c r="F84" s="2265"/>
      <c r="G84" s="2265"/>
      <c r="H84" s="2265"/>
      <c r="I84" s="2265"/>
      <c r="J84" s="2265"/>
      <c r="K84" s="2265"/>
      <c r="L84" s="2265"/>
      <c r="M84" s="2265"/>
      <c r="N84" s="2265"/>
      <c r="O84" s="2265"/>
      <c r="P84" s="2265"/>
      <c r="Q84" s="2265"/>
      <c r="R84" s="2265"/>
      <c r="S84" s="2265"/>
      <c r="T84" s="2265"/>
      <c r="U84" s="2265"/>
      <c r="V84" s="2265"/>
      <c r="W84" s="2265"/>
      <c r="X84" s="2265"/>
      <c r="Y84" s="2265"/>
      <c r="Z84" s="2265"/>
      <c r="AA84" s="2265"/>
      <c r="AB84" s="2265"/>
      <c r="AC84" s="2265"/>
      <c r="AD84" s="2265"/>
      <c r="AE84" s="2265"/>
      <c r="AF84" s="2265"/>
      <c r="AG84" s="2265"/>
      <c r="AH84" s="2265"/>
      <c r="AI84" s="2265"/>
      <c r="AJ84" s="2265"/>
      <c r="AK84" s="2265"/>
      <c r="AL84" s="2265"/>
      <c r="AM84" s="2265"/>
      <c r="AN84" s="2265"/>
      <c r="AO84" s="2265"/>
      <c r="AP84" s="2265"/>
      <c r="AQ84" s="2265"/>
      <c r="AR84" s="2265"/>
      <c r="AS84" s="2265"/>
      <c r="AT84" s="2265"/>
      <c r="AU84" s="2265"/>
      <c r="AV84" s="2265"/>
      <c r="AW84" s="2265"/>
      <c r="AX84" s="2265"/>
      <c r="AY84" s="2265"/>
      <c r="AZ84" s="2265"/>
      <c r="BA84" s="2265"/>
      <c r="BB84" s="2265"/>
      <c r="BC84" s="2265"/>
      <c r="BD84" s="2265"/>
      <c r="BE84" s="2265"/>
      <c r="BF84" s="2265"/>
      <c r="BG84" s="2265"/>
      <c r="BH84" s="2265"/>
      <c r="BI84" s="2265"/>
      <c r="BJ84" s="2265"/>
      <c r="BK84" s="2265"/>
      <c r="BL84" s="2265"/>
      <c r="BM84" s="2265"/>
      <c r="BN84" s="2265"/>
      <c r="BO84" s="2265"/>
      <c r="BP84" s="2265"/>
      <c r="BQ84" s="2265"/>
      <c r="BR84" s="2265"/>
      <c r="BS84" s="2265"/>
      <c r="BT84" s="2265"/>
      <c r="BU84" s="2265"/>
      <c r="BV84" s="2265"/>
      <c r="BW84" s="2265"/>
      <c r="BX84" s="2265"/>
    </row>
    <row r="85" spans="1:78" ht="13" customHeight="1" thickTop="1"/>
    <row r="86" spans="1:78" ht="13" customHeight="1">
      <c r="A86" s="306"/>
      <c r="C86" s="136"/>
    </row>
    <row r="87" spans="1:78" ht="13" customHeight="1">
      <c r="D87" s="136"/>
      <c r="AB87" s="2266"/>
      <c r="AC87" s="2266"/>
      <c r="AD87" s="2266"/>
      <c r="AE87" s="2266"/>
      <c r="AF87" s="2266"/>
    </row>
    <row r="88" spans="1:78" ht="13" customHeight="1" thickBot="1">
      <c r="D88" s="136"/>
      <c r="AB88" s="2264"/>
      <c r="AC88" s="2264"/>
      <c r="AD88" s="2264"/>
      <c r="AE88" s="2264"/>
      <c r="AF88" s="2264"/>
      <c r="AO88" s="420"/>
      <c r="AP88" s="420"/>
      <c r="AQ88" s="420"/>
      <c r="AR88" s="420"/>
      <c r="AS88" s="420"/>
      <c r="AT88" s="420"/>
      <c r="AU88" s="420"/>
      <c r="AV88" s="420"/>
      <c r="AW88" s="420"/>
      <c r="AX88" s="420"/>
      <c r="AY88" s="420"/>
      <c r="AZ88" s="420"/>
      <c r="BA88" s="420"/>
      <c r="BB88" s="420"/>
      <c r="BC88" s="420"/>
      <c r="BD88" s="420"/>
      <c r="BE88" s="420"/>
      <c r="BF88" s="420"/>
      <c r="BG88" s="420"/>
      <c r="BH88" s="420"/>
      <c r="BI88" s="420"/>
      <c r="BJ88" s="420"/>
      <c r="BK88" s="420"/>
      <c r="BL88" s="420"/>
      <c r="BM88" s="420"/>
      <c r="BN88" s="420"/>
      <c r="BO88" s="420"/>
      <c r="BP88" s="420"/>
      <c r="BQ88" s="420"/>
      <c r="BR88" s="420"/>
      <c r="BS88" s="420"/>
      <c r="BT88" s="420"/>
      <c r="BU88" s="420"/>
      <c r="BV88" s="420"/>
      <c r="BW88" s="420"/>
      <c r="BX88" s="420"/>
      <c r="BY88" s="420"/>
      <c r="BZ88" s="420"/>
    </row>
    <row r="89" spans="1:78" ht="13"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801" workbookViewId="0">
      <selection activeCell="I227" sqref="I227:K227"/>
    </sheetView>
  </sheetViews>
  <sheetFormatPr defaultColWidth="0" defaultRowHeight="12.5" zeroHeight="1"/>
  <cols>
    <col min="1" max="1" width="2.6328125" style="13" customWidth="1"/>
    <col min="2" max="3" width="2.453125" style="13" customWidth="1"/>
    <col min="4" max="4" width="3.1796875" style="13" customWidth="1"/>
    <col min="5" max="5" width="3.453125" style="13" customWidth="1"/>
    <col min="6" max="6" width="2.81640625" style="13" customWidth="1"/>
    <col min="7" max="14" width="2.453125" style="13" customWidth="1"/>
    <col min="15" max="15" width="2.81640625" style="13" customWidth="1"/>
    <col min="16" max="16" width="2.453125" style="13" customWidth="1"/>
    <col min="17" max="17" width="3.81640625" style="13" customWidth="1"/>
    <col min="18" max="18" width="4.453125" style="13" customWidth="1"/>
    <col min="19" max="19" width="3.36328125" style="13" customWidth="1"/>
    <col min="20" max="32" width="2.453125" style="13" customWidth="1"/>
    <col min="33" max="33" width="3.453125" style="13" customWidth="1"/>
    <col min="34" max="36" width="2.453125" style="13" customWidth="1"/>
    <col min="37" max="37" width="5.453125" style="13" customWidth="1"/>
    <col min="38" max="38" width="2.453125" style="13" customWidth="1"/>
    <col min="39" max="39" width="3.453125" style="13" customWidth="1"/>
    <col min="40" max="40" width="5.453125" style="433" customWidth="1"/>
    <col min="41" max="41" width="5.453125" style="25" hidden="1" customWidth="1"/>
    <col min="42" max="45" width="5.453125" style="13" hidden="1" customWidth="1"/>
    <col min="46" max="46" width="10.81640625" style="13" hidden="1" customWidth="1"/>
    <col min="47" max="48" width="5.453125" style="13" hidden="1" customWidth="1"/>
    <col min="49" max="49" width="8.6328125" style="13" hidden="1" customWidth="1"/>
    <col min="50" max="50" width="7.453125" style="13" hidden="1" customWidth="1"/>
    <col min="51" max="55" width="5.453125" style="13" hidden="1" customWidth="1"/>
    <col min="56" max="60" width="5.453125" style="27" hidden="1" customWidth="1"/>
    <col min="61" max="81" width="5.453125" style="13" hidden="1" customWidth="1"/>
    <col min="82" max="16384" width="9.1796875" style="13" hidden="1"/>
  </cols>
  <sheetData>
    <row r="1" spans="1:42" ht="15.75" customHeight="1">
      <c r="A1" s="2548" t="s">
        <v>2116</v>
      </c>
      <c r="B1" s="2548"/>
      <c r="C1" s="2548"/>
      <c r="D1" s="2548"/>
      <c r="E1" s="2548"/>
      <c r="F1" s="2548"/>
      <c r="G1" s="2548"/>
      <c r="H1" s="2548"/>
      <c r="I1" s="2548"/>
      <c r="J1" s="2548"/>
      <c r="K1" s="2548"/>
      <c r="L1" s="2548"/>
      <c r="M1" s="2548"/>
      <c r="N1" s="2548"/>
      <c r="O1" s="2548"/>
      <c r="P1" s="2548"/>
      <c r="Q1" s="2548"/>
      <c r="R1" s="2548"/>
      <c r="S1" s="2548"/>
      <c r="T1" s="2548"/>
      <c r="U1" s="2548"/>
      <c r="V1" s="2548"/>
      <c r="W1" s="2548"/>
      <c r="X1" s="2548"/>
      <c r="Y1" s="2548"/>
      <c r="Z1" s="2548"/>
      <c r="AA1" s="2548"/>
      <c r="AB1" s="2548"/>
      <c r="AC1" s="2548"/>
      <c r="AD1" s="2548"/>
      <c r="AE1" s="2548"/>
      <c r="AF1" s="2548"/>
      <c r="AG1" s="2548"/>
      <c r="AH1" s="2548"/>
      <c r="AI1" s="2548"/>
      <c r="AJ1" s="2548"/>
      <c r="AK1" s="2548"/>
      <c r="AL1" s="2548"/>
      <c r="AM1" s="2548"/>
    </row>
    <row r="2" spans="1:42" s="435" customFormat="1" ht="12.75" customHeight="1" thickBot="1">
      <c r="A2" s="2549"/>
      <c r="B2" s="2549"/>
      <c r="C2" s="2549"/>
      <c r="D2" s="2549"/>
      <c r="E2" s="2549"/>
      <c r="F2" s="2549"/>
      <c r="G2" s="2549"/>
      <c r="H2" s="2549"/>
      <c r="I2" s="2549"/>
      <c r="J2" s="2549"/>
      <c r="K2" s="2549"/>
      <c r="L2" s="2549"/>
      <c r="M2" s="2549"/>
      <c r="N2" s="2549"/>
      <c r="O2" s="2549"/>
      <c r="P2" s="2549"/>
      <c r="Q2" s="2549"/>
      <c r="R2" s="2549"/>
      <c r="S2" s="2549"/>
      <c r="T2" s="2549"/>
      <c r="U2" s="2549"/>
      <c r="V2" s="2549"/>
      <c r="W2" s="2549"/>
      <c r="X2" s="2549"/>
      <c r="Y2" s="2549"/>
      <c r="Z2" s="2549"/>
      <c r="AA2" s="2549"/>
      <c r="AB2" s="2549"/>
      <c r="AC2" s="2549"/>
      <c r="AD2" s="2549"/>
      <c r="AE2" s="2549"/>
      <c r="AF2" s="2549"/>
      <c r="AG2" s="2549"/>
      <c r="AH2" s="2549"/>
      <c r="AI2" s="2549"/>
      <c r="AJ2" s="2549"/>
      <c r="AK2" s="2549"/>
      <c r="AL2" s="2549"/>
      <c r="AM2" s="2549"/>
      <c r="AN2" s="434"/>
    </row>
    <row r="3" spans="1:42" s="435" customFormat="1" ht="12.75" customHeight="1" thickTop="1">
      <c r="A3" s="436"/>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434"/>
    </row>
    <row r="4" spans="1:42" s="435" customFormat="1" ht="12.75" customHeight="1">
      <c r="A4" s="437" t="s">
        <v>2117</v>
      </c>
      <c r="B4" s="438" t="s">
        <v>2118</v>
      </c>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34"/>
    </row>
    <row r="5" spans="1:42" s="435" customFormat="1" ht="12.75" customHeight="1" thickBot="1">
      <c r="A5" s="437"/>
      <c r="B5" s="438"/>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c r="AM5" s="439"/>
      <c r="AN5" s="434"/>
    </row>
    <row r="6" spans="1:42" s="435" customFormat="1" ht="12.75" customHeight="1" thickTop="1">
      <c r="A6" s="440"/>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1"/>
      <c r="AN6" s="434"/>
    </row>
    <row r="7" spans="1:42" s="435" customFormat="1" ht="12.75" customHeight="1">
      <c r="A7" s="437" t="s">
        <v>2119</v>
      </c>
      <c r="B7" s="438" t="s">
        <v>2120</v>
      </c>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2389" t="s">
        <v>2121</v>
      </c>
      <c r="AF7" s="2389"/>
      <c r="AG7" s="2389"/>
      <c r="AH7" s="2389"/>
      <c r="AI7" s="2389"/>
      <c r="AJ7" s="2389"/>
      <c r="AK7" s="2389"/>
      <c r="AL7" s="439"/>
      <c r="AM7" s="439"/>
      <c r="AN7" s="434"/>
    </row>
    <row r="8" spans="1:42" s="435" customFormat="1" ht="12.75" customHeight="1">
      <c r="A8" s="437"/>
      <c r="B8" s="438" t="s">
        <v>2122</v>
      </c>
      <c r="C8" s="438"/>
      <c r="D8" s="438"/>
      <c r="E8" s="438"/>
      <c r="F8" s="438"/>
      <c r="G8" s="438"/>
      <c r="H8" s="438"/>
      <c r="I8" s="438"/>
      <c r="J8" s="438"/>
      <c r="K8" s="438"/>
      <c r="L8" s="438"/>
      <c r="M8" s="438"/>
      <c r="N8" s="438"/>
      <c r="O8" s="438"/>
      <c r="P8" s="438"/>
      <c r="Q8" s="438"/>
      <c r="R8" s="438"/>
      <c r="S8" s="438"/>
      <c r="T8" s="438"/>
      <c r="U8" s="438"/>
      <c r="V8" s="438"/>
      <c r="W8" s="438"/>
      <c r="X8" s="438"/>
      <c r="Y8" s="438"/>
      <c r="Z8" s="438"/>
      <c r="AA8" s="438"/>
      <c r="AB8" s="438"/>
      <c r="AC8" s="438"/>
      <c r="AD8" s="438"/>
      <c r="AE8" s="442"/>
      <c r="AF8" s="442"/>
      <c r="AG8" s="442"/>
      <c r="AH8" s="442"/>
      <c r="AI8" s="442"/>
      <c r="AJ8" s="442"/>
      <c r="AK8" s="442"/>
      <c r="AL8" s="439"/>
      <c r="AM8" s="439"/>
      <c r="AN8" s="434"/>
    </row>
    <row r="9" spans="1:42" s="435" customFormat="1" ht="12.75" customHeight="1">
      <c r="A9" s="437"/>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42"/>
      <c r="AF9" s="442"/>
      <c r="AG9" s="442"/>
      <c r="AH9" s="442"/>
      <c r="AI9" s="442"/>
      <c r="AJ9" s="442"/>
      <c r="AK9" s="442"/>
      <c r="AL9" s="439"/>
      <c r="AM9" s="439"/>
      <c r="AN9" s="434"/>
    </row>
    <row r="10" spans="1:42" s="435" customFormat="1" ht="12.75" customHeight="1">
      <c r="A10" s="437"/>
      <c r="B10" s="438" t="s">
        <v>2123</v>
      </c>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42"/>
      <c r="AF10" s="442"/>
      <c r="AG10" s="442"/>
      <c r="AH10" s="442"/>
      <c r="AI10" s="442"/>
      <c r="AJ10" s="442"/>
      <c r="AK10" s="442"/>
      <c r="AL10" s="439"/>
      <c r="AM10" s="439"/>
      <c r="AN10" s="434"/>
    </row>
    <row r="11" spans="1:42" s="435" customFormat="1" ht="12.75" customHeight="1">
      <c r="A11" s="439"/>
      <c r="C11" s="1029" t="s">
        <v>2124</v>
      </c>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1029"/>
      <c r="Z11" s="1029"/>
      <c r="AA11" s="1029"/>
      <c r="AB11" s="1029"/>
      <c r="AC11" s="1029"/>
      <c r="AD11" s="1029"/>
      <c r="AE11" s="1029"/>
      <c r="AF11" s="1029"/>
      <c r="AG11" s="1029"/>
      <c r="AH11" s="1029"/>
      <c r="AI11" s="1029"/>
      <c r="AJ11" s="1029"/>
      <c r="AK11" s="439"/>
      <c r="AL11" s="439"/>
      <c r="AM11" s="439"/>
      <c r="AN11" s="434"/>
      <c r="AO11" s="348"/>
      <c r="AP11" s="444"/>
    </row>
    <row r="12" spans="1:42" s="435" customFormat="1" ht="12.75" customHeight="1">
      <c r="A12" s="439"/>
      <c r="B12" s="445"/>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39"/>
      <c r="AN12" s="434"/>
      <c r="AP12" s="13"/>
    </row>
    <row r="13" spans="1:42" s="435" customFormat="1" ht="12.75" customHeight="1">
      <c r="A13" s="439"/>
      <c r="B13" s="2542" t="s">
        <v>807</v>
      </c>
      <c r="C13" s="2542"/>
      <c r="D13" s="446"/>
      <c r="E13" s="447" t="s">
        <v>2125</v>
      </c>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2550"/>
      <c r="AH13" s="2550"/>
      <c r="AI13" s="2550"/>
      <c r="AJ13" s="2551"/>
      <c r="AK13" s="439"/>
      <c r="AL13" s="439"/>
      <c r="AM13" s="439"/>
      <c r="AN13" s="434"/>
      <c r="AO13" s="449">
        <f>IF($B13="yes",20,0)</f>
        <v>0</v>
      </c>
      <c r="AP13" s="13"/>
    </row>
    <row r="14" spans="1:42" s="435" customFormat="1" ht="12.75" customHeight="1">
      <c r="A14" s="439"/>
      <c r="B14" s="439"/>
      <c r="C14" s="439"/>
      <c r="D14" s="13"/>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4"/>
      <c r="AO14" s="449">
        <f>IF(AND($B16="yes",E20&gt;0),20,0)</f>
        <v>0</v>
      </c>
      <c r="AP14" s="13"/>
    </row>
    <row r="15" spans="1:42" s="435" customFormat="1" ht="12.75" customHeight="1">
      <c r="A15" s="439"/>
      <c r="B15" s="439"/>
      <c r="C15" s="439"/>
      <c r="D15" s="449"/>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4"/>
      <c r="AO15" s="449">
        <f>IF($B22="yes",20,0)</f>
        <v>0</v>
      </c>
      <c r="AP15" s="13"/>
    </row>
    <row r="16" spans="1:42" s="435" customFormat="1" ht="12.75" customHeight="1">
      <c r="A16" s="439"/>
      <c r="B16" s="2542" t="s">
        <v>807</v>
      </c>
      <c r="C16" s="2542"/>
      <c r="D16" s="446"/>
      <c r="E16" s="2534" t="s">
        <v>2126</v>
      </c>
      <c r="F16" s="2535"/>
      <c r="G16" s="2535"/>
      <c r="H16" s="2535"/>
      <c r="I16" s="2535"/>
      <c r="J16" s="2535"/>
      <c r="K16" s="2535"/>
      <c r="L16" s="2535"/>
      <c r="M16" s="2535"/>
      <c r="N16" s="2535"/>
      <c r="O16" s="2535"/>
      <c r="P16" s="2535"/>
      <c r="Q16" s="2535"/>
      <c r="R16" s="2535"/>
      <c r="S16" s="2535"/>
      <c r="T16" s="2535"/>
      <c r="U16" s="2535"/>
      <c r="V16" s="2535"/>
      <c r="W16" s="2535"/>
      <c r="X16" s="2535"/>
      <c r="Y16" s="2535"/>
      <c r="Z16" s="2535"/>
      <c r="AA16" s="2535"/>
      <c r="AB16" s="2535"/>
      <c r="AC16" s="2535"/>
      <c r="AD16" s="2535"/>
      <c r="AE16" s="2535"/>
      <c r="AF16" s="2535"/>
      <c r="AG16" s="2535"/>
      <c r="AH16" s="2535"/>
      <c r="AI16" s="2535"/>
      <c r="AJ16" s="2536"/>
      <c r="AK16" s="439"/>
      <c r="AL16" s="439"/>
      <c r="AM16" s="439"/>
      <c r="AN16" s="434"/>
      <c r="AO16" s="449">
        <f>IF($B25="yes",20,0)</f>
        <v>0</v>
      </c>
      <c r="AP16" s="13"/>
    </row>
    <row r="17" spans="1:42" s="435" customFormat="1" ht="12.75" customHeight="1">
      <c r="A17" s="439"/>
      <c r="B17" s="439"/>
      <c r="C17" s="439"/>
      <c r="D17" s="450"/>
      <c r="E17" s="2537"/>
      <c r="F17" s="2538"/>
      <c r="G17" s="2538"/>
      <c r="H17" s="2538"/>
      <c r="I17" s="2538"/>
      <c r="J17" s="2538"/>
      <c r="K17" s="2538"/>
      <c r="L17" s="2538"/>
      <c r="M17" s="2538"/>
      <c r="N17" s="2538"/>
      <c r="O17" s="2538"/>
      <c r="P17" s="2538"/>
      <c r="Q17" s="2538"/>
      <c r="R17" s="2538"/>
      <c r="S17" s="2538"/>
      <c r="T17" s="2538"/>
      <c r="U17" s="2538"/>
      <c r="V17" s="2538"/>
      <c r="W17" s="2538"/>
      <c r="X17" s="2538"/>
      <c r="Y17" s="2538"/>
      <c r="Z17" s="2538"/>
      <c r="AA17" s="2538"/>
      <c r="AB17" s="2538"/>
      <c r="AC17" s="2538"/>
      <c r="AD17" s="2538"/>
      <c r="AE17" s="2538"/>
      <c r="AF17" s="2538"/>
      <c r="AG17" s="2538"/>
      <c r="AH17" s="2538"/>
      <c r="AI17" s="2538"/>
      <c r="AJ17" s="2539"/>
      <c r="AK17" s="439"/>
      <c r="AL17" s="439"/>
      <c r="AM17" s="439"/>
      <c r="AN17" s="434"/>
      <c r="AO17" s="449">
        <f>IF($B28="yes",20,0)</f>
        <v>0</v>
      </c>
    </row>
    <row r="18" spans="1:42" s="435" customFormat="1" ht="12.75" customHeight="1">
      <c r="A18" s="439"/>
      <c r="B18" s="439"/>
      <c r="C18" s="439"/>
      <c r="D18" s="450"/>
      <c r="E18" s="2537"/>
      <c r="F18" s="2538"/>
      <c r="G18" s="2538"/>
      <c r="H18" s="2538"/>
      <c r="I18" s="2538"/>
      <c r="J18" s="2538"/>
      <c r="K18" s="2538"/>
      <c r="L18" s="2538"/>
      <c r="M18" s="2538"/>
      <c r="N18" s="2538"/>
      <c r="O18" s="2538"/>
      <c r="P18" s="2538"/>
      <c r="Q18" s="2538"/>
      <c r="R18" s="2538"/>
      <c r="S18" s="2538"/>
      <c r="T18" s="2538"/>
      <c r="U18" s="2538"/>
      <c r="V18" s="2538"/>
      <c r="W18" s="2538"/>
      <c r="X18" s="2538"/>
      <c r="Y18" s="2538"/>
      <c r="Z18" s="2538"/>
      <c r="AA18" s="2538"/>
      <c r="AB18" s="2538"/>
      <c r="AC18" s="2538"/>
      <c r="AD18" s="2538"/>
      <c r="AE18" s="2538"/>
      <c r="AF18" s="2538"/>
      <c r="AG18" s="2538"/>
      <c r="AH18" s="2538"/>
      <c r="AI18" s="2538"/>
      <c r="AJ18" s="2539"/>
      <c r="AK18" s="439"/>
      <c r="AL18" s="439"/>
      <c r="AM18" s="439"/>
      <c r="AN18" s="434"/>
      <c r="AO18" s="435">
        <f>IF(SUM(AO13:AO17)&gt;20,20,(SUM(AO13:AO17)))</f>
        <v>0</v>
      </c>
      <c r="AP18" s="435" t="s">
        <v>2127</v>
      </c>
    </row>
    <row r="19" spans="1:42" s="435" customFormat="1" ht="12.75" customHeight="1">
      <c r="A19" s="439"/>
      <c r="B19" s="439"/>
      <c r="C19" s="439"/>
      <c r="D19" s="450"/>
      <c r="E19" s="451" t="s">
        <v>2128</v>
      </c>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3"/>
      <c r="AK19" s="439"/>
      <c r="AL19" s="439"/>
      <c r="AM19" s="439"/>
      <c r="AN19" s="434"/>
    </row>
    <row r="20" spans="1:42" s="435" customFormat="1" ht="12.75" customHeight="1">
      <c r="A20" s="439"/>
      <c r="B20" s="439"/>
      <c r="C20" s="439"/>
      <c r="D20" s="450"/>
      <c r="E20" s="2558"/>
      <c r="F20" s="2559"/>
      <c r="G20" s="2559"/>
      <c r="H20" s="2559"/>
      <c r="I20" s="2559"/>
      <c r="J20" s="2559"/>
      <c r="K20" s="2559"/>
      <c r="L20" s="2559"/>
      <c r="M20" s="2559"/>
      <c r="N20" s="2559"/>
      <c r="O20" s="2559"/>
      <c r="P20" s="2559"/>
      <c r="Q20" s="2559"/>
      <c r="R20" s="2559"/>
      <c r="S20" s="2559"/>
      <c r="T20" s="2559"/>
      <c r="U20" s="2559"/>
      <c r="V20" s="2559"/>
      <c r="W20" s="2559"/>
      <c r="X20" s="2559"/>
      <c r="Y20" s="2559"/>
      <c r="Z20" s="2559"/>
      <c r="AA20" s="2559"/>
      <c r="AB20" s="2559"/>
      <c r="AC20" s="2559"/>
      <c r="AD20" s="2559"/>
      <c r="AE20" s="2559"/>
      <c r="AF20" s="2559"/>
      <c r="AG20" s="2559"/>
      <c r="AH20" s="2559"/>
      <c r="AI20" s="2559"/>
      <c r="AJ20" s="2560"/>
      <c r="AK20" s="439"/>
      <c r="AL20" s="439"/>
      <c r="AM20" s="439"/>
      <c r="AN20" s="434"/>
      <c r="AO20" s="449">
        <f>IF($B33="yes",14,0)</f>
        <v>0</v>
      </c>
    </row>
    <row r="21" spans="1:42" s="435" customFormat="1" ht="12.75" customHeight="1">
      <c r="A21" s="439"/>
      <c r="B21" s="439"/>
      <c r="C21" s="439"/>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439"/>
      <c r="AM21" s="439"/>
      <c r="AN21" s="434"/>
      <c r="AO21" s="449">
        <f>IF($B36="yes",14,0)</f>
        <v>0</v>
      </c>
      <c r="AP21" s="13"/>
    </row>
    <row r="22" spans="1:42" s="435" customFormat="1" ht="12.75" customHeight="1">
      <c r="A22" s="439"/>
      <c r="B22" s="2542" t="s">
        <v>807</v>
      </c>
      <c r="C22" s="2542"/>
      <c r="D22" s="446"/>
      <c r="E22" s="2552" t="s">
        <v>2129</v>
      </c>
      <c r="F22" s="2553"/>
      <c r="G22" s="2553"/>
      <c r="H22" s="2553"/>
      <c r="I22" s="2553"/>
      <c r="J22" s="2553"/>
      <c r="K22" s="2553"/>
      <c r="L22" s="2553"/>
      <c r="M22" s="2553"/>
      <c r="N22" s="2553"/>
      <c r="O22" s="2553"/>
      <c r="P22" s="2553"/>
      <c r="Q22" s="2553"/>
      <c r="R22" s="2553"/>
      <c r="S22" s="2553"/>
      <c r="T22" s="2553"/>
      <c r="U22" s="2553"/>
      <c r="V22" s="2553"/>
      <c r="W22" s="2553"/>
      <c r="X22" s="2553"/>
      <c r="Y22" s="2553"/>
      <c r="Z22" s="2553"/>
      <c r="AA22" s="2553"/>
      <c r="AB22" s="2553"/>
      <c r="AC22" s="2553"/>
      <c r="AD22" s="2553"/>
      <c r="AE22" s="2553"/>
      <c r="AF22" s="2553"/>
      <c r="AG22" s="2553"/>
      <c r="AH22" s="2553"/>
      <c r="AI22" s="2553"/>
      <c r="AJ22" s="2554"/>
      <c r="AK22" s="439"/>
      <c r="AL22" s="439"/>
      <c r="AM22" s="439"/>
      <c r="AN22" s="434"/>
      <c r="AO22" s="449">
        <f>IF($B40="yes",14,0)</f>
        <v>0</v>
      </c>
    </row>
    <row r="23" spans="1:42" s="435" customFormat="1" ht="12.75" customHeight="1">
      <c r="A23" s="439"/>
      <c r="B23" s="439"/>
      <c r="C23" s="439"/>
      <c r="D23" s="449"/>
      <c r="E23" s="2555"/>
      <c r="F23" s="2556"/>
      <c r="G23" s="2556"/>
      <c r="H23" s="2556"/>
      <c r="I23" s="2556"/>
      <c r="J23" s="2556"/>
      <c r="K23" s="2556"/>
      <c r="L23" s="2556"/>
      <c r="M23" s="2556"/>
      <c r="N23" s="2556"/>
      <c r="O23" s="2556"/>
      <c r="P23" s="2556"/>
      <c r="Q23" s="2556"/>
      <c r="R23" s="2556"/>
      <c r="S23" s="2556"/>
      <c r="T23" s="2556"/>
      <c r="U23" s="2556"/>
      <c r="V23" s="2556"/>
      <c r="W23" s="2556"/>
      <c r="X23" s="2556"/>
      <c r="Y23" s="2556"/>
      <c r="Z23" s="2556"/>
      <c r="AA23" s="2556"/>
      <c r="AB23" s="2556"/>
      <c r="AC23" s="2556"/>
      <c r="AD23" s="2556"/>
      <c r="AE23" s="2556"/>
      <c r="AF23" s="2556"/>
      <c r="AG23" s="2556"/>
      <c r="AH23" s="2556"/>
      <c r="AI23" s="2556"/>
      <c r="AJ23" s="2557"/>
      <c r="AK23" s="439"/>
      <c r="AL23" s="439"/>
      <c r="AM23" s="439"/>
      <c r="AN23" s="434"/>
      <c r="AO23" s="435">
        <f>IF(SUM(AO20:AO21)&gt;14,14,SUM(AO20:AO21))</f>
        <v>0</v>
      </c>
      <c r="AP23" s="435" t="s">
        <v>2127</v>
      </c>
    </row>
    <row r="24" spans="1:42" s="435" customFormat="1" ht="12.75" customHeight="1">
      <c r="A24" s="439"/>
      <c r="B24" s="439"/>
      <c r="C24" s="439"/>
      <c r="D24" s="450"/>
      <c r="E24" s="439"/>
      <c r="F24" s="439"/>
      <c r="G24" s="439"/>
      <c r="H24" s="439"/>
      <c r="I24" s="439"/>
      <c r="J24" s="439"/>
      <c r="K24" s="439"/>
      <c r="L24" s="439"/>
      <c r="M24" s="439"/>
      <c r="N24" s="439"/>
      <c r="O24" s="439"/>
      <c r="P24" s="439"/>
      <c r="Q24" s="439"/>
      <c r="R24" s="439"/>
      <c r="S24" s="439"/>
      <c r="T24" s="439"/>
      <c r="U24" s="439"/>
      <c r="V24" s="439"/>
      <c r="W24" s="439"/>
      <c r="X24" s="439"/>
      <c r="Y24" s="439"/>
      <c r="Z24" s="439"/>
      <c r="AA24" s="439"/>
      <c r="AB24" s="439"/>
      <c r="AC24" s="439"/>
      <c r="AD24" s="439"/>
      <c r="AE24" s="439"/>
      <c r="AF24" s="439"/>
      <c r="AG24" s="439"/>
      <c r="AH24" s="439"/>
      <c r="AI24" s="439"/>
      <c r="AJ24" s="439"/>
      <c r="AK24" s="439"/>
      <c r="AL24" s="439"/>
      <c r="AM24" s="439"/>
      <c r="AN24" s="434"/>
    </row>
    <row r="25" spans="1:42" s="435" customFormat="1" ht="12.75" customHeight="1">
      <c r="A25" s="439"/>
      <c r="B25" s="2542" t="s">
        <v>807</v>
      </c>
      <c r="C25" s="2542"/>
      <c r="D25" s="446"/>
      <c r="E25" s="2469" t="s">
        <v>2130</v>
      </c>
      <c r="F25" s="2470"/>
      <c r="G25" s="2470"/>
      <c r="H25" s="2470"/>
      <c r="I25" s="2470"/>
      <c r="J25" s="2470"/>
      <c r="K25" s="2470"/>
      <c r="L25" s="2470"/>
      <c r="M25" s="2470"/>
      <c r="N25" s="2470"/>
      <c r="O25" s="2470"/>
      <c r="P25" s="2470"/>
      <c r="Q25" s="2470"/>
      <c r="R25" s="2470"/>
      <c r="S25" s="2470"/>
      <c r="T25" s="2470"/>
      <c r="U25" s="2470"/>
      <c r="V25" s="2470"/>
      <c r="W25" s="2470"/>
      <c r="X25" s="2470"/>
      <c r="Y25" s="2470"/>
      <c r="Z25" s="2470"/>
      <c r="AA25" s="2470"/>
      <c r="AB25" s="2470"/>
      <c r="AC25" s="2470"/>
      <c r="AD25" s="2470"/>
      <c r="AE25" s="2470"/>
      <c r="AF25" s="2470"/>
      <c r="AG25" s="2470"/>
      <c r="AH25" s="2470"/>
      <c r="AI25" s="2470"/>
      <c r="AJ25" s="2471"/>
      <c r="AK25" s="439"/>
      <c r="AL25" s="439"/>
      <c r="AM25" s="439"/>
      <c r="AN25" s="434"/>
      <c r="AO25" s="449">
        <f>IF($B45="yes",6,0)</f>
        <v>0</v>
      </c>
    </row>
    <row r="26" spans="1:42" s="435" customFormat="1" ht="12.75" customHeight="1">
      <c r="A26" s="439"/>
      <c r="B26" s="439"/>
      <c r="C26" s="439"/>
      <c r="D26" s="449"/>
      <c r="E26" s="2494"/>
      <c r="F26" s="2495"/>
      <c r="G26" s="2495"/>
      <c r="H26" s="2495"/>
      <c r="I26" s="2495"/>
      <c r="J26" s="2495"/>
      <c r="K26" s="2495"/>
      <c r="L26" s="2495"/>
      <c r="M26" s="2495"/>
      <c r="N26" s="2495"/>
      <c r="O26" s="2495"/>
      <c r="P26" s="2495"/>
      <c r="Q26" s="2495"/>
      <c r="R26" s="2495"/>
      <c r="S26" s="2495"/>
      <c r="T26" s="2495"/>
      <c r="U26" s="2495"/>
      <c r="V26" s="2495"/>
      <c r="W26" s="2495"/>
      <c r="X26" s="2495"/>
      <c r="Y26" s="2495"/>
      <c r="Z26" s="2495"/>
      <c r="AA26" s="2495"/>
      <c r="AB26" s="2495"/>
      <c r="AC26" s="2495"/>
      <c r="AD26" s="2495"/>
      <c r="AE26" s="2495"/>
      <c r="AF26" s="2495"/>
      <c r="AG26" s="2495"/>
      <c r="AH26" s="2495"/>
      <c r="AI26" s="2495"/>
      <c r="AJ26" s="2496"/>
      <c r="AK26" s="439"/>
      <c r="AL26" s="439"/>
      <c r="AM26" s="439"/>
      <c r="AN26" s="434"/>
      <c r="AO26" s="435">
        <f>IF(AO25&gt;6,6,AO25)</f>
        <v>0</v>
      </c>
      <c r="AP26" s="435" t="s">
        <v>2127</v>
      </c>
    </row>
    <row r="27" spans="1:42" s="435" customFormat="1" ht="12.75" customHeight="1">
      <c r="A27" s="439"/>
      <c r="B27" s="439"/>
      <c r="C27" s="439"/>
      <c r="D27" s="449"/>
      <c r="E27" s="439"/>
      <c r="F27" s="439"/>
      <c r="G27" s="439"/>
      <c r="H27" s="439"/>
      <c r="I27" s="439"/>
      <c r="J27" s="439"/>
      <c r="K27" s="439"/>
      <c r="L27" s="439"/>
      <c r="M27" s="439"/>
      <c r="N27" s="439"/>
      <c r="O27" s="439"/>
      <c r="P27" s="439"/>
      <c r="Q27" s="439"/>
      <c r="R27" s="439"/>
      <c r="S27" s="439"/>
      <c r="T27" s="439"/>
      <c r="U27" s="439"/>
      <c r="V27" s="439"/>
      <c r="W27" s="439"/>
      <c r="X27" s="439"/>
      <c r="Y27" s="439"/>
      <c r="Z27" s="439"/>
      <c r="AA27" s="439"/>
      <c r="AB27" s="439"/>
      <c r="AC27" s="439"/>
      <c r="AD27" s="439"/>
      <c r="AE27" s="439"/>
      <c r="AF27" s="439"/>
      <c r="AG27" s="439"/>
      <c r="AH27" s="439"/>
      <c r="AI27" s="439"/>
      <c r="AJ27" s="439"/>
      <c r="AK27" s="439"/>
      <c r="AL27" s="439"/>
      <c r="AM27" s="439"/>
      <c r="AN27" s="434"/>
      <c r="AO27" s="449"/>
    </row>
    <row r="28" spans="1:42" s="435" customFormat="1" ht="12.75" customHeight="1">
      <c r="A28" s="439"/>
      <c r="B28" s="2542" t="s">
        <v>807</v>
      </c>
      <c r="C28" s="2542"/>
      <c r="D28" s="446"/>
      <c r="E28" s="2571" t="s">
        <v>2131</v>
      </c>
      <c r="F28" s="2572"/>
      <c r="G28" s="2572"/>
      <c r="H28" s="2572"/>
      <c r="I28" s="2572"/>
      <c r="J28" s="2572"/>
      <c r="K28" s="2572"/>
      <c r="L28" s="2572"/>
      <c r="M28" s="2572"/>
      <c r="N28" s="2572"/>
      <c r="O28" s="2572"/>
      <c r="P28" s="2572"/>
      <c r="Q28" s="2572"/>
      <c r="R28" s="2572"/>
      <c r="S28" s="2572"/>
      <c r="T28" s="2572"/>
      <c r="U28" s="2572"/>
      <c r="V28" s="2572"/>
      <c r="W28" s="2572"/>
      <c r="X28" s="2572"/>
      <c r="Y28" s="2572"/>
      <c r="Z28" s="2572"/>
      <c r="AA28" s="2572"/>
      <c r="AB28" s="2572"/>
      <c r="AC28" s="2572"/>
      <c r="AD28" s="2572"/>
      <c r="AE28" s="2572"/>
      <c r="AF28" s="2572"/>
      <c r="AG28" s="2572"/>
      <c r="AH28" s="2572"/>
      <c r="AI28" s="2572"/>
      <c r="AJ28" s="2573"/>
      <c r="AK28" s="439"/>
      <c r="AL28" s="439"/>
      <c r="AM28" s="439"/>
      <c r="AN28" s="434"/>
      <c r="AO28" s="449"/>
    </row>
    <row r="29" spans="1:42" s="435" customFormat="1" ht="12.75" customHeight="1">
      <c r="A29" s="439"/>
      <c r="B29" s="439"/>
      <c r="C29" s="439"/>
      <c r="D29" s="449"/>
      <c r="E29" s="439"/>
      <c r="F29" s="439"/>
      <c r="G29" s="439"/>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39"/>
      <c r="AJ29" s="439"/>
      <c r="AK29" s="439"/>
      <c r="AL29" s="439"/>
      <c r="AM29" s="439"/>
      <c r="AN29" s="434"/>
      <c r="AO29" s="449"/>
    </row>
    <row r="30" spans="1:42" s="435" customFormat="1" ht="12.75" customHeight="1">
      <c r="A30" s="439"/>
      <c r="B30" s="439"/>
      <c r="C30" s="439"/>
      <c r="D30" s="449"/>
      <c r="E30" s="439"/>
      <c r="F30" s="439"/>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39"/>
      <c r="AL30" s="439"/>
      <c r="AM30" s="439"/>
      <c r="AN30" s="434"/>
      <c r="AO30" s="449"/>
    </row>
    <row r="31" spans="1:42" s="435" customFormat="1" ht="12.75" customHeight="1">
      <c r="A31" s="439"/>
      <c r="C31" s="443" t="s">
        <v>2132</v>
      </c>
      <c r="E31" s="439"/>
      <c r="F31" s="439"/>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39"/>
      <c r="AL31" s="439"/>
      <c r="AM31" s="439"/>
      <c r="AN31" s="434"/>
      <c r="AO31" s="449">
        <f>IF(AND(B52="Yes",B56="Yes",B58="Yes"),20,0)</f>
        <v>20</v>
      </c>
    </row>
    <row r="32" spans="1:42" s="435" customFormat="1" ht="12.75" customHeight="1">
      <c r="A32" s="439"/>
      <c r="B32" s="439"/>
      <c r="C32" s="439"/>
      <c r="E32" s="439"/>
      <c r="F32" s="439"/>
      <c r="G32" s="439"/>
      <c r="H32" s="439"/>
      <c r="I32" s="439"/>
      <c r="J32" s="439"/>
      <c r="K32" s="439"/>
      <c r="L32" s="439"/>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39"/>
      <c r="AM32" s="439"/>
      <c r="AN32" s="434"/>
      <c r="AO32" s="435">
        <f>IF(AO31&gt;20,20,AO31)</f>
        <v>20</v>
      </c>
      <c r="AP32" s="435" t="s">
        <v>2127</v>
      </c>
    </row>
    <row r="33" spans="1:41" s="435" customFormat="1" ht="12.75" customHeight="1">
      <c r="A33" s="439"/>
      <c r="B33" s="2542" t="s">
        <v>807</v>
      </c>
      <c r="C33" s="2542"/>
      <c r="D33" s="446"/>
      <c r="E33" s="2552" t="s">
        <v>2133</v>
      </c>
      <c r="F33" s="2553"/>
      <c r="G33" s="2553"/>
      <c r="H33" s="2553"/>
      <c r="I33" s="2553"/>
      <c r="J33" s="2553"/>
      <c r="K33" s="2553"/>
      <c r="L33" s="2553"/>
      <c r="M33" s="2553"/>
      <c r="N33" s="2553"/>
      <c r="O33" s="2553"/>
      <c r="P33" s="2553"/>
      <c r="Q33" s="2553"/>
      <c r="R33" s="2553"/>
      <c r="S33" s="2553"/>
      <c r="T33" s="2553"/>
      <c r="U33" s="2553"/>
      <c r="V33" s="2553"/>
      <c r="W33" s="2553"/>
      <c r="X33" s="2553"/>
      <c r="Y33" s="2553"/>
      <c r="Z33" s="2553"/>
      <c r="AA33" s="2553"/>
      <c r="AB33" s="2553"/>
      <c r="AC33" s="2553"/>
      <c r="AD33" s="2553"/>
      <c r="AE33" s="2553"/>
      <c r="AF33" s="2553"/>
      <c r="AG33" s="2553"/>
      <c r="AH33" s="2553"/>
      <c r="AI33" s="2553"/>
      <c r="AJ33" s="2554"/>
      <c r="AK33" s="439"/>
      <c r="AL33" s="439"/>
      <c r="AM33" s="439"/>
      <c r="AN33" s="434"/>
      <c r="AO33" s="449"/>
    </row>
    <row r="34" spans="1:41" s="435" customFormat="1" ht="12.75" customHeight="1">
      <c r="A34" s="439"/>
      <c r="B34" s="439"/>
      <c r="C34" s="439"/>
      <c r="E34" s="2555"/>
      <c r="F34" s="2556"/>
      <c r="G34" s="2556"/>
      <c r="H34" s="2556"/>
      <c r="I34" s="2556"/>
      <c r="J34" s="2556"/>
      <c r="K34" s="2556"/>
      <c r="L34" s="2556"/>
      <c r="M34" s="2556"/>
      <c r="N34" s="2556"/>
      <c r="O34" s="2556"/>
      <c r="P34" s="2556"/>
      <c r="Q34" s="2556"/>
      <c r="R34" s="2556"/>
      <c r="S34" s="2556"/>
      <c r="T34" s="2556"/>
      <c r="U34" s="2556"/>
      <c r="V34" s="2556"/>
      <c r="W34" s="2556"/>
      <c r="X34" s="2556"/>
      <c r="Y34" s="2556"/>
      <c r="Z34" s="2556"/>
      <c r="AA34" s="2556"/>
      <c r="AB34" s="2556"/>
      <c r="AC34" s="2556"/>
      <c r="AD34" s="2556"/>
      <c r="AE34" s="2556"/>
      <c r="AF34" s="2556"/>
      <c r="AG34" s="2556"/>
      <c r="AH34" s="2556"/>
      <c r="AI34" s="2556"/>
      <c r="AJ34" s="2557"/>
      <c r="AK34" s="439"/>
      <c r="AL34" s="439"/>
      <c r="AM34" s="439"/>
      <c r="AN34" s="434"/>
    </row>
    <row r="35" spans="1:41" s="435" customFormat="1" ht="12.75" customHeight="1">
      <c r="A35" s="439"/>
      <c r="B35" s="439"/>
      <c r="C35" s="439"/>
      <c r="F35" s="801"/>
      <c r="G35" s="801"/>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1"/>
      <c r="AI35" s="801"/>
      <c r="AJ35" s="801"/>
      <c r="AK35" s="439"/>
      <c r="AL35" s="439"/>
      <c r="AM35" s="439"/>
      <c r="AN35" s="434"/>
    </row>
    <row r="36" spans="1:41" s="435" customFormat="1" ht="12.75" customHeight="1">
      <c r="A36" s="439"/>
      <c r="B36" s="2542" t="s">
        <v>807</v>
      </c>
      <c r="C36" s="2542"/>
      <c r="D36" s="446"/>
      <c r="E36" s="2469" t="s">
        <v>2134</v>
      </c>
      <c r="F36" s="2470"/>
      <c r="G36" s="2470"/>
      <c r="H36" s="2470"/>
      <c r="I36" s="2470"/>
      <c r="J36" s="2470"/>
      <c r="K36" s="2470"/>
      <c r="L36" s="2470"/>
      <c r="M36" s="2470"/>
      <c r="N36" s="2470"/>
      <c r="O36" s="2470"/>
      <c r="P36" s="2470"/>
      <c r="Q36" s="2470"/>
      <c r="R36" s="2470"/>
      <c r="S36" s="2470"/>
      <c r="T36" s="2470"/>
      <c r="U36" s="2470"/>
      <c r="V36" s="2470"/>
      <c r="W36" s="2470"/>
      <c r="X36" s="2470"/>
      <c r="Y36" s="2470"/>
      <c r="Z36" s="2470"/>
      <c r="AA36" s="2470"/>
      <c r="AB36" s="2470"/>
      <c r="AC36" s="2470"/>
      <c r="AD36" s="2470"/>
      <c r="AE36" s="2470"/>
      <c r="AF36" s="2470"/>
      <c r="AG36" s="2470"/>
      <c r="AH36" s="2470"/>
      <c r="AI36" s="2470"/>
      <c r="AJ36" s="2471"/>
      <c r="AK36" s="439"/>
      <c r="AL36" s="439"/>
      <c r="AM36" s="439"/>
      <c r="AN36" s="434"/>
    </row>
    <row r="37" spans="1:41" s="435" customFormat="1" ht="12.75" customHeight="1">
      <c r="A37" s="439"/>
      <c r="B37" s="439"/>
      <c r="C37" s="439"/>
      <c r="E37" s="2472"/>
      <c r="F37" s="2473"/>
      <c r="G37" s="2473"/>
      <c r="H37" s="2473"/>
      <c r="I37" s="2473"/>
      <c r="J37" s="2473"/>
      <c r="K37" s="2473"/>
      <c r="L37" s="2473"/>
      <c r="M37" s="2473"/>
      <c r="N37" s="2473"/>
      <c r="O37" s="2473"/>
      <c r="P37" s="2473"/>
      <c r="Q37" s="2473"/>
      <c r="R37" s="2473"/>
      <c r="S37" s="2473"/>
      <c r="T37" s="2473"/>
      <c r="U37" s="2473"/>
      <c r="V37" s="2473"/>
      <c r="W37" s="2473"/>
      <c r="X37" s="2473"/>
      <c r="Y37" s="2473"/>
      <c r="Z37" s="2473"/>
      <c r="AA37" s="2473"/>
      <c r="AB37" s="2473"/>
      <c r="AC37" s="2473"/>
      <c r="AD37" s="2473"/>
      <c r="AE37" s="2473"/>
      <c r="AF37" s="2473"/>
      <c r="AG37" s="2473"/>
      <c r="AH37" s="2473"/>
      <c r="AI37" s="2473"/>
      <c r="AJ37" s="2474"/>
      <c r="AK37" s="439"/>
      <c r="AL37" s="439"/>
      <c r="AM37" s="439"/>
      <c r="AN37" s="434"/>
    </row>
    <row r="38" spans="1:41" s="435" customFormat="1" ht="12.75" customHeight="1">
      <c r="A38" s="439"/>
      <c r="B38" s="439"/>
      <c r="C38" s="439"/>
      <c r="E38" s="2494"/>
      <c r="F38" s="2495"/>
      <c r="G38" s="2495"/>
      <c r="H38" s="2495"/>
      <c r="I38" s="2495"/>
      <c r="J38" s="2495"/>
      <c r="K38" s="2495"/>
      <c r="L38" s="2495"/>
      <c r="M38" s="2495"/>
      <c r="N38" s="2495"/>
      <c r="O38" s="2495"/>
      <c r="P38" s="2495"/>
      <c r="Q38" s="2495"/>
      <c r="R38" s="2495"/>
      <c r="S38" s="2495"/>
      <c r="T38" s="2495"/>
      <c r="U38" s="2495"/>
      <c r="V38" s="2495"/>
      <c r="W38" s="2495"/>
      <c r="X38" s="2495"/>
      <c r="Y38" s="2495"/>
      <c r="Z38" s="2495"/>
      <c r="AA38" s="2495"/>
      <c r="AB38" s="2495"/>
      <c r="AC38" s="2495"/>
      <c r="AD38" s="2495"/>
      <c r="AE38" s="2495"/>
      <c r="AF38" s="2495"/>
      <c r="AG38" s="2495"/>
      <c r="AH38" s="2495"/>
      <c r="AI38" s="2495"/>
      <c r="AJ38" s="2496"/>
      <c r="AK38" s="439"/>
      <c r="AL38" s="439"/>
      <c r="AM38" s="439"/>
      <c r="AN38" s="434"/>
    </row>
    <row r="39" spans="1:41" s="435" customFormat="1" ht="12.75" customHeight="1">
      <c r="A39" s="439"/>
      <c r="B39" s="439"/>
      <c r="C39" s="439"/>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439"/>
      <c r="AN39" s="434"/>
      <c r="AO39" s="435">
        <f>MAX(AO18,AO23,AO26,AO32)</f>
        <v>20</v>
      </c>
    </row>
    <row r="40" spans="1:41" s="435" customFormat="1" ht="12.75" customHeight="1">
      <c r="A40" s="439"/>
      <c r="B40" s="2542" t="s">
        <v>807</v>
      </c>
      <c r="C40" s="2542"/>
      <c r="D40" s="446"/>
      <c r="E40" s="2469" t="s">
        <v>2135</v>
      </c>
      <c r="F40" s="2470"/>
      <c r="G40" s="2470"/>
      <c r="H40" s="2470"/>
      <c r="I40" s="2470"/>
      <c r="J40" s="2470"/>
      <c r="K40" s="2470"/>
      <c r="L40" s="2470"/>
      <c r="M40" s="2470"/>
      <c r="N40" s="2470"/>
      <c r="O40" s="2470"/>
      <c r="P40" s="2470"/>
      <c r="Q40" s="2470"/>
      <c r="R40" s="2470"/>
      <c r="S40" s="2470"/>
      <c r="T40" s="2470"/>
      <c r="U40" s="2470"/>
      <c r="V40" s="2470"/>
      <c r="W40" s="2470"/>
      <c r="X40" s="2470"/>
      <c r="Y40" s="2470"/>
      <c r="Z40" s="2470"/>
      <c r="AA40" s="2470"/>
      <c r="AB40" s="2470"/>
      <c r="AC40" s="2470"/>
      <c r="AD40" s="2470"/>
      <c r="AE40" s="2470"/>
      <c r="AF40" s="2470"/>
      <c r="AG40" s="2470"/>
      <c r="AH40" s="2470"/>
      <c r="AI40" s="2470"/>
      <c r="AJ40" s="2471"/>
      <c r="AK40" s="439"/>
      <c r="AL40" s="439"/>
      <c r="AM40" s="439"/>
      <c r="AN40" s="434"/>
    </row>
    <row r="41" spans="1:41" s="435" customFormat="1" ht="12.75" customHeight="1">
      <c r="A41" s="439"/>
      <c r="B41" s="439"/>
      <c r="C41" s="439"/>
      <c r="E41" s="2494"/>
      <c r="F41" s="2495"/>
      <c r="G41" s="2495"/>
      <c r="H41" s="2495"/>
      <c r="I41" s="2495"/>
      <c r="J41" s="2495"/>
      <c r="K41" s="2495"/>
      <c r="L41" s="2495"/>
      <c r="M41" s="2495"/>
      <c r="N41" s="2495"/>
      <c r="O41" s="2495"/>
      <c r="P41" s="2495"/>
      <c r="Q41" s="2495"/>
      <c r="R41" s="2495"/>
      <c r="S41" s="2495"/>
      <c r="T41" s="2495"/>
      <c r="U41" s="2495"/>
      <c r="V41" s="2495"/>
      <c r="W41" s="2495"/>
      <c r="X41" s="2495"/>
      <c r="Y41" s="2495"/>
      <c r="Z41" s="2495"/>
      <c r="AA41" s="2495"/>
      <c r="AB41" s="2495"/>
      <c r="AC41" s="2495"/>
      <c r="AD41" s="2495"/>
      <c r="AE41" s="2495"/>
      <c r="AF41" s="2495"/>
      <c r="AG41" s="2495"/>
      <c r="AH41" s="2495"/>
      <c r="AI41" s="2495"/>
      <c r="AJ41" s="2496"/>
      <c r="AK41" s="439"/>
      <c r="AL41" s="439"/>
      <c r="AM41" s="439"/>
      <c r="AN41" s="434"/>
    </row>
    <row r="42" spans="1:41" s="435" customFormat="1" ht="12.75" customHeight="1">
      <c r="A42" s="439"/>
      <c r="B42" s="439"/>
      <c r="C42" s="439"/>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c r="AM42" s="439"/>
      <c r="AN42" s="434"/>
      <c r="AO42" s="435">
        <f>MAX(AO18,AO23,AO26,AO32)</f>
        <v>20</v>
      </c>
    </row>
    <row r="43" spans="1:41" s="435" customFormat="1" ht="12.75" customHeight="1">
      <c r="A43" s="439"/>
      <c r="C43" s="443" t="s">
        <v>2136</v>
      </c>
      <c r="E43" s="439"/>
      <c r="F43" s="439"/>
      <c r="G43" s="439"/>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c r="AJ43" s="439"/>
      <c r="AK43" s="439"/>
      <c r="AL43" s="439"/>
      <c r="AM43" s="439"/>
      <c r="AN43" s="434"/>
    </row>
    <row r="44" spans="1:41" s="435" customFormat="1" ht="12.75" customHeight="1">
      <c r="A44" s="439"/>
      <c r="C44" s="1030"/>
      <c r="D44" s="1030"/>
      <c r="E44" s="1030"/>
      <c r="F44" s="1030"/>
      <c r="G44" s="1030"/>
      <c r="H44" s="1030"/>
      <c r="I44" s="1030"/>
      <c r="J44" s="1030"/>
      <c r="K44" s="1030"/>
      <c r="L44" s="1030"/>
      <c r="M44" s="1030"/>
      <c r="N44" s="1030"/>
      <c r="O44" s="1030"/>
      <c r="P44" s="1030"/>
      <c r="Q44" s="1030"/>
      <c r="R44" s="1030"/>
      <c r="S44" s="1030"/>
      <c r="T44" s="1030"/>
      <c r="U44" s="1030"/>
      <c r="V44" s="1030"/>
      <c r="W44" s="1030"/>
      <c r="X44" s="1030"/>
      <c r="Y44" s="1030"/>
      <c r="Z44" s="1030"/>
      <c r="AA44" s="1030"/>
      <c r="AB44" s="1030"/>
      <c r="AC44" s="1030"/>
      <c r="AD44" s="1030"/>
      <c r="AE44" s="1030"/>
      <c r="AF44" s="1030"/>
      <c r="AG44" s="1030"/>
      <c r="AH44" s="1030"/>
      <c r="AI44" s="1030"/>
      <c r="AJ44" s="1030"/>
      <c r="AK44" s="1030"/>
      <c r="AL44" s="439"/>
      <c r="AM44" s="439"/>
      <c r="AN44" s="434"/>
    </row>
    <row r="45" spans="1:41" s="435" customFormat="1" ht="12.75" customHeight="1">
      <c r="A45" s="439"/>
      <c r="B45" s="2542" t="s">
        <v>807</v>
      </c>
      <c r="C45" s="2542"/>
      <c r="D45" s="1030"/>
      <c r="E45" s="2469" t="s">
        <v>2137</v>
      </c>
      <c r="F45" s="2470"/>
      <c r="G45" s="2470"/>
      <c r="H45" s="2470"/>
      <c r="I45" s="2470"/>
      <c r="J45" s="2470"/>
      <c r="K45" s="2470"/>
      <c r="L45" s="2470"/>
      <c r="M45" s="2470"/>
      <c r="N45" s="2470"/>
      <c r="O45" s="2470"/>
      <c r="P45" s="2470"/>
      <c r="Q45" s="2470"/>
      <c r="R45" s="2470"/>
      <c r="S45" s="2470"/>
      <c r="T45" s="2470"/>
      <c r="U45" s="2470"/>
      <c r="V45" s="2470"/>
      <c r="W45" s="2470"/>
      <c r="X45" s="2470"/>
      <c r="Y45" s="2470"/>
      <c r="Z45" s="2470"/>
      <c r="AA45" s="2470"/>
      <c r="AB45" s="2470"/>
      <c r="AC45" s="2470"/>
      <c r="AD45" s="2470"/>
      <c r="AE45" s="2470"/>
      <c r="AF45" s="2470"/>
      <c r="AG45" s="2470"/>
      <c r="AH45" s="2470"/>
      <c r="AI45" s="2470"/>
      <c r="AJ45" s="2471"/>
      <c r="AK45" s="1030"/>
      <c r="AL45" s="439"/>
      <c r="AM45" s="439"/>
      <c r="AN45" s="434"/>
    </row>
    <row r="46" spans="1:41" s="435" customFormat="1" ht="12.75" customHeight="1">
      <c r="A46" s="439"/>
      <c r="B46" s="439"/>
      <c r="C46" s="439"/>
      <c r="E46" s="2472"/>
      <c r="F46" s="2473"/>
      <c r="G46" s="2473"/>
      <c r="H46" s="2473"/>
      <c r="I46" s="2473"/>
      <c r="J46" s="2473"/>
      <c r="K46" s="2473"/>
      <c r="L46" s="2473"/>
      <c r="M46" s="2473"/>
      <c r="N46" s="2473"/>
      <c r="O46" s="2473"/>
      <c r="P46" s="2473"/>
      <c r="Q46" s="2473"/>
      <c r="R46" s="2473"/>
      <c r="S46" s="2473"/>
      <c r="T46" s="2473"/>
      <c r="U46" s="2473"/>
      <c r="V46" s="2473"/>
      <c r="W46" s="2473"/>
      <c r="X46" s="2473"/>
      <c r="Y46" s="2473"/>
      <c r="Z46" s="2473"/>
      <c r="AA46" s="2473"/>
      <c r="AB46" s="2473"/>
      <c r="AC46" s="2473"/>
      <c r="AD46" s="2473"/>
      <c r="AE46" s="2473"/>
      <c r="AF46" s="2473"/>
      <c r="AG46" s="2473"/>
      <c r="AH46" s="2473"/>
      <c r="AI46" s="2473"/>
      <c r="AJ46" s="2474"/>
      <c r="AK46" s="439"/>
      <c r="AL46" s="439"/>
      <c r="AM46" s="439"/>
      <c r="AN46" s="434"/>
    </row>
    <row r="47" spans="1:41" s="435" customFormat="1" ht="12.75" customHeight="1">
      <c r="A47" s="439"/>
      <c r="D47" s="446"/>
      <c r="E47" s="2494"/>
      <c r="F47" s="2495"/>
      <c r="G47" s="2495"/>
      <c r="H47" s="2495"/>
      <c r="I47" s="2495"/>
      <c r="J47" s="2495"/>
      <c r="K47" s="2495"/>
      <c r="L47" s="2495"/>
      <c r="M47" s="2495"/>
      <c r="N47" s="2495"/>
      <c r="O47" s="2495"/>
      <c r="P47" s="2495"/>
      <c r="Q47" s="2495"/>
      <c r="R47" s="2495"/>
      <c r="S47" s="2495"/>
      <c r="T47" s="2495"/>
      <c r="U47" s="2495"/>
      <c r="V47" s="2495"/>
      <c r="W47" s="2495"/>
      <c r="X47" s="2495"/>
      <c r="Y47" s="2495"/>
      <c r="Z47" s="2495"/>
      <c r="AA47" s="2495"/>
      <c r="AB47" s="2495"/>
      <c r="AC47" s="2495"/>
      <c r="AD47" s="2495"/>
      <c r="AE47" s="2495"/>
      <c r="AF47" s="2495"/>
      <c r="AG47" s="2495"/>
      <c r="AH47" s="2495"/>
      <c r="AI47" s="2495"/>
      <c r="AJ47" s="2496"/>
      <c r="AK47" s="439"/>
      <c r="AL47" s="439"/>
      <c r="AM47" s="439"/>
      <c r="AN47" s="434"/>
      <c r="AO47" s="455"/>
    </row>
    <row r="48" spans="1:41" s="435" customFormat="1" ht="12.75" customHeight="1">
      <c r="A48" s="439"/>
      <c r="B48" s="439"/>
      <c r="C48" s="439"/>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c r="AE48" s="439"/>
      <c r="AF48" s="439"/>
      <c r="AG48" s="439"/>
      <c r="AH48" s="439"/>
      <c r="AI48" s="439"/>
      <c r="AJ48" s="439"/>
      <c r="AK48" s="439"/>
      <c r="AL48" s="439"/>
      <c r="AM48" s="439"/>
      <c r="AN48" s="434"/>
      <c r="AO48" s="455"/>
    </row>
    <row r="49" spans="1:50" s="435" customFormat="1" ht="12.75" customHeight="1">
      <c r="A49" s="438"/>
      <c r="B49" s="438" t="s">
        <v>2138</v>
      </c>
      <c r="C49" s="446"/>
      <c r="D49" s="446"/>
      <c r="E49" s="456"/>
      <c r="F49" s="439"/>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34"/>
      <c r="AO49" s="455"/>
    </row>
    <row r="50" spans="1:50" s="435" customFormat="1" ht="12.75" customHeight="1">
      <c r="A50" s="439"/>
      <c r="B50" s="439"/>
      <c r="C50" s="1029" t="s">
        <v>2139</v>
      </c>
      <c r="D50" s="439"/>
      <c r="E50" s="439"/>
      <c r="F50" s="439"/>
      <c r="G50" s="439"/>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39"/>
      <c r="AJ50" s="439"/>
      <c r="AK50" s="439"/>
      <c r="AL50" s="439"/>
      <c r="AM50" s="439"/>
      <c r="AN50" s="434"/>
      <c r="AO50" s="455"/>
    </row>
    <row r="51" spans="1:50" s="435" customFormat="1" ht="12.75" customHeight="1">
      <c r="A51" s="446"/>
      <c r="B51" s="446"/>
      <c r="C51" s="446"/>
      <c r="D51" s="446"/>
      <c r="E51" s="457"/>
      <c r="F51" s="439"/>
      <c r="G51" s="439"/>
      <c r="H51" s="439"/>
      <c r="I51" s="439"/>
      <c r="J51" s="439"/>
      <c r="K51" s="439"/>
      <c r="L51" s="439"/>
      <c r="M51" s="439"/>
      <c r="N51" s="439"/>
      <c r="O51" s="439"/>
      <c r="P51" s="439"/>
      <c r="Q51" s="439"/>
      <c r="R51" s="439"/>
      <c r="S51" s="439"/>
      <c r="T51" s="439"/>
      <c r="U51" s="439"/>
      <c r="V51" s="439"/>
      <c r="W51" s="439"/>
      <c r="X51" s="439"/>
      <c r="Y51" s="439"/>
      <c r="Z51" s="439"/>
      <c r="AA51" s="439"/>
      <c r="AB51" s="439"/>
      <c r="AC51" s="439"/>
      <c r="AD51" s="439"/>
      <c r="AE51" s="439"/>
      <c r="AF51" s="439"/>
      <c r="AG51" s="439"/>
      <c r="AH51" s="439"/>
      <c r="AI51" s="439"/>
      <c r="AJ51" s="439"/>
      <c r="AK51" s="439"/>
      <c r="AL51" s="439"/>
      <c r="AM51" s="439"/>
      <c r="AN51" s="434"/>
      <c r="AO51" s="455"/>
    </row>
    <row r="52" spans="1:50" s="435" customFormat="1" ht="12.75" customHeight="1">
      <c r="A52" s="439"/>
      <c r="B52" s="2542" t="s">
        <v>842</v>
      </c>
      <c r="C52" s="2542"/>
      <c r="D52" s="439"/>
      <c r="E52" s="2469" t="s">
        <v>2140</v>
      </c>
      <c r="F52" s="2470"/>
      <c r="G52" s="2470"/>
      <c r="H52" s="2470"/>
      <c r="I52" s="2470"/>
      <c r="J52" s="2470"/>
      <c r="K52" s="2470"/>
      <c r="L52" s="2470"/>
      <c r="M52" s="2470"/>
      <c r="N52" s="2470"/>
      <c r="O52" s="2470"/>
      <c r="P52" s="2470"/>
      <c r="Q52" s="2470"/>
      <c r="R52" s="2470"/>
      <c r="S52" s="2470"/>
      <c r="T52" s="2470"/>
      <c r="U52" s="2470"/>
      <c r="V52" s="2470"/>
      <c r="W52" s="2470"/>
      <c r="X52" s="2470"/>
      <c r="Y52" s="2470"/>
      <c r="Z52" s="2470"/>
      <c r="AA52" s="2470"/>
      <c r="AB52" s="2470"/>
      <c r="AC52" s="2470"/>
      <c r="AD52" s="2470"/>
      <c r="AE52" s="2470"/>
      <c r="AF52" s="2470"/>
      <c r="AG52" s="2470"/>
      <c r="AH52" s="2470"/>
      <c r="AI52" s="2470"/>
      <c r="AJ52" s="2471"/>
      <c r="AK52" s="439"/>
      <c r="AL52" s="439"/>
      <c r="AM52" s="439"/>
      <c r="AN52" s="434"/>
      <c r="AO52" s="458"/>
    </row>
    <row r="53" spans="1:50" s="435" customFormat="1" ht="12.75" customHeight="1">
      <c r="A53" s="439"/>
      <c r="D53" s="446"/>
      <c r="E53" s="2472"/>
      <c r="F53" s="2473"/>
      <c r="G53" s="2473"/>
      <c r="H53" s="2473"/>
      <c r="I53" s="2473"/>
      <c r="J53" s="2473"/>
      <c r="K53" s="2473"/>
      <c r="L53" s="2473"/>
      <c r="M53" s="2473"/>
      <c r="N53" s="2473"/>
      <c r="O53" s="2473"/>
      <c r="P53" s="2473"/>
      <c r="Q53" s="2473"/>
      <c r="R53" s="2473"/>
      <c r="S53" s="2473"/>
      <c r="T53" s="2473"/>
      <c r="U53" s="2473"/>
      <c r="V53" s="2473"/>
      <c r="W53" s="2473"/>
      <c r="X53" s="2473"/>
      <c r="Y53" s="2473"/>
      <c r="Z53" s="2473"/>
      <c r="AA53" s="2473"/>
      <c r="AB53" s="2473"/>
      <c r="AC53" s="2473"/>
      <c r="AD53" s="2473"/>
      <c r="AE53" s="2473"/>
      <c r="AF53" s="2473"/>
      <c r="AG53" s="2473"/>
      <c r="AH53" s="2473"/>
      <c r="AI53" s="2473"/>
      <c r="AJ53" s="2474"/>
      <c r="AK53" s="439"/>
      <c r="AL53" s="439"/>
      <c r="AM53" s="439"/>
      <c r="AN53" s="434"/>
      <c r="AO53" s="458"/>
    </row>
    <row r="54" spans="1:50" s="435" customFormat="1" ht="12.75" customHeight="1">
      <c r="A54" s="439"/>
      <c r="D54" s="439"/>
      <c r="E54" s="2494"/>
      <c r="F54" s="2495"/>
      <c r="G54" s="2495"/>
      <c r="H54" s="2495"/>
      <c r="I54" s="2495"/>
      <c r="J54" s="2495"/>
      <c r="K54" s="2495"/>
      <c r="L54" s="2495"/>
      <c r="M54" s="2495"/>
      <c r="N54" s="2495"/>
      <c r="O54" s="2495"/>
      <c r="P54" s="2495"/>
      <c r="Q54" s="2495"/>
      <c r="R54" s="2495"/>
      <c r="S54" s="2495"/>
      <c r="T54" s="2495"/>
      <c r="U54" s="2495"/>
      <c r="V54" s="2495"/>
      <c r="W54" s="2495"/>
      <c r="X54" s="2495"/>
      <c r="Y54" s="2495"/>
      <c r="Z54" s="2495"/>
      <c r="AA54" s="2495"/>
      <c r="AB54" s="2495"/>
      <c r="AC54" s="2495"/>
      <c r="AD54" s="2495"/>
      <c r="AE54" s="2495"/>
      <c r="AF54" s="2495"/>
      <c r="AG54" s="2495"/>
      <c r="AH54" s="2495"/>
      <c r="AI54" s="2495"/>
      <c r="AJ54" s="2496"/>
      <c r="AK54" s="439"/>
      <c r="AL54" s="439"/>
      <c r="AM54" s="439"/>
      <c r="AN54" s="434"/>
    </row>
    <row r="55" spans="1:50" s="435" customFormat="1" ht="12.75" customHeight="1">
      <c r="A55" s="439"/>
      <c r="B55" s="439"/>
      <c r="C55" s="439"/>
      <c r="D55" s="446"/>
      <c r="E55" s="457"/>
      <c r="F55" s="455"/>
      <c r="G55" s="455"/>
      <c r="H55" s="439"/>
      <c r="I55" s="439"/>
      <c r="J55" s="439"/>
      <c r="K55" s="439"/>
      <c r="L55" s="439"/>
      <c r="M55" s="439"/>
      <c r="N55" s="439"/>
      <c r="O55" s="439"/>
      <c r="P55" s="439"/>
      <c r="Q55" s="439"/>
      <c r="R55" s="439"/>
      <c r="S55" s="439"/>
      <c r="T55" s="439"/>
      <c r="U55" s="439"/>
      <c r="V55" s="439"/>
      <c r="W55" s="439"/>
      <c r="X55" s="439"/>
      <c r="Y55" s="439"/>
      <c r="Z55" s="439"/>
      <c r="AA55" s="439"/>
      <c r="AB55" s="439"/>
      <c r="AC55" s="439"/>
      <c r="AD55" s="439"/>
      <c r="AE55" s="439"/>
      <c r="AF55" s="439"/>
      <c r="AG55" s="439"/>
      <c r="AH55" s="439"/>
      <c r="AI55" s="439"/>
      <c r="AJ55" s="439"/>
      <c r="AK55" s="439"/>
      <c r="AL55" s="439"/>
      <c r="AM55" s="439"/>
      <c r="AN55" s="434"/>
    </row>
    <row r="56" spans="1:50" s="435" customFormat="1" ht="12.75" customHeight="1">
      <c r="A56" s="439"/>
      <c r="B56" s="2542" t="s">
        <v>842</v>
      </c>
      <c r="C56" s="2542"/>
      <c r="D56" s="439"/>
      <c r="E56" s="2568" t="s">
        <v>2141</v>
      </c>
      <c r="F56" s="2569"/>
      <c r="G56" s="2569"/>
      <c r="H56" s="2569"/>
      <c r="I56" s="2569"/>
      <c r="J56" s="2569"/>
      <c r="K56" s="2569"/>
      <c r="L56" s="2569"/>
      <c r="M56" s="2569"/>
      <c r="N56" s="2569"/>
      <c r="O56" s="2569"/>
      <c r="P56" s="2569"/>
      <c r="Q56" s="2569"/>
      <c r="R56" s="2569"/>
      <c r="S56" s="2569"/>
      <c r="T56" s="2569"/>
      <c r="U56" s="2569"/>
      <c r="V56" s="2569"/>
      <c r="W56" s="2569"/>
      <c r="X56" s="2569"/>
      <c r="Y56" s="2569"/>
      <c r="Z56" s="2569"/>
      <c r="AA56" s="2569"/>
      <c r="AB56" s="2569"/>
      <c r="AC56" s="2569"/>
      <c r="AD56" s="2569"/>
      <c r="AE56" s="2569"/>
      <c r="AF56" s="2569"/>
      <c r="AG56" s="2569"/>
      <c r="AH56" s="2569"/>
      <c r="AI56" s="2569"/>
      <c r="AJ56" s="2570"/>
      <c r="AK56" s="439"/>
      <c r="AL56" s="439"/>
      <c r="AM56" s="439"/>
      <c r="AN56" s="434"/>
    </row>
    <row r="57" spans="1:50" s="435" customFormat="1" ht="12.75" customHeight="1">
      <c r="A57" s="439"/>
      <c r="B57" s="439"/>
      <c r="C57" s="439"/>
      <c r="D57" s="446"/>
      <c r="E57" s="459"/>
      <c r="F57" s="455"/>
      <c r="G57" s="455"/>
      <c r="H57" s="439"/>
      <c r="I57" s="439"/>
      <c r="J57" s="439"/>
      <c r="K57" s="439"/>
      <c r="L57" s="439"/>
      <c r="M57" s="439"/>
      <c r="N57" s="439"/>
      <c r="O57" s="439"/>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39"/>
      <c r="AN57" s="434"/>
    </row>
    <row r="58" spans="1:50" s="435" customFormat="1" ht="12.75" customHeight="1">
      <c r="A58" s="439"/>
      <c r="B58" s="2542" t="s">
        <v>842</v>
      </c>
      <c r="C58" s="2542"/>
      <c r="D58" s="439"/>
      <c r="E58" s="2469" t="s">
        <v>2142</v>
      </c>
      <c r="F58" s="2470"/>
      <c r="G58" s="2470"/>
      <c r="H58" s="2470"/>
      <c r="I58" s="2470"/>
      <c r="J58" s="2470"/>
      <c r="K58" s="2470"/>
      <c r="L58" s="2470"/>
      <c r="M58" s="2470"/>
      <c r="N58" s="2470"/>
      <c r="O58" s="2470"/>
      <c r="P58" s="2470"/>
      <c r="Q58" s="2470"/>
      <c r="R58" s="2470"/>
      <c r="S58" s="2470"/>
      <c r="T58" s="2470"/>
      <c r="U58" s="2470"/>
      <c r="V58" s="2470"/>
      <c r="W58" s="2470"/>
      <c r="X58" s="2470"/>
      <c r="Y58" s="2470"/>
      <c r="Z58" s="2470"/>
      <c r="AA58" s="2470"/>
      <c r="AB58" s="2470"/>
      <c r="AC58" s="2470"/>
      <c r="AD58" s="2470"/>
      <c r="AE58" s="2470"/>
      <c r="AF58" s="2470"/>
      <c r="AG58" s="2470"/>
      <c r="AH58" s="2470"/>
      <c r="AI58" s="2470"/>
      <c r="AJ58" s="2471"/>
      <c r="AK58" s="439"/>
      <c r="AL58" s="439"/>
      <c r="AM58" s="439"/>
      <c r="AN58" s="434"/>
    </row>
    <row r="59" spans="1:50" s="435" customFormat="1" ht="12.75" customHeight="1">
      <c r="A59" s="439"/>
      <c r="B59" s="446"/>
      <c r="C59" s="446"/>
      <c r="D59" s="446"/>
      <c r="E59" s="2494"/>
      <c r="F59" s="2495"/>
      <c r="G59" s="2495"/>
      <c r="H59" s="2495"/>
      <c r="I59" s="2495"/>
      <c r="J59" s="2495"/>
      <c r="K59" s="2495"/>
      <c r="L59" s="2495"/>
      <c r="M59" s="2495"/>
      <c r="N59" s="2495"/>
      <c r="O59" s="2495"/>
      <c r="P59" s="2495"/>
      <c r="Q59" s="2495"/>
      <c r="R59" s="2495"/>
      <c r="S59" s="2495"/>
      <c r="T59" s="2495"/>
      <c r="U59" s="2495"/>
      <c r="V59" s="2495"/>
      <c r="W59" s="2495"/>
      <c r="X59" s="2495"/>
      <c r="Y59" s="2495"/>
      <c r="Z59" s="2495"/>
      <c r="AA59" s="2495"/>
      <c r="AB59" s="2495"/>
      <c r="AC59" s="2495"/>
      <c r="AD59" s="2495"/>
      <c r="AE59" s="2495"/>
      <c r="AF59" s="2495"/>
      <c r="AG59" s="2495"/>
      <c r="AH59" s="2495"/>
      <c r="AI59" s="2495"/>
      <c r="AJ59" s="2496"/>
      <c r="AK59" s="439"/>
      <c r="AL59" s="439"/>
      <c r="AM59" s="439"/>
      <c r="AN59" s="434"/>
      <c r="AX59" s="438"/>
    </row>
    <row r="60" spans="1:50" s="435" customFormat="1" ht="12.75" customHeight="1">
      <c r="A60" s="439"/>
      <c r="B60" s="446"/>
      <c r="C60" s="446"/>
      <c r="D60" s="446"/>
      <c r="E60" s="45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c r="AI60" s="439"/>
      <c r="AJ60" s="439"/>
      <c r="AK60" s="439"/>
      <c r="AL60" s="439"/>
      <c r="AM60" s="439"/>
      <c r="AN60" s="434"/>
      <c r="AX60" s="438"/>
    </row>
    <row r="61" spans="1:50" s="435" customFormat="1" ht="12.75" customHeight="1">
      <c r="A61" s="439"/>
      <c r="B61" s="439"/>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439"/>
      <c r="AA61" s="439"/>
      <c r="AB61" s="439"/>
      <c r="AC61" s="439"/>
      <c r="AD61" s="439"/>
      <c r="AE61" s="439"/>
      <c r="AF61" s="439"/>
      <c r="AG61" s="439"/>
      <c r="AH61" s="439"/>
      <c r="AI61" s="439"/>
      <c r="AJ61" s="439"/>
      <c r="AK61" s="439"/>
      <c r="AL61" s="439"/>
      <c r="AM61" s="439"/>
      <c r="AN61" s="434"/>
    </row>
    <row r="62" spans="1:50" s="435" customFormat="1" ht="12.75" customHeight="1">
      <c r="A62" s="460"/>
      <c r="B62" s="461"/>
      <c r="C62" s="461"/>
      <c r="D62" s="461"/>
      <c r="E62" s="461"/>
      <c r="F62" s="461"/>
      <c r="G62" s="462"/>
      <c r="H62" s="463"/>
      <c r="I62" s="463"/>
      <c r="J62" s="463"/>
      <c r="K62" s="463"/>
      <c r="L62" s="463"/>
      <c r="M62" s="463"/>
      <c r="N62" s="463"/>
      <c r="O62" s="463"/>
      <c r="P62" s="463"/>
      <c r="Q62" s="463"/>
      <c r="R62" s="463"/>
      <c r="S62" s="463"/>
      <c r="T62" s="463"/>
      <c r="U62" s="463"/>
      <c r="V62" s="463"/>
      <c r="W62" s="463"/>
      <c r="X62" s="463"/>
      <c r="Y62" s="463"/>
      <c r="Z62" s="463"/>
      <c r="AA62" s="463"/>
      <c r="AB62" s="463"/>
      <c r="AC62" s="463"/>
      <c r="AD62" s="463"/>
      <c r="AE62" s="463"/>
      <c r="AF62" s="463"/>
      <c r="AG62" s="463"/>
      <c r="AH62" s="463"/>
      <c r="AI62" s="464"/>
      <c r="AJ62" s="464" t="s">
        <v>2143</v>
      </c>
      <c r="AK62" s="2515">
        <f>AO39</f>
        <v>20</v>
      </c>
      <c r="AL62" s="2516"/>
      <c r="AM62" s="2517"/>
      <c r="AN62" s="434"/>
    </row>
    <row r="63" spans="1:50" s="435" customFormat="1" ht="12.75" customHeight="1" thickBot="1">
      <c r="A63" s="465"/>
      <c r="B63" s="466"/>
      <c r="C63" s="467"/>
      <c r="D63" s="467"/>
      <c r="E63" s="467"/>
      <c r="F63" s="467"/>
      <c r="G63" s="467"/>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8"/>
      <c r="AN63" s="434"/>
    </row>
    <row r="64" spans="1:50" s="435" customFormat="1" ht="12.75" customHeight="1" thickTop="1">
      <c r="A64" s="469"/>
      <c r="B64" s="470"/>
      <c r="C64" s="471"/>
      <c r="D64" s="471"/>
      <c r="E64" s="471"/>
      <c r="F64" s="471"/>
      <c r="G64" s="471"/>
      <c r="H64" s="471"/>
      <c r="I64" s="472"/>
      <c r="J64" s="472"/>
      <c r="K64" s="472"/>
      <c r="L64" s="472"/>
      <c r="M64" s="472"/>
      <c r="N64" s="472"/>
      <c r="O64" s="472"/>
      <c r="P64" s="472"/>
      <c r="Q64" s="472"/>
      <c r="R64" s="469"/>
      <c r="S64" s="438"/>
      <c r="T64" s="438"/>
      <c r="U64" s="438"/>
      <c r="V64" s="438"/>
      <c r="W64" s="438"/>
      <c r="X64" s="438"/>
      <c r="Y64" s="438"/>
      <c r="Z64" s="438"/>
      <c r="AA64" s="438"/>
      <c r="AB64" s="438"/>
      <c r="AC64" s="438"/>
      <c r="AD64" s="438"/>
      <c r="AE64" s="438"/>
      <c r="AF64" s="469"/>
      <c r="AG64" s="438"/>
      <c r="AH64" s="438"/>
      <c r="AI64" s="438"/>
      <c r="AJ64" s="438"/>
      <c r="AK64" s="449"/>
      <c r="AL64" s="449"/>
      <c r="AM64" s="449"/>
      <c r="AN64" s="434"/>
    </row>
    <row r="65" spans="1:42" s="435" customFormat="1" ht="12.75" customHeight="1">
      <c r="A65" s="437" t="s">
        <v>2144</v>
      </c>
      <c r="B65" s="438" t="s">
        <v>617</v>
      </c>
      <c r="C65" s="438"/>
      <c r="D65" s="438"/>
      <c r="E65" s="438"/>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2389" t="s">
        <v>2145</v>
      </c>
      <c r="AF65" s="2389"/>
      <c r="AG65" s="2389"/>
      <c r="AH65" s="2389"/>
      <c r="AI65" s="2389"/>
      <c r="AJ65" s="2389"/>
      <c r="AK65" s="2389"/>
      <c r="AL65" s="439"/>
      <c r="AM65" s="439"/>
      <c r="AN65" s="434"/>
    </row>
    <row r="66" spans="1:42" s="435" customFormat="1" ht="12.75" customHeight="1">
      <c r="A66" s="437"/>
      <c r="B66" s="438" t="s">
        <v>2146</v>
      </c>
      <c r="C66" s="438"/>
      <c r="D66" s="438"/>
      <c r="E66" s="438"/>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42"/>
      <c r="AF66" s="442"/>
      <c r="AG66" s="442"/>
      <c r="AH66" s="442"/>
      <c r="AI66" s="442"/>
      <c r="AJ66" s="442"/>
      <c r="AK66" s="442"/>
      <c r="AL66" s="439"/>
      <c r="AM66" s="439"/>
      <c r="AN66" s="434"/>
    </row>
    <row r="67" spans="1:42" s="435" customFormat="1" ht="12.75" customHeight="1">
      <c r="A67" s="437"/>
      <c r="B67" s="438"/>
      <c r="C67" s="438"/>
      <c r="D67" s="438"/>
      <c r="E67" s="438"/>
      <c r="F67" s="438"/>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42"/>
      <c r="AF67" s="442"/>
      <c r="AG67" s="442"/>
      <c r="AH67" s="442"/>
      <c r="AI67" s="442"/>
      <c r="AJ67" s="442"/>
      <c r="AK67" s="442"/>
      <c r="AL67" s="439"/>
      <c r="AM67" s="439"/>
      <c r="AN67" s="434"/>
    </row>
    <row r="68" spans="1:42" s="435" customFormat="1" ht="12.75" customHeight="1">
      <c r="A68" s="437"/>
      <c r="B68" s="2542" t="s">
        <v>807</v>
      </c>
      <c r="C68" s="2542"/>
      <c r="D68" s="446" t="s">
        <v>2147</v>
      </c>
      <c r="E68" s="2534" t="s">
        <v>2148</v>
      </c>
      <c r="F68" s="2535"/>
      <c r="G68" s="2535"/>
      <c r="H68" s="2535"/>
      <c r="I68" s="2535"/>
      <c r="J68" s="2535"/>
      <c r="K68" s="2535"/>
      <c r="L68" s="2535"/>
      <c r="M68" s="2535"/>
      <c r="N68" s="2535"/>
      <c r="O68" s="2535"/>
      <c r="P68" s="2535"/>
      <c r="Q68" s="2535"/>
      <c r="R68" s="2535"/>
      <c r="S68" s="2535"/>
      <c r="T68" s="2535"/>
      <c r="U68" s="2535"/>
      <c r="V68" s="2535"/>
      <c r="W68" s="2535"/>
      <c r="X68" s="2535"/>
      <c r="Y68" s="2535"/>
      <c r="Z68" s="2535"/>
      <c r="AA68" s="2535"/>
      <c r="AB68" s="2535"/>
      <c r="AC68" s="2535"/>
      <c r="AD68" s="2535"/>
      <c r="AE68" s="2535"/>
      <c r="AF68" s="2535"/>
      <c r="AG68" s="2535"/>
      <c r="AH68" s="2535"/>
      <c r="AI68" s="2535"/>
      <c r="AJ68" s="2536"/>
      <c r="AK68" s="442"/>
      <c r="AL68" s="439"/>
      <c r="AM68" s="439"/>
      <c r="AN68" s="434"/>
      <c r="AO68" s="449">
        <f>IF($B68="yes",10,0)</f>
        <v>0</v>
      </c>
    </row>
    <row r="69" spans="1:42" s="435" customFormat="1" ht="12.75" customHeight="1">
      <c r="A69" s="437"/>
      <c r="B69" s="439"/>
      <c r="C69" s="439"/>
      <c r="D69" s="450"/>
      <c r="E69" s="2537"/>
      <c r="F69" s="2538"/>
      <c r="G69" s="2538"/>
      <c r="H69" s="2538"/>
      <c r="I69" s="2538"/>
      <c r="J69" s="2538"/>
      <c r="K69" s="2538"/>
      <c r="L69" s="2538"/>
      <c r="M69" s="2538"/>
      <c r="N69" s="2538"/>
      <c r="O69" s="2538"/>
      <c r="P69" s="2538"/>
      <c r="Q69" s="2538"/>
      <c r="R69" s="2538"/>
      <c r="S69" s="2538"/>
      <c r="T69" s="2538"/>
      <c r="U69" s="2538"/>
      <c r="V69" s="2538"/>
      <c r="W69" s="2538"/>
      <c r="X69" s="2538"/>
      <c r="Y69" s="2538"/>
      <c r="Z69" s="2538"/>
      <c r="AA69" s="2538"/>
      <c r="AB69" s="2538"/>
      <c r="AC69" s="2538"/>
      <c r="AD69" s="2538"/>
      <c r="AE69" s="2538"/>
      <c r="AF69" s="2538"/>
      <c r="AG69" s="2538"/>
      <c r="AH69" s="2538"/>
      <c r="AI69" s="2538"/>
      <c r="AJ69" s="2539"/>
      <c r="AK69" s="442"/>
      <c r="AL69" s="439"/>
      <c r="AM69" s="439"/>
      <c r="AN69" s="434"/>
      <c r="AO69" s="449">
        <f>IF($B74="yes",10,0)</f>
        <v>0</v>
      </c>
    </row>
    <row r="70" spans="1:42" s="435" customFormat="1" ht="12.75" customHeight="1">
      <c r="A70" s="437"/>
      <c r="B70" s="439"/>
      <c r="C70" s="439"/>
      <c r="D70" s="450"/>
      <c r="E70" s="2537"/>
      <c r="F70" s="2538"/>
      <c r="G70" s="2538"/>
      <c r="H70" s="2538"/>
      <c r="I70" s="2538"/>
      <c r="J70" s="2538"/>
      <c r="K70" s="2538"/>
      <c r="L70" s="2538"/>
      <c r="M70" s="2538"/>
      <c r="N70" s="2538"/>
      <c r="O70" s="2538"/>
      <c r="P70" s="2538"/>
      <c r="Q70" s="2538"/>
      <c r="R70" s="2538"/>
      <c r="S70" s="2538"/>
      <c r="T70" s="2538"/>
      <c r="U70" s="2538"/>
      <c r="V70" s="2538"/>
      <c r="W70" s="2538"/>
      <c r="X70" s="2538"/>
      <c r="Y70" s="2538"/>
      <c r="Z70" s="2538"/>
      <c r="AA70" s="2538"/>
      <c r="AB70" s="2538"/>
      <c r="AC70" s="2538"/>
      <c r="AD70" s="2538"/>
      <c r="AE70" s="2538"/>
      <c r="AF70" s="2538"/>
      <c r="AG70" s="2538"/>
      <c r="AH70" s="2538"/>
      <c r="AI70" s="2538"/>
      <c r="AJ70" s="2539"/>
      <c r="AK70" s="442"/>
      <c r="AL70" s="439"/>
      <c r="AM70" s="439"/>
      <c r="AN70" s="434"/>
      <c r="AO70" s="449">
        <f>IF($B81="yes",10,0)</f>
        <v>0</v>
      </c>
    </row>
    <row r="71" spans="1:42" s="435" customFormat="1" ht="12.75" customHeight="1">
      <c r="A71" s="437"/>
      <c r="B71" s="439"/>
      <c r="C71" s="439"/>
      <c r="D71" s="450"/>
      <c r="E71" s="2537"/>
      <c r="F71" s="2538"/>
      <c r="G71" s="2538"/>
      <c r="H71" s="2538"/>
      <c r="I71" s="2538"/>
      <c r="J71" s="2538"/>
      <c r="K71" s="2538"/>
      <c r="L71" s="2538"/>
      <c r="M71" s="2538"/>
      <c r="N71" s="2538"/>
      <c r="O71" s="2538"/>
      <c r="P71" s="2538"/>
      <c r="Q71" s="2538"/>
      <c r="R71" s="2538"/>
      <c r="S71" s="2538"/>
      <c r="T71" s="2538"/>
      <c r="U71" s="2538"/>
      <c r="V71" s="2538"/>
      <c r="W71" s="2538"/>
      <c r="X71" s="2538"/>
      <c r="Y71" s="2538"/>
      <c r="Z71" s="2538"/>
      <c r="AA71" s="2538"/>
      <c r="AB71" s="2538"/>
      <c r="AC71" s="2538"/>
      <c r="AD71" s="2538"/>
      <c r="AE71" s="2538"/>
      <c r="AF71" s="2538"/>
      <c r="AG71" s="2538"/>
      <c r="AH71" s="2538"/>
      <c r="AI71" s="2538"/>
      <c r="AJ71" s="2539"/>
      <c r="AK71" s="442"/>
      <c r="AL71" s="439"/>
      <c r="AM71" s="439"/>
      <c r="AN71" s="434"/>
      <c r="AO71" s="435">
        <f>IF(SUM(AO68:AO70)&gt;10,10,(SUM(AO68:AO70)))</f>
        <v>0</v>
      </c>
      <c r="AP71" s="473" t="s">
        <v>2149</v>
      </c>
    </row>
    <row r="72" spans="1:42" s="435" customFormat="1" ht="12.75" customHeight="1">
      <c r="A72" s="437"/>
      <c r="B72" s="439"/>
      <c r="C72" s="439"/>
      <c r="D72" s="450"/>
      <c r="E72" s="2564"/>
      <c r="F72" s="2565"/>
      <c r="G72" s="2565"/>
      <c r="H72" s="2565"/>
      <c r="I72" s="2565"/>
      <c r="J72" s="2565"/>
      <c r="K72" s="2565"/>
      <c r="L72" s="2565"/>
      <c r="M72" s="2565"/>
      <c r="N72" s="2565"/>
      <c r="O72" s="2565"/>
      <c r="P72" s="2565"/>
      <c r="Q72" s="2565"/>
      <c r="R72" s="2565"/>
      <c r="S72" s="2565"/>
      <c r="T72" s="2565"/>
      <c r="U72" s="2565"/>
      <c r="V72" s="2565"/>
      <c r="W72" s="2565"/>
      <c r="X72" s="2565"/>
      <c r="Y72" s="2565"/>
      <c r="Z72" s="2565"/>
      <c r="AA72" s="2565"/>
      <c r="AB72" s="2565"/>
      <c r="AC72" s="2565"/>
      <c r="AD72" s="2565"/>
      <c r="AE72" s="2565"/>
      <c r="AF72" s="2565"/>
      <c r="AG72" s="2565"/>
      <c r="AH72" s="2565"/>
      <c r="AI72" s="2565"/>
      <c r="AJ72" s="2566"/>
      <c r="AK72" s="442"/>
      <c r="AL72" s="439"/>
      <c r="AM72" s="439"/>
      <c r="AN72" s="434"/>
    </row>
    <row r="73" spans="1:42" s="435" customFormat="1" ht="12.75" customHeight="1">
      <c r="A73" s="437"/>
      <c r="B73" s="439"/>
      <c r="C73" s="439"/>
      <c r="E73" s="439"/>
      <c r="F73" s="439"/>
      <c r="G73" s="439"/>
      <c r="H73" s="439"/>
      <c r="I73" s="439"/>
      <c r="J73" s="439"/>
      <c r="K73" s="439"/>
      <c r="L73" s="439"/>
      <c r="M73" s="439"/>
      <c r="N73" s="439"/>
      <c r="O73" s="439"/>
      <c r="P73" s="439"/>
      <c r="Q73" s="439"/>
      <c r="R73" s="439"/>
      <c r="S73" s="439"/>
      <c r="T73" s="439"/>
      <c r="U73" s="439"/>
      <c r="V73" s="439"/>
      <c r="W73" s="439"/>
      <c r="X73" s="439"/>
      <c r="Y73" s="439"/>
      <c r="Z73" s="439"/>
      <c r="AA73" s="439"/>
      <c r="AB73" s="439"/>
      <c r="AC73" s="439"/>
      <c r="AD73" s="439"/>
      <c r="AE73" s="439"/>
      <c r="AF73" s="439"/>
      <c r="AG73" s="439"/>
      <c r="AH73" s="439"/>
      <c r="AI73" s="439"/>
      <c r="AJ73" s="439"/>
      <c r="AK73" s="442"/>
      <c r="AL73" s="439"/>
      <c r="AM73" s="439"/>
      <c r="AN73" s="434"/>
    </row>
    <row r="74" spans="1:42" s="435" customFormat="1" ht="12.75" customHeight="1">
      <c r="A74" s="437"/>
      <c r="B74" s="2542" t="s">
        <v>807</v>
      </c>
      <c r="C74" s="2542"/>
      <c r="D74" s="446" t="s">
        <v>2150</v>
      </c>
      <c r="E74" s="864" t="s">
        <v>2151</v>
      </c>
      <c r="F74" s="865"/>
      <c r="G74" s="865"/>
      <c r="H74" s="865"/>
      <c r="I74" s="865"/>
      <c r="J74" s="865"/>
      <c r="K74" s="865"/>
      <c r="L74" s="865"/>
      <c r="M74" s="865"/>
      <c r="N74" s="865"/>
      <c r="O74" s="865"/>
      <c r="P74" s="865"/>
      <c r="Q74" s="865"/>
      <c r="R74" s="865"/>
      <c r="S74" s="865"/>
      <c r="T74" s="865"/>
      <c r="U74" s="865"/>
      <c r="V74" s="865"/>
      <c r="W74" s="865"/>
      <c r="X74" s="865"/>
      <c r="Y74" s="865"/>
      <c r="Z74" s="865"/>
      <c r="AA74" s="865"/>
      <c r="AB74" s="865"/>
      <c r="AC74" s="865"/>
      <c r="AD74" s="865"/>
      <c r="AE74" s="865"/>
      <c r="AF74" s="865"/>
      <c r="AG74" s="865"/>
      <c r="AH74" s="865"/>
      <c r="AI74" s="865"/>
      <c r="AJ74" s="866"/>
      <c r="AK74" s="442"/>
      <c r="AL74" s="439"/>
      <c r="AM74" s="439"/>
      <c r="AN74" s="434"/>
    </row>
    <row r="75" spans="1:42" s="435" customFormat="1" ht="12.75" customHeight="1">
      <c r="A75" s="437"/>
      <c r="B75" s="439"/>
      <c r="C75" s="439"/>
      <c r="D75" s="449"/>
      <c r="E75" s="2567" t="s">
        <v>807</v>
      </c>
      <c r="F75" s="2542"/>
      <c r="G75" s="474"/>
      <c r="H75" s="457" t="s">
        <v>2152</v>
      </c>
      <c r="I75" s="803"/>
      <c r="J75" s="474"/>
      <c r="K75" s="474"/>
      <c r="L75" s="474"/>
      <c r="M75" s="474"/>
      <c r="N75" s="474"/>
      <c r="O75" s="474"/>
      <c r="P75" s="474"/>
      <c r="Q75" s="474"/>
      <c r="R75" s="474"/>
      <c r="S75" s="474"/>
      <c r="T75" s="474"/>
      <c r="U75" s="474"/>
      <c r="V75" s="474"/>
      <c r="W75" s="474"/>
      <c r="X75" s="474"/>
      <c r="Y75" s="474"/>
      <c r="Z75" s="474"/>
      <c r="AA75" s="474"/>
      <c r="AB75" s="474"/>
      <c r="AC75" s="474"/>
      <c r="AD75" s="474"/>
      <c r="AE75" s="474"/>
      <c r="AF75" s="474"/>
      <c r="AG75" s="474"/>
      <c r="AH75" s="474"/>
      <c r="AI75" s="474"/>
      <c r="AJ75" s="867"/>
      <c r="AK75" s="442"/>
      <c r="AL75" s="439"/>
      <c r="AM75" s="439"/>
      <c r="AN75" s="434"/>
    </row>
    <row r="76" spans="1:42" s="435" customFormat="1" ht="12.75" customHeight="1">
      <c r="A76" s="437"/>
      <c r="B76" s="439"/>
      <c r="C76" s="439"/>
      <c r="D76" s="449"/>
      <c r="E76" s="2562" t="s">
        <v>807</v>
      </c>
      <c r="F76" s="2563"/>
      <c r="G76" s="474"/>
      <c r="H76" s="457" t="s">
        <v>2153</v>
      </c>
      <c r="I76" s="474"/>
      <c r="J76" s="474"/>
      <c r="K76" s="474"/>
      <c r="L76" s="474"/>
      <c r="M76" s="474"/>
      <c r="N76" s="474"/>
      <c r="O76" s="474"/>
      <c r="P76" s="474"/>
      <c r="Q76" s="474"/>
      <c r="R76" s="474"/>
      <c r="S76" s="474"/>
      <c r="T76" s="474"/>
      <c r="U76" s="474"/>
      <c r="V76" s="474"/>
      <c r="W76" s="474"/>
      <c r="X76" s="474"/>
      <c r="Y76" s="474"/>
      <c r="Z76" s="474"/>
      <c r="AA76" s="474"/>
      <c r="AB76" s="474"/>
      <c r="AC76" s="474"/>
      <c r="AD76" s="474"/>
      <c r="AE76" s="474"/>
      <c r="AF76" s="474"/>
      <c r="AG76" s="474"/>
      <c r="AH76" s="474"/>
      <c r="AI76" s="474"/>
      <c r="AJ76" s="867"/>
      <c r="AK76" s="442"/>
      <c r="AL76" s="439"/>
      <c r="AM76" s="439"/>
      <c r="AN76" s="434"/>
    </row>
    <row r="77" spans="1:42" s="435" customFormat="1" ht="12.75" customHeight="1">
      <c r="A77" s="437"/>
      <c r="B77" s="439"/>
      <c r="C77" s="439"/>
      <c r="D77" s="449"/>
      <c r="E77" s="2562" t="s">
        <v>807</v>
      </c>
      <c r="F77" s="2563"/>
      <c r="G77" s="474"/>
      <c r="H77" s="457" t="s">
        <v>2154</v>
      </c>
      <c r="I77" s="474"/>
      <c r="J77" s="474"/>
      <c r="K77" s="474"/>
      <c r="L77" s="474"/>
      <c r="M77" s="474"/>
      <c r="N77" s="474"/>
      <c r="O77" s="474"/>
      <c r="P77" s="474"/>
      <c r="Q77" s="474"/>
      <c r="R77" s="474"/>
      <c r="S77" s="474"/>
      <c r="T77" s="474"/>
      <c r="U77" s="474"/>
      <c r="V77" s="474"/>
      <c r="W77" s="474"/>
      <c r="X77" s="474"/>
      <c r="Y77" s="474"/>
      <c r="Z77" s="474"/>
      <c r="AA77" s="474"/>
      <c r="AB77" s="474"/>
      <c r="AC77" s="474"/>
      <c r="AD77" s="474"/>
      <c r="AE77" s="474"/>
      <c r="AF77" s="474"/>
      <c r="AG77" s="474"/>
      <c r="AH77" s="474"/>
      <c r="AI77" s="474"/>
      <c r="AJ77" s="867"/>
      <c r="AK77" s="442"/>
      <c r="AL77" s="439"/>
      <c r="AM77" s="439"/>
      <c r="AN77" s="434"/>
    </row>
    <row r="78" spans="1:42" s="435" customFormat="1" ht="12.75" customHeight="1">
      <c r="A78" s="437"/>
      <c r="B78" s="439"/>
      <c r="C78" s="439"/>
      <c r="D78" s="449"/>
      <c r="E78" s="555"/>
      <c r="F78" s="474"/>
      <c r="G78" s="474"/>
      <c r="H78" s="474"/>
      <c r="I78" s="474"/>
      <c r="J78" s="474"/>
      <c r="K78" s="474"/>
      <c r="L78" s="474"/>
      <c r="M78" s="474"/>
      <c r="N78" s="474"/>
      <c r="O78" s="474"/>
      <c r="P78" s="474"/>
      <c r="Q78" s="474"/>
      <c r="R78" s="474"/>
      <c r="S78" s="474"/>
      <c r="T78" s="474"/>
      <c r="U78" s="474"/>
      <c r="V78" s="474"/>
      <c r="W78" s="474"/>
      <c r="X78" s="474"/>
      <c r="Y78" s="474"/>
      <c r="Z78" s="474"/>
      <c r="AA78" s="474"/>
      <c r="AB78" s="474"/>
      <c r="AC78" s="474"/>
      <c r="AD78" s="474"/>
      <c r="AE78" s="474"/>
      <c r="AF78" s="474"/>
      <c r="AG78" s="474"/>
      <c r="AH78" s="474"/>
      <c r="AI78" s="474"/>
      <c r="AJ78" s="867"/>
      <c r="AK78" s="442"/>
      <c r="AL78" s="439"/>
      <c r="AM78" s="439"/>
      <c r="AN78" s="434"/>
    </row>
    <row r="79" spans="1:42" s="435" customFormat="1" ht="12.75" customHeight="1">
      <c r="A79" s="437"/>
      <c r="B79" s="439"/>
      <c r="C79" s="439"/>
      <c r="D79" s="449"/>
      <c r="E79" s="2567" t="s">
        <v>807</v>
      </c>
      <c r="F79" s="2542"/>
      <c r="G79" s="801"/>
      <c r="H79" s="869" t="s">
        <v>2155</v>
      </c>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2"/>
      <c r="AK79" s="442"/>
      <c r="AL79" s="439"/>
      <c r="AM79" s="439"/>
      <c r="AN79" s="434"/>
    </row>
    <row r="80" spans="1:42" s="435" customFormat="1" ht="12.75" customHeight="1">
      <c r="A80" s="437"/>
      <c r="B80" s="439"/>
      <c r="C80" s="439"/>
      <c r="D80" s="450"/>
      <c r="E80" s="439"/>
      <c r="F80" s="439"/>
      <c r="G80" s="439"/>
      <c r="H80" s="439"/>
      <c r="I80" s="439"/>
      <c r="J80" s="439"/>
      <c r="K80" s="439"/>
      <c r="L80" s="439"/>
      <c r="M80" s="439"/>
      <c r="N80" s="439"/>
      <c r="O80" s="439"/>
      <c r="P80" s="439"/>
      <c r="Q80" s="439"/>
      <c r="R80" s="439"/>
      <c r="S80" s="439"/>
      <c r="T80" s="439"/>
      <c r="U80" s="439"/>
      <c r="V80" s="439"/>
      <c r="W80" s="439"/>
      <c r="X80" s="439"/>
      <c r="Y80" s="439"/>
      <c r="Z80" s="439"/>
      <c r="AA80" s="439"/>
      <c r="AB80" s="439"/>
      <c r="AC80" s="439"/>
      <c r="AD80" s="439"/>
      <c r="AE80" s="439"/>
      <c r="AF80" s="439"/>
      <c r="AG80" s="439"/>
      <c r="AH80" s="439"/>
      <c r="AI80" s="439"/>
      <c r="AJ80" s="439"/>
      <c r="AK80" s="442"/>
      <c r="AL80" s="439"/>
      <c r="AM80" s="439"/>
      <c r="AN80" s="434"/>
    </row>
    <row r="81" spans="1:43" s="435" customFormat="1" ht="12.75" customHeight="1">
      <c r="A81" s="437"/>
      <c r="B81" s="2542" t="s">
        <v>807</v>
      </c>
      <c r="C81" s="2542"/>
      <c r="D81" s="446" t="s">
        <v>2156</v>
      </c>
      <c r="E81" s="2469" t="s">
        <v>2157</v>
      </c>
      <c r="F81" s="2470"/>
      <c r="G81" s="2470"/>
      <c r="H81" s="2470"/>
      <c r="I81" s="2470"/>
      <c r="J81" s="2470"/>
      <c r="K81" s="2470"/>
      <c r="L81" s="2470"/>
      <c r="M81" s="2470"/>
      <c r="N81" s="2470"/>
      <c r="O81" s="2470"/>
      <c r="P81" s="2470"/>
      <c r="Q81" s="2470"/>
      <c r="R81" s="2470"/>
      <c r="S81" s="2470"/>
      <c r="T81" s="2470"/>
      <c r="U81" s="2470"/>
      <c r="V81" s="2470"/>
      <c r="W81" s="2470"/>
      <c r="X81" s="2470"/>
      <c r="Y81" s="2470"/>
      <c r="Z81" s="2470"/>
      <c r="AA81" s="2470"/>
      <c r="AB81" s="2470"/>
      <c r="AC81" s="2470"/>
      <c r="AD81" s="2470"/>
      <c r="AE81" s="2470"/>
      <c r="AF81" s="2470"/>
      <c r="AG81" s="2470"/>
      <c r="AH81" s="2470"/>
      <c r="AI81" s="2470"/>
      <c r="AJ81" s="2471"/>
      <c r="AK81" s="442"/>
      <c r="AL81" s="439"/>
      <c r="AM81" s="439"/>
      <c r="AN81" s="434"/>
    </row>
    <row r="82" spans="1:43" s="435" customFormat="1" ht="12.75" customHeight="1">
      <c r="A82" s="437"/>
      <c r="B82" s="439"/>
      <c r="C82" s="439"/>
      <c r="D82" s="449"/>
      <c r="E82" s="2494"/>
      <c r="F82" s="2495"/>
      <c r="G82" s="2495"/>
      <c r="H82" s="2495"/>
      <c r="I82" s="2495"/>
      <c r="J82" s="2495"/>
      <c r="K82" s="2495"/>
      <c r="L82" s="2495"/>
      <c r="M82" s="2495"/>
      <c r="N82" s="2495"/>
      <c r="O82" s="2495"/>
      <c r="P82" s="2495"/>
      <c r="Q82" s="2495"/>
      <c r="R82" s="2495"/>
      <c r="S82" s="2495"/>
      <c r="T82" s="2495"/>
      <c r="U82" s="2495"/>
      <c r="V82" s="2495"/>
      <c r="W82" s="2495"/>
      <c r="X82" s="2495"/>
      <c r="Y82" s="2495"/>
      <c r="Z82" s="2495"/>
      <c r="AA82" s="2495"/>
      <c r="AB82" s="2495"/>
      <c r="AC82" s="2495"/>
      <c r="AD82" s="2495"/>
      <c r="AE82" s="2495"/>
      <c r="AF82" s="2495"/>
      <c r="AG82" s="2495"/>
      <c r="AH82" s="2495"/>
      <c r="AI82" s="2495"/>
      <c r="AJ82" s="2496"/>
      <c r="AK82" s="442"/>
      <c r="AL82" s="439"/>
      <c r="AM82" s="439"/>
      <c r="AN82" s="434"/>
    </row>
    <row r="83" spans="1:43" s="435" customFormat="1" ht="12.75" customHeight="1">
      <c r="A83" s="437"/>
      <c r="B83" s="439"/>
      <c r="C83" s="439"/>
      <c r="D83" s="449"/>
      <c r="E83" s="439"/>
      <c r="F83" s="439"/>
      <c r="G83" s="439"/>
      <c r="H83" s="439"/>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39"/>
      <c r="AG83" s="439"/>
      <c r="AH83" s="439"/>
      <c r="AI83" s="439"/>
      <c r="AJ83" s="439"/>
      <c r="AK83" s="442"/>
      <c r="AL83" s="439"/>
      <c r="AM83" s="439"/>
      <c r="AN83" s="434"/>
    </row>
    <row r="84" spans="1:43" s="435" customFormat="1" ht="12.75" customHeight="1">
      <c r="A84" s="460"/>
      <c r="B84" s="461"/>
      <c r="C84" s="461"/>
      <c r="D84" s="461"/>
      <c r="E84" s="461"/>
      <c r="F84" s="461"/>
      <c r="G84" s="462"/>
      <c r="H84" s="463"/>
      <c r="I84" s="463"/>
      <c r="J84" s="463"/>
      <c r="K84" s="463"/>
      <c r="L84" s="463"/>
      <c r="M84" s="463"/>
      <c r="N84" s="463"/>
      <c r="O84" s="463"/>
      <c r="P84" s="463"/>
      <c r="Q84" s="463"/>
      <c r="R84" s="463"/>
      <c r="S84" s="463"/>
      <c r="T84" s="463"/>
      <c r="U84" s="463"/>
      <c r="V84" s="463"/>
      <c r="W84" s="463"/>
      <c r="X84" s="463"/>
      <c r="Y84" s="463"/>
      <c r="Z84" s="463"/>
      <c r="AA84" s="463"/>
      <c r="AB84" s="463"/>
      <c r="AC84" s="463"/>
      <c r="AD84" s="463"/>
      <c r="AE84" s="463"/>
      <c r="AF84" s="463"/>
      <c r="AG84" s="463"/>
      <c r="AH84" s="463"/>
      <c r="AI84" s="464"/>
      <c r="AJ84" s="464" t="s">
        <v>2158</v>
      </c>
      <c r="AK84" s="2515">
        <f>IF(AK62&gt;0,0,AO71)</f>
        <v>0</v>
      </c>
      <c r="AL84" s="2516"/>
      <c r="AM84" s="2517"/>
      <c r="AN84" s="434"/>
    </row>
    <row r="85" spans="1:43" s="435" customFormat="1" ht="12.75" customHeight="1" thickBot="1">
      <c r="A85" s="465"/>
      <c r="B85" s="466"/>
      <c r="C85" s="467"/>
      <c r="D85" s="467"/>
      <c r="E85" s="467"/>
      <c r="F85" s="467"/>
      <c r="G85" s="467"/>
      <c r="H85" s="467"/>
      <c r="I85" s="467"/>
      <c r="J85" s="467"/>
      <c r="K85" s="467"/>
      <c r="L85" s="467"/>
      <c r="M85" s="467"/>
      <c r="N85" s="467"/>
      <c r="O85" s="467"/>
      <c r="P85" s="467"/>
      <c r="Q85" s="467"/>
      <c r="R85" s="467"/>
      <c r="S85" s="467"/>
      <c r="T85" s="467"/>
      <c r="U85" s="467"/>
      <c r="V85" s="467"/>
      <c r="W85" s="467"/>
      <c r="X85" s="467"/>
      <c r="Y85" s="467"/>
      <c r="Z85" s="467"/>
      <c r="AA85" s="467"/>
      <c r="AB85" s="467"/>
      <c r="AC85" s="467"/>
      <c r="AD85" s="467"/>
      <c r="AE85" s="467"/>
      <c r="AF85" s="467"/>
      <c r="AG85" s="467"/>
      <c r="AH85" s="467"/>
      <c r="AI85" s="467"/>
      <c r="AJ85" s="467"/>
      <c r="AK85" s="467"/>
      <c r="AL85" s="467"/>
      <c r="AM85" s="468"/>
      <c r="AN85" s="434"/>
    </row>
    <row r="86" spans="1:43" s="435" customFormat="1" ht="12.75" customHeight="1" thickTop="1">
      <c r="A86" s="469"/>
      <c r="B86" s="470"/>
      <c r="C86" s="471"/>
      <c r="D86" s="471"/>
      <c r="E86" s="471"/>
      <c r="F86" s="471"/>
      <c r="G86" s="471"/>
      <c r="H86" s="471"/>
      <c r="I86" s="472"/>
      <c r="J86" s="472"/>
      <c r="K86" s="472"/>
      <c r="L86" s="472"/>
      <c r="M86" s="472"/>
      <c r="N86" s="472"/>
      <c r="O86" s="472"/>
      <c r="P86" s="472"/>
      <c r="Q86" s="472"/>
      <c r="R86" s="469"/>
      <c r="S86" s="438"/>
      <c r="T86" s="438"/>
      <c r="U86" s="438"/>
      <c r="V86" s="438"/>
      <c r="W86" s="438"/>
      <c r="X86" s="438"/>
      <c r="Y86" s="438"/>
      <c r="Z86" s="438"/>
      <c r="AA86" s="438"/>
      <c r="AB86" s="438"/>
      <c r="AC86" s="438"/>
      <c r="AD86" s="438"/>
      <c r="AE86" s="438"/>
      <c r="AF86" s="469"/>
      <c r="AG86" s="438"/>
      <c r="AH86" s="438"/>
      <c r="AI86" s="438"/>
      <c r="AJ86" s="438"/>
      <c r="AK86" s="449"/>
      <c r="AL86" s="449"/>
      <c r="AM86" s="449"/>
      <c r="AN86" s="434"/>
    </row>
    <row r="87" spans="1:43" s="435" customFormat="1" ht="12.75" customHeight="1">
      <c r="A87" s="437" t="s">
        <v>2159</v>
      </c>
      <c r="B87" s="438" t="s">
        <v>2160</v>
      </c>
      <c r="C87" s="438"/>
      <c r="D87" s="438"/>
      <c r="E87" s="438"/>
      <c r="F87" s="438"/>
      <c r="G87" s="438"/>
      <c r="H87" s="438"/>
      <c r="I87" s="438"/>
      <c r="J87" s="438"/>
      <c r="K87" s="438"/>
      <c r="L87" s="438"/>
      <c r="M87" s="438"/>
      <c r="N87" s="438"/>
      <c r="O87" s="438"/>
      <c r="P87" s="438"/>
      <c r="Q87" s="438"/>
      <c r="R87" s="438"/>
      <c r="S87" s="438"/>
      <c r="T87" s="438"/>
      <c r="U87" s="438"/>
      <c r="V87" s="438"/>
      <c r="W87" s="438"/>
      <c r="X87" s="438"/>
      <c r="Y87" s="438"/>
      <c r="Z87" s="438"/>
      <c r="AA87" s="438"/>
      <c r="AB87" s="438"/>
      <c r="AC87" s="438"/>
      <c r="AD87" s="438"/>
      <c r="AE87" s="2389" t="s">
        <v>2121</v>
      </c>
      <c r="AF87" s="2389"/>
      <c r="AG87" s="2389"/>
      <c r="AH87" s="2389"/>
      <c r="AI87" s="2389"/>
      <c r="AJ87" s="2389"/>
      <c r="AK87" s="2389"/>
      <c r="AL87" s="439"/>
      <c r="AM87" s="439"/>
      <c r="AN87" s="434"/>
    </row>
    <row r="88" spans="1:43" s="435" customFormat="1" ht="12.75" customHeight="1">
      <c r="A88" s="437"/>
      <c r="B88" s="438" t="s">
        <v>2161</v>
      </c>
      <c r="C88" s="438"/>
      <c r="D88" s="438"/>
      <c r="E88" s="438"/>
      <c r="F88" s="438"/>
      <c r="G88" s="438"/>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42"/>
      <c r="AF88" s="442"/>
      <c r="AG88" s="442"/>
      <c r="AH88" s="442"/>
      <c r="AI88" s="442"/>
      <c r="AJ88" s="442"/>
      <c r="AK88" s="442"/>
      <c r="AL88" s="439"/>
      <c r="AM88" s="439"/>
      <c r="AN88" s="434"/>
    </row>
    <row r="89" spans="1:43" s="435" customFormat="1" ht="12.75" customHeight="1">
      <c r="A89" s="437"/>
      <c r="B89" s="438"/>
      <c r="C89" s="438"/>
      <c r="D89" s="438"/>
      <c r="E89" s="438"/>
      <c r="F89" s="438"/>
      <c r="G89" s="438"/>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42"/>
      <c r="AF89" s="442"/>
      <c r="AG89" s="442"/>
      <c r="AH89" s="442"/>
      <c r="AI89" s="442"/>
      <c r="AJ89" s="442"/>
      <c r="AK89" s="442"/>
      <c r="AL89" s="439"/>
      <c r="AM89" s="439"/>
      <c r="AN89" s="434"/>
    </row>
    <row r="90" spans="1:43" s="435" customFormat="1" ht="12.75" customHeight="1">
      <c r="A90" s="437"/>
      <c r="B90" s="2542" t="s">
        <v>842</v>
      </c>
      <c r="C90" s="2542"/>
      <c r="D90" s="446" t="s">
        <v>2147</v>
      </c>
      <c r="E90" s="2534" t="s">
        <v>2162</v>
      </c>
      <c r="F90" s="2535"/>
      <c r="G90" s="2535"/>
      <c r="H90" s="2535"/>
      <c r="I90" s="2535"/>
      <c r="J90" s="2535"/>
      <c r="K90" s="2535"/>
      <c r="L90" s="2535"/>
      <c r="M90" s="2535"/>
      <c r="N90" s="2535"/>
      <c r="O90" s="2535"/>
      <c r="P90" s="2535"/>
      <c r="Q90" s="2535"/>
      <c r="R90" s="2535"/>
      <c r="S90" s="2535"/>
      <c r="T90" s="2535"/>
      <c r="U90" s="2535"/>
      <c r="V90" s="2535"/>
      <c r="W90" s="2535"/>
      <c r="X90" s="2535"/>
      <c r="Y90" s="2535"/>
      <c r="Z90" s="2535"/>
      <c r="AA90" s="2535"/>
      <c r="AB90" s="2535"/>
      <c r="AC90" s="2535"/>
      <c r="AD90" s="2535"/>
      <c r="AE90" s="2535"/>
      <c r="AF90" s="2535"/>
      <c r="AG90" s="2535"/>
      <c r="AH90" s="2535"/>
      <c r="AI90" s="2535"/>
      <c r="AJ90" s="2536"/>
      <c r="AK90" s="442"/>
      <c r="AL90" s="439"/>
      <c r="AM90" s="439"/>
      <c r="AN90" s="434"/>
    </row>
    <row r="91" spans="1:43" s="435" customFormat="1" ht="12.75" customHeight="1">
      <c r="A91" s="437"/>
      <c r="B91" s="438"/>
      <c r="C91" s="438"/>
      <c r="D91" s="438"/>
      <c r="E91" s="2537"/>
      <c r="F91" s="2538"/>
      <c r="G91" s="2538"/>
      <c r="H91" s="2538"/>
      <c r="I91" s="2538"/>
      <c r="J91" s="2538"/>
      <c r="K91" s="2538"/>
      <c r="L91" s="2538"/>
      <c r="M91" s="2538"/>
      <c r="N91" s="2538"/>
      <c r="O91" s="2538"/>
      <c r="P91" s="2538"/>
      <c r="Q91" s="2538"/>
      <c r="R91" s="2538"/>
      <c r="S91" s="2538"/>
      <c r="T91" s="2538"/>
      <c r="U91" s="2538"/>
      <c r="V91" s="2538"/>
      <c r="W91" s="2538"/>
      <c r="X91" s="2538"/>
      <c r="Y91" s="2538"/>
      <c r="Z91" s="2538"/>
      <c r="AA91" s="2538"/>
      <c r="AB91" s="2538"/>
      <c r="AC91" s="2538"/>
      <c r="AD91" s="2538"/>
      <c r="AE91" s="2538"/>
      <c r="AF91" s="2538"/>
      <c r="AG91" s="2538"/>
      <c r="AH91" s="2538"/>
      <c r="AI91" s="2538"/>
      <c r="AJ91" s="2539"/>
      <c r="AK91" s="442"/>
      <c r="AL91" s="439"/>
      <c r="AM91" s="439"/>
      <c r="AN91" s="434"/>
    </row>
    <row r="92" spans="1:43" s="435" customFormat="1" ht="12.75" customHeight="1">
      <c r="A92" s="437"/>
      <c r="B92" s="438"/>
      <c r="C92" s="438"/>
      <c r="D92" s="438"/>
      <c r="E92" s="475"/>
      <c r="F92" s="476"/>
      <c r="G92" s="476"/>
      <c r="H92" s="476"/>
      <c r="I92" s="476"/>
      <c r="J92" s="476"/>
      <c r="K92" s="476"/>
      <c r="L92" s="476"/>
      <c r="M92" s="476"/>
      <c r="N92" s="476"/>
      <c r="O92" s="476"/>
      <c r="P92" s="476"/>
      <c r="Q92" s="476"/>
      <c r="R92" s="476"/>
      <c r="S92" s="476"/>
      <c r="T92" s="476"/>
      <c r="U92" s="476"/>
      <c r="V92" s="476"/>
      <c r="W92" s="476"/>
      <c r="X92" s="476"/>
      <c r="Y92" s="476"/>
      <c r="Z92" s="477"/>
      <c r="AA92" s="477"/>
      <c r="AB92" s="477"/>
      <c r="AC92" s="476"/>
      <c r="AD92" s="476"/>
      <c r="AE92" s="476"/>
      <c r="AF92" s="476"/>
      <c r="AG92" s="476"/>
      <c r="AH92" s="476"/>
      <c r="AI92" s="476"/>
      <c r="AJ92" s="478"/>
      <c r="AK92" s="442"/>
      <c r="AL92" s="439"/>
      <c r="AM92" s="439"/>
      <c r="AN92" s="434"/>
    </row>
    <row r="93" spans="1:43" s="435" customFormat="1" ht="12.75" customHeight="1">
      <c r="A93" s="437"/>
      <c r="B93" s="438"/>
      <c r="C93" s="438"/>
      <c r="D93" s="438"/>
      <c r="E93" s="2530">
        <f>Application!AC753</f>
        <v>0.41153846153846152</v>
      </c>
      <c r="F93" s="2531"/>
      <c r="G93" s="2531"/>
      <c r="H93" s="2531"/>
      <c r="I93" s="476"/>
      <c r="J93" s="479" t="s">
        <v>2163</v>
      </c>
      <c r="K93" s="476"/>
      <c r="L93" s="476"/>
      <c r="M93" s="476"/>
      <c r="N93" s="476"/>
      <c r="O93" s="476"/>
      <c r="P93" s="476"/>
      <c r="Q93" s="476"/>
      <c r="R93" s="476"/>
      <c r="S93" s="476"/>
      <c r="T93" s="476"/>
      <c r="U93" s="476"/>
      <c r="V93" s="476"/>
      <c r="W93" s="476"/>
      <c r="X93" s="476"/>
      <c r="Y93" s="476"/>
      <c r="Z93" s="480"/>
      <c r="AA93" s="480"/>
      <c r="AB93" s="480"/>
      <c r="AC93" s="476"/>
      <c r="AD93" s="476"/>
      <c r="AE93" s="476"/>
      <c r="AF93" s="476"/>
      <c r="AG93" s="476"/>
      <c r="AH93" s="476"/>
      <c r="AI93" s="476"/>
      <c r="AJ93" s="478"/>
      <c r="AK93" s="442"/>
      <c r="AL93" s="439"/>
      <c r="AM93" s="439"/>
      <c r="AN93" s="434"/>
    </row>
    <row r="94" spans="1:43" s="435" customFormat="1" ht="12.75" customHeight="1">
      <c r="A94" s="437"/>
      <c r="B94" s="438"/>
      <c r="C94" s="438"/>
      <c r="D94" s="438"/>
      <c r="E94" s="2561">
        <f>0.6-ROUNDUP(E93,2)</f>
        <v>0.18</v>
      </c>
      <c r="F94" s="2336"/>
      <c r="G94" s="2336"/>
      <c r="H94" s="2336"/>
      <c r="I94" s="476"/>
      <c r="J94" s="479" t="s">
        <v>2164</v>
      </c>
      <c r="K94" s="476"/>
      <c r="L94" s="476"/>
      <c r="M94" s="476"/>
      <c r="N94" s="476"/>
      <c r="O94" s="476"/>
      <c r="P94" s="476"/>
      <c r="Q94" s="476"/>
      <c r="R94" s="476"/>
      <c r="S94" s="476"/>
      <c r="T94" s="476"/>
      <c r="U94" s="476"/>
      <c r="V94" s="476"/>
      <c r="W94" s="476"/>
      <c r="X94" s="476"/>
      <c r="Y94" s="476"/>
      <c r="Z94" s="476"/>
      <c r="AA94" s="476"/>
      <c r="AB94" s="476"/>
      <c r="AC94" s="476"/>
      <c r="AD94" s="476"/>
      <c r="AE94" s="476"/>
      <c r="AF94" s="476"/>
      <c r="AG94" s="476"/>
      <c r="AH94" s="476"/>
      <c r="AI94" s="476"/>
      <c r="AJ94" s="478"/>
      <c r="AK94" s="442"/>
      <c r="AL94" s="439"/>
      <c r="AM94" s="439"/>
      <c r="AN94" s="434"/>
    </row>
    <row r="95" spans="1:43" s="435" customFormat="1" ht="12.75" customHeight="1">
      <c r="A95" s="437"/>
      <c r="B95" s="438"/>
      <c r="C95" s="438"/>
      <c r="D95" s="438"/>
      <c r="E95" s="2546">
        <f>IF(E94*200&gt;20,20,E94*200)</f>
        <v>20</v>
      </c>
      <c r="F95" s="2547"/>
      <c r="G95" s="2547"/>
      <c r="H95" s="2547"/>
      <c r="I95" s="476"/>
      <c r="J95" s="479" t="s">
        <v>2165</v>
      </c>
      <c r="K95" s="476"/>
      <c r="L95" s="476"/>
      <c r="M95" s="476"/>
      <c r="N95" s="476"/>
      <c r="O95" s="476"/>
      <c r="P95" s="476"/>
      <c r="Q95" s="476"/>
      <c r="R95" s="476"/>
      <c r="S95" s="476"/>
      <c r="T95" s="476"/>
      <c r="U95" s="476"/>
      <c r="V95" s="476"/>
      <c r="W95" s="476"/>
      <c r="X95" s="476"/>
      <c r="Y95" s="476"/>
      <c r="Z95" s="476"/>
      <c r="AA95" s="476"/>
      <c r="AB95" s="476"/>
      <c r="AC95" s="476"/>
      <c r="AD95" s="476"/>
      <c r="AE95" s="476"/>
      <c r="AF95" s="476"/>
      <c r="AG95" s="476"/>
      <c r="AH95" s="476"/>
      <c r="AI95" s="476"/>
      <c r="AJ95" s="478"/>
      <c r="AK95" s="442"/>
      <c r="AL95" s="439"/>
      <c r="AM95" s="439"/>
      <c r="AN95" s="434"/>
      <c r="AP95" s="435">
        <f>IF(B90="yes",E95,0)</f>
        <v>20</v>
      </c>
      <c r="AQ95" s="435" t="s">
        <v>2127</v>
      </c>
    </row>
    <row r="96" spans="1:43" s="435" customFormat="1" ht="12.75" customHeight="1">
      <c r="A96" s="437"/>
      <c r="B96" s="438"/>
      <c r="C96" s="438"/>
      <c r="D96" s="438"/>
      <c r="E96" s="481"/>
      <c r="F96" s="482"/>
      <c r="G96" s="482"/>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3"/>
      <c r="AF96" s="483"/>
      <c r="AG96" s="483"/>
      <c r="AH96" s="483"/>
      <c r="AI96" s="483"/>
      <c r="AJ96" s="484"/>
      <c r="AK96" s="442"/>
      <c r="AL96" s="439"/>
      <c r="AM96" s="439"/>
      <c r="AN96" s="434"/>
    </row>
    <row r="97" spans="1:47" s="435" customFormat="1" ht="12.75" customHeight="1">
      <c r="A97" s="437"/>
      <c r="B97" s="438"/>
      <c r="C97" s="438"/>
      <c r="D97" s="438"/>
      <c r="E97" s="438"/>
      <c r="F97" s="438"/>
      <c r="G97" s="438"/>
      <c r="H97" s="438"/>
      <c r="I97" s="438"/>
      <c r="J97" s="438"/>
      <c r="K97" s="438"/>
      <c r="L97" s="438"/>
      <c r="M97" s="438"/>
      <c r="N97" s="438"/>
      <c r="O97" s="438"/>
      <c r="P97" s="438"/>
      <c r="Q97" s="438"/>
      <c r="R97" s="438"/>
      <c r="S97" s="438"/>
      <c r="T97" s="438"/>
      <c r="U97" s="438"/>
      <c r="V97" s="438"/>
      <c r="W97" s="438"/>
      <c r="X97" s="438"/>
      <c r="Y97" s="438"/>
      <c r="Z97" s="438"/>
      <c r="AA97" s="438"/>
      <c r="AB97" s="438"/>
      <c r="AC97" s="438"/>
      <c r="AD97" s="438"/>
      <c r="AE97" s="442"/>
      <c r="AF97" s="442"/>
      <c r="AG97" s="442"/>
      <c r="AH97" s="442"/>
      <c r="AI97" s="442"/>
      <c r="AJ97" s="442"/>
      <c r="AK97" s="442"/>
      <c r="AL97" s="439"/>
      <c r="AM97" s="439"/>
      <c r="AN97" s="434"/>
    </row>
    <row r="98" spans="1:47" s="435" customFormat="1" ht="12.75" customHeight="1">
      <c r="A98" s="437"/>
      <c r="B98" s="2542" t="s">
        <v>842</v>
      </c>
      <c r="C98" s="2542"/>
      <c r="D98" s="446" t="s">
        <v>2150</v>
      </c>
      <c r="E98" s="2534" t="s">
        <v>2166</v>
      </c>
      <c r="F98" s="2535"/>
      <c r="G98" s="2535"/>
      <c r="H98" s="2535"/>
      <c r="I98" s="2535"/>
      <c r="J98" s="2535"/>
      <c r="K98" s="2535"/>
      <c r="L98" s="2535"/>
      <c r="M98" s="2535"/>
      <c r="N98" s="2535"/>
      <c r="O98" s="2535"/>
      <c r="P98" s="2535"/>
      <c r="Q98" s="2535"/>
      <c r="R98" s="2535"/>
      <c r="S98" s="2535"/>
      <c r="T98" s="2535"/>
      <c r="U98" s="2535"/>
      <c r="V98" s="2535"/>
      <c r="W98" s="2535"/>
      <c r="X98" s="2535"/>
      <c r="Y98" s="2535"/>
      <c r="Z98" s="2535"/>
      <c r="AA98" s="2535"/>
      <c r="AB98" s="2535"/>
      <c r="AC98" s="2535"/>
      <c r="AD98" s="2535"/>
      <c r="AE98" s="2535"/>
      <c r="AF98" s="2535"/>
      <c r="AG98" s="2535"/>
      <c r="AH98" s="2535"/>
      <c r="AI98" s="2535"/>
      <c r="AJ98" s="2536"/>
      <c r="AK98" s="442"/>
      <c r="AL98" s="439"/>
      <c r="AM98" s="439"/>
      <c r="AN98" s="434"/>
    </row>
    <row r="99" spans="1:47" s="435" customFormat="1" ht="12.75" customHeight="1">
      <c r="A99" s="437"/>
      <c r="B99" s="438"/>
      <c r="C99" s="438"/>
      <c r="D99" s="438"/>
      <c r="E99" s="2537"/>
      <c r="F99" s="2538"/>
      <c r="G99" s="2538"/>
      <c r="H99" s="2538"/>
      <c r="I99" s="2538"/>
      <c r="J99" s="2538"/>
      <c r="K99" s="2538"/>
      <c r="L99" s="2538"/>
      <c r="M99" s="2538"/>
      <c r="N99" s="2538"/>
      <c r="O99" s="2538"/>
      <c r="P99" s="2538"/>
      <c r="Q99" s="2538"/>
      <c r="R99" s="2538"/>
      <c r="S99" s="2538"/>
      <c r="T99" s="2538"/>
      <c r="U99" s="2538"/>
      <c r="V99" s="2538"/>
      <c r="W99" s="2538"/>
      <c r="X99" s="2538"/>
      <c r="Y99" s="2538"/>
      <c r="Z99" s="2538"/>
      <c r="AA99" s="2538"/>
      <c r="AB99" s="2538"/>
      <c r="AC99" s="2538"/>
      <c r="AD99" s="2538"/>
      <c r="AE99" s="2538"/>
      <c r="AF99" s="2538"/>
      <c r="AG99" s="2538"/>
      <c r="AH99" s="2538"/>
      <c r="AI99" s="2538"/>
      <c r="AJ99" s="2539"/>
      <c r="AK99" s="442"/>
      <c r="AL99" s="439"/>
      <c r="AM99" s="439"/>
      <c r="AN99" s="434"/>
    </row>
    <row r="100" spans="1:47" s="435" customFormat="1" ht="12.75" customHeight="1">
      <c r="A100" s="437"/>
      <c r="B100" s="438"/>
      <c r="C100" s="438"/>
      <c r="D100" s="438"/>
      <c r="E100" s="2537"/>
      <c r="F100" s="2538"/>
      <c r="G100" s="2538"/>
      <c r="H100" s="2538"/>
      <c r="I100" s="2538"/>
      <c r="J100" s="2538"/>
      <c r="K100" s="2538"/>
      <c r="L100" s="2538"/>
      <c r="M100" s="2538"/>
      <c r="N100" s="2538"/>
      <c r="O100" s="2538"/>
      <c r="P100" s="2538"/>
      <c r="Q100" s="2538"/>
      <c r="R100" s="2538"/>
      <c r="S100" s="2538"/>
      <c r="T100" s="2538"/>
      <c r="U100" s="2538"/>
      <c r="V100" s="2538"/>
      <c r="W100" s="2538"/>
      <c r="X100" s="2538"/>
      <c r="Y100" s="2538"/>
      <c r="Z100" s="2538"/>
      <c r="AA100" s="2538"/>
      <c r="AB100" s="2538"/>
      <c r="AC100" s="2538"/>
      <c r="AD100" s="2538"/>
      <c r="AE100" s="2538"/>
      <c r="AF100" s="2538"/>
      <c r="AG100" s="2538"/>
      <c r="AH100" s="2538"/>
      <c r="AI100" s="2538"/>
      <c r="AJ100" s="2539"/>
      <c r="AK100" s="442"/>
      <c r="AL100" s="439"/>
      <c r="AM100" s="439"/>
      <c r="AN100" s="434"/>
    </row>
    <row r="101" spans="1:47" s="435" customFormat="1" ht="12.75" customHeight="1">
      <c r="A101" s="437"/>
      <c r="B101" s="438"/>
      <c r="C101" s="438"/>
      <c r="D101" s="438"/>
      <c r="E101" s="2537"/>
      <c r="F101" s="2538"/>
      <c r="G101" s="2538"/>
      <c r="H101" s="2538"/>
      <c r="I101" s="2538"/>
      <c r="J101" s="2538"/>
      <c r="K101" s="2538"/>
      <c r="L101" s="2538"/>
      <c r="M101" s="2538"/>
      <c r="N101" s="2538"/>
      <c r="O101" s="2538"/>
      <c r="P101" s="2538"/>
      <c r="Q101" s="2538"/>
      <c r="R101" s="2538"/>
      <c r="S101" s="2538"/>
      <c r="T101" s="2538"/>
      <c r="U101" s="2538"/>
      <c r="V101" s="2538"/>
      <c r="W101" s="2538"/>
      <c r="X101" s="2538"/>
      <c r="Y101" s="2538"/>
      <c r="Z101" s="2538"/>
      <c r="AA101" s="2538"/>
      <c r="AB101" s="2538"/>
      <c r="AC101" s="2538"/>
      <c r="AD101" s="2538"/>
      <c r="AE101" s="2538"/>
      <c r="AF101" s="2538"/>
      <c r="AG101" s="2538"/>
      <c r="AH101" s="2538"/>
      <c r="AI101" s="2538"/>
      <c r="AJ101" s="2539"/>
      <c r="AK101" s="442"/>
      <c r="AL101" s="439"/>
      <c r="AM101" s="439"/>
      <c r="AN101" s="434"/>
    </row>
    <row r="102" spans="1:47" s="435" customFormat="1" ht="12.75" customHeight="1">
      <c r="A102" s="437"/>
      <c r="B102" s="438"/>
      <c r="C102" s="438"/>
      <c r="D102" s="438"/>
      <c r="E102" s="485"/>
      <c r="F102" s="452"/>
      <c r="G102" s="452"/>
      <c r="H102" s="452"/>
      <c r="I102" s="452"/>
      <c r="J102" s="452"/>
      <c r="K102" s="452"/>
      <c r="L102" s="452"/>
      <c r="M102" s="452"/>
      <c r="N102" s="452"/>
      <c r="O102" s="452"/>
      <c r="P102" s="452"/>
      <c r="Q102" s="452"/>
      <c r="R102" s="452"/>
      <c r="S102" s="452"/>
      <c r="T102" s="452"/>
      <c r="U102" s="452"/>
      <c r="V102" s="452"/>
      <c r="W102" s="452"/>
      <c r="X102" s="452"/>
      <c r="Y102" s="452"/>
      <c r="Z102" s="452"/>
      <c r="AA102" s="452"/>
      <c r="AB102" s="452"/>
      <c r="AC102" s="452"/>
      <c r="AD102" s="452"/>
      <c r="AE102" s="452"/>
      <c r="AF102" s="452"/>
      <c r="AG102" s="452"/>
      <c r="AH102" s="452"/>
      <c r="AI102" s="452"/>
      <c r="AJ102" s="453"/>
      <c r="AK102" s="442"/>
      <c r="AL102" s="439"/>
      <c r="AM102" s="439"/>
      <c r="AN102" s="434"/>
    </row>
    <row r="103" spans="1:47" s="435" customFormat="1" ht="12.75" customHeight="1">
      <c r="A103" s="437"/>
      <c r="B103" s="438"/>
      <c r="C103" s="438"/>
      <c r="D103" s="438"/>
      <c r="E103" s="2530">
        <f>Application!AC753</f>
        <v>0.41153846153846152</v>
      </c>
      <c r="F103" s="2531"/>
      <c r="G103" s="2531"/>
      <c r="H103" s="2531"/>
      <c r="I103" s="476"/>
      <c r="J103" s="479" t="s">
        <v>2163</v>
      </c>
      <c r="K103" s="476"/>
      <c r="L103" s="476"/>
      <c r="M103" s="476"/>
      <c r="N103" s="476"/>
      <c r="O103" s="476"/>
      <c r="P103" s="476"/>
      <c r="Q103" s="476"/>
      <c r="R103" s="452"/>
      <c r="S103" s="452"/>
      <c r="T103" s="452"/>
      <c r="U103" s="452"/>
      <c r="V103" s="452"/>
      <c r="W103" s="452"/>
      <c r="X103" s="452"/>
      <c r="Y103" s="452"/>
      <c r="Z103" s="452"/>
      <c r="AA103" s="452"/>
      <c r="AB103" s="452"/>
      <c r="AC103" s="452"/>
      <c r="AD103" s="452"/>
      <c r="AE103" s="452"/>
      <c r="AF103" s="452"/>
      <c r="AG103" s="452"/>
      <c r="AH103" s="452"/>
      <c r="AI103" s="452"/>
      <c r="AJ103" s="453"/>
      <c r="AK103" s="442"/>
      <c r="AL103" s="439"/>
      <c r="AM103" s="439"/>
      <c r="AN103" s="434"/>
    </row>
    <row r="104" spans="1:47" s="435" customFormat="1" ht="12.75" customHeight="1">
      <c r="A104" s="437"/>
      <c r="B104" s="438"/>
      <c r="C104" s="438"/>
      <c r="D104" s="438"/>
      <c r="E104" s="2530">
        <f ca="1">SUMIF(Application!AC718:AG752,0.2,Application!G718:J752)/Application!G753+SUMIF(Application!AC718:AG752,0.25,Application!G718:J752)/Application!G753+SUMIF(Application!AC718:AG752,0.3,Application!G718:J752)/Application!G753</f>
        <v>0.41025641025641024</v>
      </c>
      <c r="F104" s="2531"/>
      <c r="G104" s="2531"/>
      <c r="H104" s="2531"/>
      <c r="I104" s="476"/>
      <c r="J104" s="479" t="s">
        <v>2167</v>
      </c>
      <c r="K104" s="476"/>
      <c r="L104" s="476"/>
      <c r="M104" s="476"/>
      <c r="N104" s="476"/>
      <c r="O104" s="476"/>
      <c r="P104" s="476"/>
      <c r="Q104" s="476"/>
      <c r="R104" s="452"/>
      <c r="S104" s="452"/>
      <c r="T104" s="452"/>
      <c r="U104" s="452"/>
      <c r="V104" s="452"/>
      <c r="W104" s="452"/>
      <c r="X104" s="452"/>
      <c r="Y104" s="452"/>
      <c r="Z104" s="452"/>
      <c r="AA104" s="452"/>
      <c r="AB104" s="452"/>
      <c r="AC104" s="452"/>
      <c r="AD104" s="452"/>
      <c r="AE104" s="452"/>
      <c r="AF104" s="452"/>
      <c r="AG104" s="452"/>
      <c r="AH104" s="452"/>
      <c r="AI104" s="452"/>
      <c r="AJ104" s="453"/>
      <c r="AK104" s="442"/>
      <c r="AL104" s="439"/>
      <c r="AM104" s="439"/>
      <c r="AN104" s="434"/>
      <c r="AU104" s="760"/>
    </row>
    <row r="105" spans="1:47" s="435" customFormat="1" ht="12.75" customHeight="1">
      <c r="A105" s="437"/>
      <c r="B105" s="438"/>
      <c r="C105" s="438"/>
      <c r="D105" s="438"/>
      <c r="E105" s="2530">
        <f ca="1">SUMIF(Application!AC718:AG752,0.35,Application!G718:J752)/Application!G753+SUMIF(Application!AC718:AG752,0.4,Application!G718:J752)/Application!G753+SUMIF(Application!AC718:AG752,0.45,Application!G718:J752)/Application!G753+SUMIF(Application!AC718:AG752,0.5,Application!G718:J752)/Application!G753</f>
        <v>0.35897435897435898</v>
      </c>
      <c r="F105" s="2531"/>
      <c r="G105" s="2531"/>
      <c r="H105" s="2531"/>
      <c r="I105" s="476"/>
      <c r="J105" s="479" t="s">
        <v>2168</v>
      </c>
      <c r="K105" s="476"/>
      <c r="L105" s="476"/>
      <c r="M105" s="476"/>
      <c r="N105" s="476"/>
      <c r="O105" s="476"/>
      <c r="P105" s="476"/>
      <c r="Q105" s="476"/>
      <c r="R105" s="452"/>
      <c r="S105" s="452"/>
      <c r="T105" s="452"/>
      <c r="U105" s="452"/>
      <c r="V105" s="452"/>
      <c r="W105" s="452"/>
      <c r="X105" s="452"/>
      <c r="Y105" s="452"/>
      <c r="Z105" s="452"/>
      <c r="AA105" s="452"/>
      <c r="AB105" s="452"/>
      <c r="AC105" s="452"/>
      <c r="AD105" s="452"/>
      <c r="AE105" s="452"/>
      <c r="AF105" s="452"/>
      <c r="AG105" s="452"/>
      <c r="AH105" s="452"/>
      <c r="AI105" s="452"/>
      <c r="AJ105" s="453"/>
      <c r="AK105" s="442"/>
      <c r="AL105" s="439"/>
      <c r="AM105" s="439"/>
      <c r="AN105" s="434"/>
      <c r="AU105" s="760"/>
    </row>
    <row r="106" spans="1:47" s="435" customFormat="1" ht="12.75" customHeight="1">
      <c r="A106" s="437"/>
      <c r="B106" s="438"/>
      <c r="C106" s="438"/>
      <c r="D106" s="438"/>
      <c r="E106" s="2528">
        <f ca="1">IF(AND(E103&lt;=0.6,OR(AND(E104&gt;=0.1,E105&gt;=0.1),AND(E104&gt;0.1,(E104+E105)&gt;=0.2))),20,0)</f>
        <v>20</v>
      </c>
      <c r="F106" s="2529"/>
      <c r="G106" s="2529"/>
      <c r="H106" s="2529"/>
      <c r="I106" s="452"/>
      <c r="J106" s="486" t="s">
        <v>2165</v>
      </c>
      <c r="K106" s="452"/>
      <c r="L106" s="452"/>
      <c r="M106" s="452"/>
      <c r="N106" s="452"/>
      <c r="O106" s="452"/>
      <c r="P106" s="452"/>
      <c r="Q106" s="452"/>
      <c r="R106" s="452"/>
      <c r="S106" s="452"/>
      <c r="T106" s="452"/>
      <c r="U106" s="452"/>
      <c r="V106" s="452"/>
      <c r="W106" s="452"/>
      <c r="X106" s="452"/>
      <c r="Y106" s="452"/>
      <c r="Z106" s="452"/>
      <c r="AA106" s="452"/>
      <c r="AB106" s="452"/>
      <c r="AC106" s="452"/>
      <c r="AD106" s="452"/>
      <c r="AE106" s="452"/>
      <c r="AF106" s="452"/>
      <c r="AG106" s="452"/>
      <c r="AH106" s="452"/>
      <c r="AI106" s="452"/>
      <c r="AJ106" s="453"/>
      <c r="AK106" s="442"/>
      <c r="AL106" s="439"/>
      <c r="AM106" s="439"/>
      <c r="AN106" s="434"/>
      <c r="AP106" s="435">
        <f ca="1">IF(B98="yes",E106,0)</f>
        <v>20</v>
      </c>
      <c r="AQ106" s="435" t="s">
        <v>2127</v>
      </c>
    </row>
    <row r="107" spans="1:47" s="435" customFormat="1" ht="12.75" customHeight="1">
      <c r="A107" s="437"/>
      <c r="B107" s="438"/>
      <c r="C107" s="438"/>
      <c r="D107" s="438"/>
      <c r="E107" s="481"/>
      <c r="F107" s="482"/>
      <c r="G107" s="482"/>
      <c r="H107" s="482"/>
      <c r="I107" s="482"/>
      <c r="J107" s="482"/>
      <c r="K107" s="482"/>
      <c r="L107" s="482"/>
      <c r="M107" s="482"/>
      <c r="N107" s="482"/>
      <c r="O107" s="482"/>
      <c r="P107" s="482"/>
      <c r="Q107" s="482"/>
      <c r="R107" s="482"/>
      <c r="S107" s="482"/>
      <c r="T107" s="482"/>
      <c r="U107" s="482"/>
      <c r="V107" s="482"/>
      <c r="W107" s="482"/>
      <c r="X107" s="482"/>
      <c r="Y107" s="482"/>
      <c r="Z107" s="482"/>
      <c r="AA107" s="482"/>
      <c r="AB107" s="482"/>
      <c r="AC107" s="482"/>
      <c r="AD107" s="482"/>
      <c r="AE107" s="483"/>
      <c r="AF107" s="483"/>
      <c r="AG107" s="483"/>
      <c r="AH107" s="483"/>
      <c r="AI107" s="483"/>
      <c r="AJ107" s="484"/>
      <c r="AK107" s="442"/>
      <c r="AL107" s="439"/>
      <c r="AM107" s="439"/>
      <c r="AN107" s="434"/>
    </row>
    <row r="108" spans="1:47" s="435" customFormat="1" ht="12.75" customHeight="1">
      <c r="A108" s="437"/>
      <c r="B108" s="438"/>
      <c r="C108" s="438"/>
      <c r="D108" s="438"/>
      <c r="E108" s="438"/>
      <c r="F108" s="438"/>
      <c r="G108" s="438"/>
      <c r="H108" s="438"/>
      <c r="I108" s="438"/>
      <c r="J108" s="438"/>
      <c r="K108" s="438"/>
      <c r="L108" s="438"/>
      <c r="M108" s="438"/>
      <c r="N108" s="438"/>
      <c r="O108" s="438"/>
      <c r="P108" s="438"/>
      <c r="Q108" s="438"/>
      <c r="R108" s="438"/>
      <c r="S108" s="438"/>
      <c r="T108" s="438"/>
      <c r="U108" s="438"/>
      <c r="V108" s="438"/>
      <c r="W108" s="438"/>
      <c r="X108" s="438"/>
      <c r="Y108" s="438"/>
      <c r="Z108" s="438"/>
      <c r="AA108" s="438"/>
      <c r="AB108" s="438"/>
      <c r="AC108" s="438"/>
      <c r="AD108" s="438"/>
      <c r="AE108" s="442"/>
      <c r="AF108" s="442"/>
      <c r="AG108" s="442"/>
      <c r="AH108" s="442"/>
      <c r="AI108" s="442"/>
      <c r="AJ108" s="442"/>
      <c r="AK108" s="442"/>
      <c r="AL108" s="439"/>
      <c r="AM108" s="439"/>
      <c r="AN108" s="434"/>
    </row>
    <row r="109" spans="1:47" s="435" customFormat="1" ht="12.75" customHeight="1">
      <c r="A109" s="460"/>
      <c r="B109" s="461"/>
      <c r="C109" s="461"/>
      <c r="D109" s="461"/>
      <c r="E109" s="461"/>
      <c r="F109" s="461"/>
      <c r="G109" s="462"/>
      <c r="H109" s="463"/>
      <c r="I109" s="463"/>
      <c r="J109" s="463"/>
      <c r="K109" s="463"/>
      <c r="L109" s="463"/>
      <c r="M109" s="463"/>
      <c r="N109" s="463"/>
      <c r="O109" s="463"/>
      <c r="P109" s="463"/>
      <c r="Q109" s="463"/>
      <c r="R109" s="463"/>
      <c r="S109" s="463"/>
      <c r="T109" s="463"/>
      <c r="U109" s="463"/>
      <c r="V109" s="463"/>
      <c r="W109" s="463"/>
      <c r="X109" s="463"/>
      <c r="Y109" s="463"/>
      <c r="Z109" s="463"/>
      <c r="AA109" s="463"/>
      <c r="AB109" s="463"/>
      <c r="AC109" s="463"/>
      <c r="AD109" s="463"/>
      <c r="AE109" s="463"/>
      <c r="AF109" s="463"/>
      <c r="AG109" s="463"/>
      <c r="AH109" s="463"/>
      <c r="AI109" s="464"/>
      <c r="AJ109" s="464" t="s">
        <v>2169</v>
      </c>
      <c r="AK109" s="2515">
        <f ca="1">MAX(AP95,AP106)</f>
        <v>20</v>
      </c>
      <c r="AL109" s="2516"/>
      <c r="AM109" s="2517"/>
      <c r="AN109" s="434"/>
    </row>
    <row r="110" spans="1:47" s="435" customFormat="1" ht="12.75" customHeight="1" thickBot="1">
      <c r="A110" s="465"/>
      <c r="B110" s="466"/>
      <c r="C110" s="467"/>
      <c r="D110" s="467"/>
      <c r="E110" s="467"/>
      <c r="F110" s="467"/>
      <c r="G110" s="467"/>
      <c r="H110" s="467"/>
      <c r="I110" s="467"/>
      <c r="J110" s="467"/>
      <c r="K110" s="467"/>
      <c r="L110" s="467"/>
      <c r="M110" s="467"/>
      <c r="N110" s="467"/>
      <c r="O110" s="467"/>
      <c r="P110" s="467"/>
      <c r="Q110" s="467"/>
      <c r="R110" s="467"/>
      <c r="S110" s="467"/>
      <c r="T110" s="467"/>
      <c r="U110" s="467"/>
      <c r="V110" s="467"/>
      <c r="W110" s="467"/>
      <c r="X110" s="467"/>
      <c r="Y110" s="467"/>
      <c r="Z110" s="467"/>
      <c r="AA110" s="467"/>
      <c r="AB110" s="467"/>
      <c r="AC110" s="467"/>
      <c r="AD110" s="467"/>
      <c r="AE110" s="467"/>
      <c r="AF110" s="467"/>
      <c r="AG110" s="467"/>
      <c r="AH110" s="467"/>
      <c r="AI110" s="467"/>
      <c r="AJ110" s="467"/>
      <c r="AK110" s="467"/>
      <c r="AL110" s="467"/>
      <c r="AM110" s="468"/>
      <c r="AN110" s="434"/>
    </row>
    <row r="111" spans="1:47" s="435" customFormat="1" ht="12.75" customHeight="1" thickTop="1">
      <c r="A111" s="469"/>
      <c r="B111" s="470"/>
      <c r="C111" s="471"/>
      <c r="D111" s="471"/>
      <c r="E111" s="471"/>
      <c r="F111" s="471"/>
      <c r="G111" s="471"/>
      <c r="H111" s="471"/>
      <c r="I111" s="472"/>
      <c r="J111" s="472"/>
      <c r="K111" s="472"/>
      <c r="L111" s="472"/>
      <c r="M111" s="472"/>
      <c r="N111" s="472"/>
      <c r="O111" s="472"/>
      <c r="P111" s="472"/>
      <c r="Q111" s="472"/>
      <c r="R111" s="469"/>
      <c r="S111" s="438"/>
      <c r="T111" s="438"/>
      <c r="U111" s="438"/>
      <c r="V111" s="438"/>
      <c r="W111" s="438"/>
      <c r="X111" s="438"/>
      <c r="Y111" s="438"/>
      <c r="Z111" s="438"/>
      <c r="AA111" s="438"/>
      <c r="AB111" s="438"/>
      <c r="AC111" s="438"/>
      <c r="AD111" s="438"/>
      <c r="AE111" s="438"/>
      <c r="AF111" s="469"/>
      <c r="AG111" s="438"/>
      <c r="AH111" s="438"/>
      <c r="AI111" s="438"/>
      <c r="AJ111" s="438"/>
      <c r="AK111" s="449"/>
      <c r="AL111" s="449"/>
      <c r="AM111" s="449"/>
      <c r="AN111" s="434"/>
    </row>
    <row r="112" spans="1:47" s="435" customFormat="1" ht="12.75" customHeight="1">
      <c r="A112" s="437" t="s">
        <v>2170</v>
      </c>
      <c r="B112" s="438" t="s">
        <v>2171</v>
      </c>
      <c r="C112" s="438"/>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38"/>
      <c r="AE112" s="2389" t="s">
        <v>2145</v>
      </c>
      <c r="AF112" s="2389"/>
      <c r="AG112" s="2389"/>
      <c r="AH112" s="2389"/>
      <c r="AI112" s="2389"/>
      <c r="AJ112" s="2389"/>
      <c r="AK112" s="2389"/>
      <c r="AL112" s="439"/>
      <c r="AM112" s="439"/>
      <c r="AN112" s="434"/>
      <c r="AO112" s="435" t="str">
        <f>Application!B718</f>
        <v>1 Bedroom</v>
      </c>
      <c r="AQ112" s="435">
        <f>Application!O718</f>
        <v>654</v>
      </c>
    </row>
    <row r="113" spans="1:52" s="435" customFormat="1" ht="12.75" customHeight="1">
      <c r="A113" s="439"/>
      <c r="B113" s="438" t="s">
        <v>2161</v>
      </c>
      <c r="C113" s="438"/>
      <c r="D113" s="438"/>
      <c r="E113" s="438"/>
      <c r="F113" s="438"/>
      <c r="G113" s="438"/>
      <c r="H113" s="438"/>
      <c r="I113" s="438"/>
      <c r="J113" s="438"/>
      <c r="K113" s="438"/>
      <c r="L113" s="438"/>
      <c r="M113" s="438"/>
      <c r="N113" s="438"/>
      <c r="O113" s="438"/>
      <c r="P113" s="438"/>
      <c r="Q113" s="438"/>
      <c r="R113" s="438"/>
      <c r="S113" s="438"/>
      <c r="T113" s="438"/>
      <c r="U113" s="438"/>
      <c r="V113" s="438"/>
      <c r="W113" s="438"/>
      <c r="X113" s="438"/>
      <c r="Y113" s="438"/>
      <c r="Z113" s="438"/>
      <c r="AA113" s="438"/>
      <c r="AB113" s="438"/>
      <c r="AC113" s="438"/>
      <c r="AD113" s="438"/>
      <c r="AE113" s="442"/>
      <c r="AF113" s="442"/>
      <c r="AG113" s="442"/>
      <c r="AH113" s="442"/>
      <c r="AI113" s="442"/>
      <c r="AJ113" s="442"/>
      <c r="AK113" s="439"/>
      <c r="AL113" s="439"/>
      <c r="AM113" s="439"/>
      <c r="AN113" s="434"/>
      <c r="AO113" s="435" t="str">
        <f>Application!B719</f>
        <v>2 Bedrooms</v>
      </c>
      <c r="AQ113" s="435">
        <f>Application!O719</f>
        <v>718</v>
      </c>
    </row>
    <row r="114" spans="1:52" s="435" customFormat="1" ht="12.75" customHeight="1">
      <c r="A114" s="439"/>
      <c r="B114" s="438"/>
      <c r="C114" s="438"/>
      <c r="D114" s="438"/>
      <c r="E114" s="476"/>
      <c r="F114" s="476"/>
      <c r="G114" s="476"/>
      <c r="H114" s="476"/>
      <c r="I114" s="476"/>
      <c r="J114" s="476"/>
      <c r="K114" s="476"/>
      <c r="L114" s="476"/>
      <c r="M114" s="476"/>
      <c r="N114" s="476"/>
      <c r="O114" s="476"/>
      <c r="P114" s="476"/>
      <c r="Q114" s="476"/>
      <c r="R114" s="476"/>
      <c r="S114" s="476"/>
      <c r="T114" s="476"/>
      <c r="U114" s="476"/>
      <c r="V114" s="476"/>
      <c r="W114" s="476"/>
      <c r="X114" s="476"/>
      <c r="Y114" s="476"/>
      <c r="Z114" s="476"/>
      <c r="AA114" s="476"/>
      <c r="AB114" s="476"/>
      <c r="AC114" s="476"/>
      <c r="AD114" s="476"/>
      <c r="AE114" s="476"/>
      <c r="AF114" s="476"/>
      <c r="AG114" s="476"/>
      <c r="AH114" s="476"/>
      <c r="AI114" s="476"/>
      <c r="AJ114" s="476"/>
      <c r="AK114" s="439"/>
      <c r="AL114" s="439"/>
      <c r="AM114" s="439"/>
      <c r="AN114" s="434"/>
      <c r="AO114" s="435" t="str">
        <f>Application!B720</f>
        <v>3 Bedrooms</v>
      </c>
      <c r="AQ114" s="435">
        <f>Application!O720</f>
        <v>855</v>
      </c>
    </row>
    <row r="115" spans="1:52" s="435" customFormat="1" ht="12.75" customHeight="1">
      <c r="A115" s="439"/>
      <c r="B115" s="2542" t="s">
        <v>842</v>
      </c>
      <c r="C115" s="2542"/>
      <c r="D115" s="446" t="s">
        <v>2147</v>
      </c>
      <c r="E115" s="2534" t="s">
        <v>2172</v>
      </c>
      <c r="F115" s="2535"/>
      <c r="G115" s="2535"/>
      <c r="H115" s="2535"/>
      <c r="I115" s="2535"/>
      <c r="J115" s="2535"/>
      <c r="K115" s="2535"/>
      <c r="L115" s="2535"/>
      <c r="M115" s="2535"/>
      <c r="N115" s="2535"/>
      <c r="O115" s="2535"/>
      <c r="P115" s="2535"/>
      <c r="Q115" s="2535"/>
      <c r="R115" s="2535"/>
      <c r="S115" s="2535"/>
      <c r="T115" s="2535"/>
      <c r="U115" s="2535"/>
      <c r="V115" s="2535"/>
      <c r="W115" s="2535"/>
      <c r="X115" s="2535"/>
      <c r="Y115" s="2535"/>
      <c r="Z115" s="2535"/>
      <c r="AA115" s="2535"/>
      <c r="AB115" s="2535"/>
      <c r="AC115" s="2535"/>
      <c r="AD115" s="2535"/>
      <c r="AE115" s="2535"/>
      <c r="AF115" s="2535"/>
      <c r="AG115" s="2535"/>
      <c r="AH115" s="2535"/>
      <c r="AI115" s="2535"/>
      <c r="AJ115" s="2536"/>
      <c r="AK115" s="439"/>
      <c r="AL115" s="439"/>
      <c r="AM115" s="439"/>
      <c r="AN115" s="434"/>
      <c r="AO115" s="435" t="str">
        <f>Application!B721</f>
        <v>1 Bedroom</v>
      </c>
      <c r="AQ115" s="435">
        <f>Application!O721</f>
        <v>654</v>
      </c>
      <c r="AU115" s="435" t="s">
        <v>2173</v>
      </c>
      <c r="AV115" s="494" t="s">
        <v>1678</v>
      </c>
      <c r="AW115" s="435" t="s">
        <v>2174</v>
      </c>
    </row>
    <row r="116" spans="1:52" s="435" customFormat="1" ht="12.75" customHeight="1">
      <c r="A116" s="439"/>
      <c r="B116" s="438"/>
      <c r="C116" s="438"/>
      <c r="D116" s="438"/>
      <c r="E116" s="2537"/>
      <c r="F116" s="2538"/>
      <c r="G116" s="2538"/>
      <c r="H116" s="2538"/>
      <c r="I116" s="2538"/>
      <c r="J116" s="2538"/>
      <c r="K116" s="2538"/>
      <c r="L116" s="2538"/>
      <c r="M116" s="2538"/>
      <c r="N116" s="2538"/>
      <c r="O116" s="2538"/>
      <c r="P116" s="2538"/>
      <c r="Q116" s="2538"/>
      <c r="R116" s="2538"/>
      <c r="S116" s="2538"/>
      <c r="T116" s="2538"/>
      <c r="U116" s="2538"/>
      <c r="V116" s="2538"/>
      <c r="W116" s="2538"/>
      <c r="X116" s="2538"/>
      <c r="Y116" s="2538"/>
      <c r="Z116" s="2538"/>
      <c r="AA116" s="2538"/>
      <c r="AB116" s="2538"/>
      <c r="AC116" s="2538"/>
      <c r="AD116" s="2538"/>
      <c r="AE116" s="2538"/>
      <c r="AF116" s="2538"/>
      <c r="AG116" s="2538"/>
      <c r="AH116" s="2538"/>
      <c r="AI116" s="2538"/>
      <c r="AJ116" s="2539"/>
      <c r="AK116" s="439"/>
      <c r="AL116" s="439"/>
      <c r="AM116" s="439"/>
      <c r="AN116" s="434"/>
      <c r="AO116" s="435" t="str">
        <f>Application!B722</f>
        <v>2 Bedrooms</v>
      </c>
      <c r="AQ116" s="435">
        <f>Application!O722</f>
        <v>718</v>
      </c>
      <c r="AU116" s="755" t="str">
        <f>E124</f>
        <v>Studio/SRO</v>
      </c>
      <c r="AV116" s="435">
        <f t="array" ref="AV116">SUM(IF(Application!B718:F752="SRO/Studio",Application!G718:J752))</f>
        <v>0</v>
      </c>
      <c r="AW116" s="904">
        <f>AV116/AV122</f>
        <v>0</v>
      </c>
    </row>
    <row r="117" spans="1:52" s="435" customFormat="1" ht="12.75" customHeight="1">
      <c r="A117" s="439"/>
      <c r="B117" s="438"/>
      <c r="C117" s="438"/>
      <c r="D117" s="438"/>
      <c r="E117" s="2537"/>
      <c r="F117" s="2538"/>
      <c r="G117" s="2538"/>
      <c r="H117" s="2538"/>
      <c r="I117" s="2538"/>
      <c r="J117" s="2538"/>
      <c r="K117" s="2538"/>
      <c r="L117" s="2538"/>
      <c r="M117" s="2538"/>
      <c r="N117" s="2538"/>
      <c r="O117" s="2538"/>
      <c r="P117" s="2538"/>
      <c r="Q117" s="2538"/>
      <c r="R117" s="2538"/>
      <c r="S117" s="2538"/>
      <c r="T117" s="2538"/>
      <c r="U117" s="2538"/>
      <c r="V117" s="2538"/>
      <c r="W117" s="2538"/>
      <c r="X117" s="2538"/>
      <c r="Y117" s="2538"/>
      <c r="Z117" s="2538"/>
      <c r="AA117" s="2538"/>
      <c r="AB117" s="2538"/>
      <c r="AC117" s="2538"/>
      <c r="AD117" s="2538"/>
      <c r="AE117" s="2538"/>
      <c r="AF117" s="2538"/>
      <c r="AG117" s="2538"/>
      <c r="AH117" s="2538"/>
      <c r="AI117" s="2538"/>
      <c r="AJ117" s="2539"/>
      <c r="AK117" s="439"/>
      <c r="AL117" s="439"/>
      <c r="AM117" s="439"/>
      <c r="AN117" s="434"/>
      <c r="AO117" s="435" t="str">
        <f>Application!B723</f>
        <v>2 Bedrooms</v>
      </c>
      <c r="AQ117" s="435">
        <f>Application!O723</f>
        <v>718</v>
      </c>
      <c r="AU117" s="755" t="str">
        <f>J124</f>
        <v>1-bedroom</v>
      </c>
      <c r="AV117" s="435">
        <f t="array" ref="AV117">SUM(IF(Application!B718:F752="1 Bedroom",Application!G718:J752))</f>
        <v>21</v>
      </c>
      <c r="AW117" s="904">
        <f>AV117/AV122</f>
        <v>0.26923076923076922</v>
      </c>
    </row>
    <row r="118" spans="1:52" s="435" customFormat="1" ht="12.75" customHeight="1">
      <c r="A118" s="439"/>
      <c r="B118" s="438"/>
      <c r="C118" s="438"/>
      <c r="D118" s="438"/>
      <c r="E118" s="2537"/>
      <c r="F118" s="2538"/>
      <c r="G118" s="2538"/>
      <c r="H118" s="2538"/>
      <c r="I118" s="2538"/>
      <c r="J118" s="2538"/>
      <c r="K118" s="2538"/>
      <c r="L118" s="2538"/>
      <c r="M118" s="2538"/>
      <c r="N118" s="2538"/>
      <c r="O118" s="2538"/>
      <c r="P118" s="2538"/>
      <c r="Q118" s="2538"/>
      <c r="R118" s="2538"/>
      <c r="S118" s="2538"/>
      <c r="T118" s="2538"/>
      <c r="U118" s="2538"/>
      <c r="V118" s="2538"/>
      <c r="W118" s="2538"/>
      <c r="X118" s="2538"/>
      <c r="Y118" s="2538"/>
      <c r="Z118" s="2538"/>
      <c r="AA118" s="2538"/>
      <c r="AB118" s="2538"/>
      <c r="AC118" s="2538"/>
      <c r="AD118" s="2538"/>
      <c r="AE118" s="2538"/>
      <c r="AF118" s="2538"/>
      <c r="AG118" s="2538"/>
      <c r="AH118" s="2538"/>
      <c r="AI118" s="2538"/>
      <c r="AJ118" s="2539"/>
      <c r="AK118" s="439"/>
      <c r="AL118" s="439"/>
      <c r="AM118" s="439"/>
      <c r="AN118" s="434"/>
      <c r="AO118" s="435" t="str">
        <f>Application!B724</f>
        <v>3 Bedrooms</v>
      </c>
      <c r="AQ118" s="435">
        <f>Application!O724</f>
        <v>855</v>
      </c>
      <c r="AU118" s="755" t="str">
        <f>O124</f>
        <v>2-bedroom</v>
      </c>
      <c r="AV118" s="435">
        <f t="array" ref="AV118">SUM(IF(Application!B718:F752="2 Bedrooms",Application!G718:J752))</f>
        <v>33</v>
      </c>
      <c r="AW118" s="904">
        <f>AV118/AV122</f>
        <v>0.42307692307692307</v>
      </c>
    </row>
    <row r="119" spans="1:52" s="435" customFormat="1" ht="12.75" customHeight="1">
      <c r="A119" s="439"/>
      <c r="B119" s="438"/>
      <c r="C119" s="438"/>
      <c r="D119" s="438"/>
      <c r="E119" s="2537"/>
      <c r="F119" s="2538"/>
      <c r="G119" s="2538"/>
      <c r="H119" s="2538"/>
      <c r="I119" s="2538"/>
      <c r="J119" s="2538"/>
      <c r="K119" s="2538"/>
      <c r="L119" s="2538"/>
      <c r="M119" s="2538"/>
      <c r="N119" s="2538"/>
      <c r="O119" s="2538"/>
      <c r="P119" s="2538"/>
      <c r="Q119" s="2538"/>
      <c r="R119" s="2538"/>
      <c r="S119" s="2538"/>
      <c r="T119" s="2538"/>
      <c r="U119" s="2538"/>
      <c r="V119" s="2538"/>
      <c r="W119" s="2538"/>
      <c r="X119" s="2538"/>
      <c r="Y119" s="2538"/>
      <c r="Z119" s="2538"/>
      <c r="AA119" s="2538"/>
      <c r="AB119" s="2538"/>
      <c r="AC119" s="2538"/>
      <c r="AD119" s="2538"/>
      <c r="AE119" s="2538"/>
      <c r="AF119" s="2538"/>
      <c r="AG119" s="2538"/>
      <c r="AH119" s="2538"/>
      <c r="AI119" s="2538"/>
      <c r="AJ119" s="2539"/>
      <c r="AK119" s="439"/>
      <c r="AL119" s="439"/>
      <c r="AM119" s="439"/>
      <c r="AN119" s="434"/>
      <c r="AO119" s="435" t="str">
        <f>Application!B725</f>
        <v>3 Bedrooms</v>
      </c>
      <c r="AQ119" s="435">
        <f>Application!O725</f>
        <v>855</v>
      </c>
      <c r="AU119" s="755" t="str">
        <f>T124</f>
        <v>3-bedroom</v>
      </c>
      <c r="AV119" s="435">
        <f t="array" ref="AV119">SUM(IF(Application!B718:F752="3 Bedrooms",Application!G718:J752))</f>
        <v>24</v>
      </c>
      <c r="AW119" s="904">
        <f>AV119/AV122</f>
        <v>0.30769230769230771</v>
      </c>
    </row>
    <row r="120" spans="1:52" s="435" customFormat="1" ht="12.75" customHeight="1">
      <c r="A120" s="439"/>
      <c r="B120" s="438"/>
      <c r="C120" s="438"/>
      <c r="D120" s="438"/>
      <c r="E120" s="2537"/>
      <c r="F120" s="2538"/>
      <c r="G120" s="2538"/>
      <c r="H120" s="2538"/>
      <c r="I120" s="2538"/>
      <c r="J120" s="2538"/>
      <c r="K120" s="2538"/>
      <c r="L120" s="2538"/>
      <c r="M120" s="2538"/>
      <c r="N120" s="2538"/>
      <c r="O120" s="2538"/>
      <c r="P120" s="2538"/>
      <c r="Q120" s="2538"/>
      <c r="R120" s="2538"/>
      <c r="S120" s="2538"/>
      <c r="T120" s="2538"/>
      <c r="U120" s="2538"/>
      <c r="V120" s="2538"/>
      <c r="W120" s="2538"/>
      <c r="X120" s="2538"/>
      <c r="Y120" s="2538"/>
      <c r="Z120" s="2538"/>
      <c r="AA120" s="2538"/>
      <c r="AB120" s="2538"/>
      <c r="AC120" s="2538"/>
      <c r="AD120" s="2538"/>
      <c r="AE120" s="2538"/>
      <c r="AF120" s="2538"/>
      <c r="AG120" s="2538"/>
      <c r="AH120" s="2538"/>
      <c r="AI120" s="2538"/>
      <c r="AJ120" s="2539"/>
      <c r="AK120" s="439"/>
      <c r="AL120" s="439"/>
      <c r="AM120" s="439"/>
      <c r="AN120" s="434"/>
      <c r="AO120" s="435" t="str">
        <f>Application!B726</f>
        <v>1 Bedroom</v>
      </c>
      <c r="AQ120" s="435">
        <f>Application!O726</f>
        <v>783</v>
      </c>
      <c r="AU120" s="755" t="str">
        <f>Y124</f>
        <v>4-bedroom</v>
      </c>
      <c r="AV120" s="435">
        <f t="array" ref="AV120">SUM(IF(Application!B718:F752="4 Bedrooms",Application!G718:J752))</f>
        <v>0</v>
      </c>
      <c r="AW120" s="904">
        <f>AV120/AV122</f>
        <v>0</v>
      </c>
    </row>
    <row r="121" spans="1:52" s="435" customFormat="1" ht="12.75" customHeight="1">
      <c r="A121" s="439"/>
      <c r="B121" s="438"/>
      <c r="C121" s="438"/>
      <c r="D121" s="438"/>
      <c r="E121" s="2537"/>
      <c r="F121" s="2538"/>
      <c r="G121" s="2538"/>
      <c r="H121" s="2538"/>
      <c r="I121" s="2538"/>
      <c r="J121" s="2538"/>
      <c r="K121" s="2538"/>
      <c r="L121" s="2538"/>
      <c r="M121" s="2538"/>
      <c r="N121" s="2538"/>
      <c r="O121" s="2538"/>
      <c r="P121" s="2538"/>
      <c r="Q121" s="2538"/>
      <c r="R121" s="2538"/>
      <c r="S121" s="2538"/>
      <c r="T121" s="2538"/>
      <c r="U121" s="2538"/>
      <c r="V121" s="2538"/>
      <c r="W121" s="2538"/>
      <c r="X121" s="2538"/>
      <c r="Y121" s="2538"/>
      <c r="Z121" s="2538"/>
      <c r="AA121" s="2538"/>
      <c r="AB121" s="2538"/>
      <c r="AC121" s="2538"/>
      <c r="AD121" s="2538"/>
      <c r="AE121" s="2538"/>
      <c r="AF121" s="2538"/>
      <c r="AG121" s="2538"/>
      <c r="AH121" s="2538"/>
      <c r="AI121" s="2538"/>
      <c r="AJ121" s="2539"/>
      <c r="AK121" s="439"/>
      <c r="AL121" s="439"/>
      <c r="AM121" s="439"/>
      <c r="AN121" s="434"/>
      <c r="AO121" s="435" t="str">
        <f>Application!B727</f>
        <v>1 Bedroom</v>
      </c>
      <c r="AQ121" s="435">
        <f>Application!O727</f>
        <v>783</v>
      </c>
      <c r="AU121" s="755" t="str">
        <f>AD124</f>
        <v>5-bedroom</v>
      </c>
      <c r="AV121" s="435">
        <f t="array" ref="AV121">SUM(IF(Application!B718:F752="5 Bedrooms",Application!G718:J752))</f>
        <v>0</v>
      </c>
      <c r="AW121" s="904">
        <f>AV121/AV122</f>
        <v>0</v>
      </c>
    </row>
    <row r="122" spans="1:52" s="435" customFormat="1" ht="12.75" customHeight="1">
      <c r="A122" s="439"/>
      <c r="B122" s="438"/>
      <c r="C122" s="438"/>
      <c r="D122" s="438"/>
      <c r="E122" s="2537"/>
      <c r="F122" s="2538"/>
      <c r="G122" s="2538"/>
      <c r="H122" s="2538"/>
      <c r="I122" s="2538"/>
      <c r="J122" s="2538"/>
      <c r="K122" s="2538"/>
      <c r="L122" s="2538"/>
      <c r="M122" s="2538"/>
      <c r="N122" s="2538"/>
      <c r="O122" s="2538"/>
      <c r="P122" s="2538"/>
      <c r="Q122" s="2538"/>
      <c r="R122" s="2538"/>
      <c r="S122" s="2538"/>
      <c r="T122" s="2538"/>
      <c r="U122" s="2538"/>
      <c r="V122" s="2538"/>
      <c r="W122" s="2538"/>
      <c r="X122" s="2538"/>
      <c r="Y122" s="2538"/>
      <c r="Z122" s="2538"/>
      <c r="AA122" s="2538"/>
      <c r="AB122" s="2538"/>
      <c r="AC122" s="2538"/>
      <c r="AD122" s="2538"/>
      <c r="AE122" s="2538"/>
      <c r="AF122" s="2538"/>
      <c r="AG122" s="2538"/>
      <c r="AH122" s="2538"/>
      <c r="AI122" s="2538"/>
      <c r="AJ122" s="2539"/>
      <c r="AK122" s="439"/>
      <c r="AL122" s="439"/>
      <c r="AM122" s="439"/>
      <c r="AN122" s="434"/>
      <c r="AO122" s="435" t="str">
        <f>Application!B728</f>
        <v>2 Bedrooms</v>
      </c>
      <c r="AQ122" s="435">
        <f>Application!O728</f>
        <v>885</v>
      </c>
      <c r="AV122" s="435">
        <f>SUM(AV116:AV121)</f>
        <v>78</v>
      </c>
      <c r="AW122" s="904">
        <f>SUM(AW116:AW121)</f>
        <v>1</v>
      </c>
    </row>
    <row r="123" spans="1:52" s="435" customFormat="1" ht="12.75" customHeight="1">
      <c r="A123" s="439"/>
      <c r="B123" s="438"/>
      <c r="C123" s="438"/>
      <c r="D123" s="438"/>
      <c r="E123" s="485"/>
      <c r="F123" s="452"/>
      <c r="G123" s="452"/>
      <c r="H123" s="452"/>
      <c r="I123" s="452"/>
      <c r="J123" s="452"/>
      <c r="K123" s="452"/>
      <c r="L123" s="452"/>
      <c r="M123" s="452"/>
      <c r="N123" s="452"/>
      <c r="O123" s="452"/>
      <c r="P123" s="452"/>
      <c r="Q123" s="452"/>
      <c r="R123" s="452"/>
      <c r="S123" s="452"/>
      <c r="T123" s="452"/>
      <c r="U123" s="452"/>
      <c r="V123" s="452"/>
      <c r="W123" s="452"/>
      <c r="X123" s="452"/>
      <c r="Y123" s="452"/>
      <c r="Z123" s="452"/>
      <c r="AA123" s="452"/>
      <c r="AB123" s="452"/>
      <c r="AC123" s="452"/>
      <c r="AD123" s="452"/>
      <c r="AE123" s="452"/>
      <c r="AF123" s="452"/>
      <c r="AG123" s="452"/>
      <c r="AH123" s="452"/>
      <c r="AI123" s="452"/>
      <c r="AJ123" s="453"/>
      <c r="AK123" s="439"/>
      <c r="AL123" s="439"/>
      <c r="AM123" s="439"/>
      <c r="AN123" s="434"/>
      <c r="AO123" s="435" t="str">
        <f>Application!B729</f>
        <v>2 Bedrooms</v>
      </c>
      <c r="AQ123" s="435">
        <f>Application!O729</f>
        <v>885</v>
      </c>
    </row>
    <row r="124" spans="1:52" s="435" customFormat="1" ht="12.75" customHeight="1">
      <c r="A124" s="439"/>
      <c r="B124" s="438"/>
      <c r="C124" s="439"/>
      <c r="D124" s="439"/>
      <c r="E124" s="2530" t="s">
        <v>2175</v>
      </c>
      <c r="F124" s="2531"/>
      <c r="G124" s="2531"/>
      <c r="H124" s="2531"/>
      <c r="I124" s="476"/>
      <c r="J124" s="2531" t="s">
        <v>2176</v>
      </c>
      <c r="K124" s="2531"/>
      <c r="L124" s="2531"/>
      <c r="M124" s="2531"/>
      <c r="N124" s="476"/>
      <c r="O124" s="2531" t="s">
        <v>2177</v>
      </c>
      <c r="P124" s="2531"/>
      <c r="Q124" s="2531"/>
      <c r="R124" s="2531"/>
      <c r="S124" s="476"/>
      <c r="T124" s="2531" t="s">
        <v>2178</v>
      </c>
      <c r="U124" s="2531"/>
      <c r="V124" s="2531"/>
      <c r="W124" s="2531"/>
      <c r="X124" s="476"/>
      <c r="Y124" s="2531" t="s">
        <v>2179</v>
      </c>
      <c r="Z124" s="2531"/>
      <c r="AA124" s="2531"/>
      <c r="AB124" s="2531"/>
      <c r="AC124" s="476"/>
      <c r="AD124" s="2531" t="s">
        <v>2180</v>
      </c>
      <c r="AE124" s="2531"/>
      <c r="AF124" s="2531"/>
      <c r="AG124" s="2531"/>
      <c r="AH124" s="476"/>
      <c r="AI124" s="476"/>
      <c r="AJ124" s="478"/>
      <c r="AK124" s="439"/>
      <c r="AL124" s="439"/>
      <c r="AM124" s="439"/>
      <c r="AN124" s="434"/>
      <c r="AO124" s="435" t="str">
        <f>Application!B730</f>
        <v>2 Bedrooms</v>
      </c>
      <c r="AQ124" s="435">
        <f>Application!O730</f>
        <v>885</v>
      </c>
    </row>
    <row r="125" spans="1:52" s="435" customFormat="1" ht="12.75" customHeight="1">
      <c r="A125" s="439"/>
      <c r="B125" s="438"/>
      <c r="C125" s="439"/>
      <c r="D125" s="439"/>
      <c r="E125" s="763"/>
      <c r="F125" s="761"/>
      <c r="G125" s="761"/>
      <c r="H125" s="761"/>
      <c r="I125" s="476"/>
      <c r="J125" s="761"/>
      <c r="K125" s="761"/>
      <c r="L125" s="761"/>
      <c r="M125" s="761"/>
      <c r="N125" s="476"/>
      <c r="O125" s="761"/>
      <c r="P125" s="761"/>
      <c r="Q125" s="761"/>
      <c r="R125" s="761"/>
      <c r="S125" s="476"/>
      <c r="T125" s="761"/>
      <c r="U125" s="761"/>
      <c r="V125" s="761"/>
      <c r="W125" s="761"/>
      <c r="X125" s="476"/>
      <c r="Y125" s="761"/>
      <c r="Z125" s="761"/>
      <c r="AA125" s="761"/>
      <c r="AB125" s="761"/>
      <c r="AC125" s="476"/>
      <c r="AD125" s="761"/>
      <c r="AE125" s="761"/>
      <c r="AF125" s="761"/>
      <c r="AG125" s="761"/>
      <c r="AH125" s="476"/>
      <c r="AI125" s="476"/>
      <c r="AJ125" s="478"/>
      <c r="AK125" s="439"/>
      <c r="AL125" s="439"/>
      <c r="AM125" s="439"/>
      <c r="AN125" s="434"/>
      <c r="AO125" s="435" t="str">
        <f>Application!B731</f>
        <v>3 Bedrooms</v>
      </c>
      <c r="AQ125" s="435">
        <f>Application!O731</f>
        <v>779</v>
      </c>
    </row>
    <row r="126" spans="1:52" s="435" customFormat="1" ht="12.75" customHeight="1">
      <c r="A126" s="439"/>
      <c r="B126" s="438"/>
      <c r="C126" s="439"/>
      <c r="D126" s="439"/>
      <c r="E126" s="764" t="s">
        <v>2181</v>
      </c>
      <c r="F126" s="761"/>
      <c r="G126" s="761"/>
      <c r="H126" s="761"/>
      <c r="I126" s="476"/>
      <c r="J126" s="761"/>
      <c r="K126" s="761"/>
      <c r="L126" s="761"/>
      <c r="M126" s="761"/>
      <c r="N126" s="476"/>
      <c r="O126" s="761"/>
      <c r="P126" s="761"/>
      <c r="Q126" s="761"/>
      <c r="R126" s="761"/>
      <c r="S126" s="476"/>
      <c r="T126" s="761"/>
      <c r="U126" s="761"/>
      <c r="V126" s="761"/>
      <c r="W126" s="761"/>
      <c r="X126" s="476"/>
      <c r="Y126" s="761"/>
      <c r="Z126" s="761"/>
      <c r="AA126" s="761"/>
      <c r="AB126" s="761"/>
      <c r="AC126" s="476"/>
      <c r="AD126" s="761"/>
      <c r="AE126" s="761"/>
      <c r="AF126" s="761"/>
      <c r="AG126" s="761"/>
      <c r="AH126" s="476"/>
      <c r="AI126" s="476"/>
      <c r="AJ126" s="478"/>
      <c r="AK126" s="439"/>
      <c r="AL126" s="439"/>
      <c r="AM126" s="439"/>
      <c r="AN126" s="434"/>
      <c r="AO126" s="435" t="str">
        <f>Application!B732</f>
        <v>3 Bedrooms</v>
      </c>
      <c r="AQ126" s="435">
        <f>Application!O732</f>
        <v>779</v>
      </c>
    </row>
    <row r="127" spans="1:52" s="435" customFormat="1" ht="12.75" customHeight="1">
      <c r="A127" s="439"/>
      <c r="B127" s="438"/>
      <c r="C127" s="439"/>
      <c r="D127" s="439"/>
      <c r="E127" s="2532"/>
      <c r="F127" s="2533"/>
      <c r="G127" s="2533"/>
      <c r="H127" s="2533"/>
      <c r="I127" s="762"/>
      <c r="J127" s="2533">
        <v>2984</v>
      </c>
      <c r="K127" s="2533"/>
      <c r="L127" s="2533"/>
      <c r="M127" s="2533"/>
      <c r="N127" s="762"/>
      <c r="O127" s="2533">
        <v>3808</v>
      </c>
      <c r="P127" s="2533"/>
      <c r="Q127" s="2533"/>
      <c r="R127" s="2533"/>
      <c r="S127" s="762"/>
      <c r="T127" s="2533">
        <v>3863</v>
      </c>
      <c r="U127" s="2533"/>
      <c r="V127" s="2533"/>
      <c r="W127" s="2533"/>
      <c r="X127" s="762"/>
      <c r="Y127" s="2533"/>
      <c r="Z127" s="2533"/>
      <c r="AA127" s="2533"/>
      <c r="AB127" s="2533"/>
      <c r="AC127" s="762"/>
      <c r="AD127" s="2533"/>
      <c r="AE127" s="2533"/>
      <c r="AF127" s="2533"/>
      <c r="AG127" s="2533"/>
      <c r="AH127" s="476"/>
      <c r="AI127" s="476"/>
      <c r="AJ127" s="478"/>
      <c r="AK127" s="439"/>
      <c r="AL127" s="439"/>
      <c r="AM127" s="439"/>
      <c r="AN127" s="434"/>
      <c r="AO127" s="435" t="str">
        <f>Application!B733</f>
        <v>3 Bedrooms</v>
      </c>
      <c r="AQ127" s="435">
        <f>Application!O733</f>
        <v>779</v>
      </c>
    </row>
    <row r="128" spans="1:52" s="435" customFormat="1" ht="12.75" customHeight="1">
      <c r="A128" s="439"/>
      <c r="B128" s="438"/>
      <c r="C128" s="439"/>
      <c r="D128" s="439"/>
      <c r="E128" s="763"/>
      <c r="F128" s="761"/>
      <c r="G128" s="761"/>
      <c r="H128" s="761"/>
      <c r="I128" s="476"/>
      <c r="J128" s="761"/>
      <c r="K128" s="761"/>
      <c r="L128" s="761"/>
      <c r="M128" s="761"/>
      <c r="N128" s="476"/>
      <c r="O128" s="761"/>
      <c r="P128" s="761"/>
      <c r="Q128" s="761"/>
      <c r="R128" s="761"/>
      <c r="S128" s="476"/>
      <c r="T128" s="761"/>
      <c r="U128" s="761"/>
      <c r="V128" s="761"/>
      <c r="W128" s="761"/>
      <c r="X128" s="476"/>
      <c r="Y128" s="761"/>
      <c r="Z128" s="761"/>
      <c r="AA128" s="761"/>
      <c r="AB128" s="761"/>
      <c r="AC128" s="476"/>
      <c r="AD128" s="761"/>
      <c r="AE128" s="761"/>
      <c r="AF128" s="761"/>
      <c r="AG128" s="761"/>
      <c r="AH128" s="476"/>
      <c r="AI128" s="476"/>
      <c r="AJ128" s="478"/>
      <c r="AK128" s="439"/>
      <c r="AL128" s="439"/>
      <c r="AM128" s="439"/>
      <c r="AN128" s="434"/>
      <c r="AO128" s="435" t="str">
        <f>Application!B734</f>
        <v>1 Bedroom</v>
      </c>
      <c r="AQ128" s="435">
        <f>Application!O734</f>
        <v>1680</v>
      </c>
      <c r="AU128" s="902"/>
      <c r="AV128" s="902"/>
      <c r="AW128" s="902"/>
      <c r="AX128" s="902"/>
      <c r="AY128" s="902"/>
      <c r="AZ128" s="902"/>
    </row>
    <row r="129" spans="1:52" s="435" customFormat="1" ht="12.75" customHeight="1">
      <c r="A129" s="439"/>
      <c r="B129" s="438"/>
      <c r="C129" s="439"/>
      <c r="D129" s="439"/>
      <c r="E129" s="764" t="s">
        <v>2182</v>
      </c>
      <c r="F129" s="761"/>
      <c r="G129" s="761"/>
      <c r="H129" s="761"/>
      <c r="I129" s="476"/>
      <c r="J129" s="761"/>
      <c r="K129" s="761"/>
      <c r="L129" s="761"/>
      <c r="M129" s="761"/>
      <c r="N129" s="476"/>
      <c r="O129" s="761"/>
      <c r="P129" s="761"/>
      <c r="Q129" s="761"/>
      <c r="R129" s="761"/>
      <c r="S129" s="476"/>
      <c r="T129" s="761"/>
      <c r="U129" s="761"/>
      <c r="V129" s="761"/>
      <c r="W129" s="761"/>
      <c r="X129" s="476"/>
      <c r="Y129" s="761"/>
      <c r="Z129" s="761"/>
      <c r="AA129" s="761"/>
      <c r="AB129" s="761"/>
      <c r="AC129" s="476"/>
      <c r="AD129" s="761"/>
      <c r="AE129" s="761"/>
      <c r="AF129" s="761"/>
      <c r="AG129" s="761"/>
      <c r="AH129" s="476"/>
      <c r="AI129" s="476"/>
      <c r="AJ129" s="478"/>
      <c r="AK129" s="439"/>
      <c r="AL129" s="439"/>
      <c r="AM129" s="439"/>
      <c r="AN129" s="434"/>
      <c r="AO129" s="435" t="str">
        <f>Application!B735</f>
        <v>1 Bedroom</v>
      </c>
      <c r="AQ129" s="435">
        <f>Application!O735</f>
        <v>1680</v>
      </c>
      <c r="AU129" s="902"/>
      <c r="AV129" s="902"/>
      <c r="AW129" s="902"/>
      <c r="AX129" s="902"/>
      <c r="AY129" s="902"/>
      <c r="AZ129" s="902"/>
    </row>
    <row r="130" spans="1:52" s="435" customFormat="1" ht="12.75" customHeight="1">
      <c r="A130" s="439"/>
      <c r="B130" s="438"/>
      <c r="C130" s="439"/>
      <c r="D130" s="439"/>
      <c r="E130" s="2540">
        <f>Application!DX670</f>
        <v>0</v>
      </c>
      <c r="F130" s="2541"/>
      <c r="G130" s="2541"/>
      <c r="H130" s="2541"/>
      <c r="I130" s="762"/>
      <c r="J130" s="2541">
        <f>Application!EC670</f>
        <v>1457.4285714285716</v>
      </c>
      <c r="K130" s="2541"/>
      <c r="L130" s="2541"/>
      <c r="M130" s="2541"/>
      <c r="N130" s="762"/>
      <c r="O130" s="2541">
        <f>Application!EH670</f>
        <v>1479.969696969697</v>
      </c>
      <c r="P130" s="2541"/>
      <c r="Q130" s="2541"/>
      <c r="R130" s="2541"/>
      <c r="S130" s="766"/>
      <c r="T130" s="2541">
        <f>Application!EM670</f>
        <v>1439.8749999999998</v>
      </c>
      <c r="U130" s="2541"/>
      <c r="V130" s="2541"/>
      <c r="W130" s="2541"/>
      <c r="X130" s="766"/>
      <c r="Y130" s="2541">
        <f>Application!ER670</f>
        <v>0</v>
      </c>
      <c r="Z130" s="2541"/>
      <c r="AA130" s="2541"/>
      <c r="AB130" s="2541"/>
      <c r="AC130" s="766"/>
      <c r="AD130" s="2541">
        <f>Application!EW670</f>
        <v>0</v>
      </c>
      <c r="AE130" s="2541"/>
      <c r="AF130" s="2541"/>
      <c r="AG130" s="2541"/>
      <c r="AH130" s="476"/>
      <c r="AI130" s="476"/>
      <c r="AJ130" s="478"/>
      <c r="AK130" s="439"/>
      <c r="AL130" s="439"/>
      <c r="AM130" s="439"/>
      <c r="AN130" s="434"/>
      <c r="AO130" s="435" t="str">
        <f>Application!B736</f>
        <v>2 Bedrooms</v>
      </c>
      <c r="AQ130" s="435">
        <f>Application!O736</f>
        <v>1828</v>
      </c>
      <c r="AU130" s="902"/>
      <c r="AV130" s="902"/>
      <c r="AW130" s="903"/>
      <c r="AX130" s="903"/>
      <c r="AY130" s="902"/>
      <c r="AZ130" s="902"/>
    </row>
    <row r="131" spans="1:52" s="435" customFormat="1" ht="12.75" customHeight="1">
      <c r="A131" s="439"/>
      <c r="B131" s="438"/>
      <c r="C131" s="439"/>
      <c r="D131" s="439"/>
      <c r="E131" s="765"/>
      <c r="F131" s="761"/>
      <c r="G131" s="761"/>
      <c r="H131" s="761"/>
      <c r="I131" s="476"/>
      <c r="J131" s="479"/>
      <c r="K131" s="476"/>
      <c r="L131" s="476"/>
      <c r="M131" s="476"/>
      <c r="N131" s="476"/>
      <c r="O131" s="476"/>
      <c r="P131" s="476"/>
      <c r="Q131" s="476"/>
      <c r="R131" s="476"/>
      <c r="S131" s="476"/>
      <c r="T131" s="476"/>
      <c r="U131" s="476"/>
      <c r="V131" s="476"/>
      <c r="W131" s="476"/>
      <c r="X131" s="476"/>
      <c r="Y131" s="476"/>
      <c r="Z131" s="476"/>
      <c r="AA131" s="476"/>
      <c r="AB131" s="476"/>
      <c r="AC131" s="476"/>
      <c r="AD131" s="476"/>
      <c r="AE131" s="476"/>
      <c r="AF131" s="476"/>
      <c r="AG131" s="476"/>
      <c r="AH131" s="476"/>
      <c r="AI131" s="476"/>
      <c r="AJ131" s="478"/>
      <c r="AK131" s="439"/>
      <c r="AL131" s="439"/>
      <c r="AM131" s="439"/>
      <c r="AN131" s="434"/>
      <c r="AO131" s="435" t="str">
        <f>Application!B737</f>
        <v>2 Bedrooms</v>
      </c>
      <c r="AQ131" s="435">
        <f>Application!O737</f>
        <v>1828</v>
      </c>
      <c r="AU131" s="902"/>
      <c r="AV131" s="902"/>
      <c r="AW131" s="903"/>
      <c r="AX131" s="903"/>
      <c r="AY131" s="902"/>
      <c r="AZ131" s="902"/>
    </row>
    <row r="132" spans="1:52" s="435" customFormat="1" ht="12.75" customHeight="1">
      <c r="A132" s="439"/>
      <c r="B132" s="438"/>
      <c r="C132" s="439"/>
      <c r="D132" s="439"/>
      <c r="E132" s="764" t="s">
        <v>2183</v>
      </c>
      <c r="F132" s="761"/>
      <c r="G132" s="761"/>
      <c r="H132" s="761"/>
      <c r="I132" s="476"/>
      <c r="J132" s="479"/>
      <c r="K132" s="476"/>
      <c r="L132" s="476"/>
      <c r="M132" s="476"/>
      <c r="N132" s="476"/>
      <c r="O132" s="476"/>
      <c r="P132" s="476"/>
      <c r="Q132" s="476"/>
      <c r="R132" s="476"/>
      <c r="S132" s="476"/>
      <c r="T132" s="476"/>
      <c r="U132" s="476"/>
      <c r="V132" s="476"/>
      <c r="W132" s="476"/>
      <c r="X132" s="476"/>
      <c r="Y132" s="476"/>
      <c r="Z132" s="476"/>
      <c r="AA132" s="476"/>
      <c r="AB132" s="476"/>
      <c r="AC132" s="476"/>
      <c r="AD132" s="476"/>
      <c r="AE132" s="476"/>
      <c r="AF132" s="476"/>
      <c r="AG132" s="476"/>
      <c r="AH132" s="476"/>
      <c r="AI132" s="476"/>
      <c r="AJ132" s="478"/>
      <c r="AK132" s="439"/>
      <c r="AL132" s="439"/>
      <c r="AM132" s="439"/>
      <c r="AN132" s="434"/>
      <c r="AO132" s="435" t="str">
        <f>Application!B738</f>
        <v>3 Bedrooms</v>
      </c>
      <c r="AQ132" s="435">
        <f>Application!O738</f>
        <v>1768</v>
      </c>
      <c r="AU132" s="902"/>
      <c r="AV132" s="902"/>
      <c r="AW132" s="903"/>
      <c r="AX132" s="903"/>
      <c r="AY132" s="902"/>
      <c r="AZ132" s="902"/>
    </row>
    <row r="133" spans="1:52" s="435" customFormat="1" ht="12.75" customHeight="1">
      <c r="A133" s="439"/>
      <c r="B133" s="438"/>
      <c r="C133" s="439"/>
      <c r="D133" s="439"/>
      <c r="E133" s="2335" t="e">
        <f>(E127-E130)/E127</f>
        <v>#DIV/0!</v>
      </c>
      <c r="F133" s="2336"/>
      <c r="G133" s="2336"/>
      <c r="H133" s="2337"/>
      <c r="I133" s="476"/>
      <c r="J133" s="2335">
        <f>(J127-J130)/J127</f>
        <v>0.51158559938720793</v>
      </c>
      <c r="K133" s="2336"/>
      <c r="L133" s="2336"/>
      <c r="M133" s="2337"/>
      <c r="N133" s="476"/>
      <c r="O133" s="2335">
        <f>(O127-O130)/O127</f>
        <v>0.61135249554367199</v>
      </c>
      <c r="P133" s="2336"/>
      <c r="Q133" s="2336"/>
      <c r="R133" s="2337"/>
      <c r="S133" s="476"/>
      <c r="T133" s="2335">
        <f>(T127-T130)/T127</f>
        <v>0.62726507895418071</v>
      </c>
      <c r="U133" s="2336"/>
      <c r="V133" s="2336"/>
      <c r="W133" s="2337"/>
      <c r="X133" s="476"/>
      <c r="Y133" s="2335" t="e">
        <f>(Y127-Y130)/Y127</f>
        <v>#DIV/0!</v>
      </c>
      <c r="Z133" s="2336"/>
      <c r="AA133" s="2336"/>
      <c r="AB133" s="2337"/>
      <c r="AC133" s="476"/>
      <c r="AD133" s="2335" t="e">
        <f>(AD127-AD130)/AD127</f>
        <v>#DIV/0!</v>
      </c>
      <c r="AE133" s="2336"/>
      <c r="AF133" s="2336"/>
      <c r="AG133" s="2337"/>
      <c r="AH133" s="476"/>
      <c r="AI133" s="476"/>
      <c r="AJ133" s="478"/>
      <c r="AK133" s="439"/>
      <c r="AL133" s="439"/>
      <c r="AM133" s="439"/>
      <c r="AN133" s="434"/>
      <c r="AO133" s="435" t="str">
        <f>Application!B739</f>
        <v>2 Bedrooms</v>
      </c>
      <c r="AQ133" s="435">
        <f>Application!O739</f>
        <v>1828</v>
      </c>
      <c r="AU133" s="902"/>
      <c r="AV133" s="902"/>
      <c r="AW133" s="903"/>
      <c r="AX133" s="903"/>
      <c r="AY133" s="902"/>
      <c r="AZ133" s="902"/>
    </row>
    <row r="134" spans="1:52" s="435" customFormat="1" ht="12.75" customHeight="1">
      <c r="A134" s="439"/>
      <c r="B134" s="438"/>
      <c r="C134" s="439"/>
      <c r="D134" s="439"/>
      <c r="E134" s="897"/>
      <c r="F134" s="896"/>
      <c r="G134" s="896"/>
      <c r="H134" s="896"/>
      <c r="I134" s="476"/>
      <c r="J134" s="896"/>
      <c r="K134" s="896"/>
      <c r="L134" s="896"/>
      <c r="M134" s="896"/>
      <c r="N134" s="476"/>
      <c r="O134" s="896"/>
      <c r="P134" s="896"/>
      <c r="Q134" s="896"/>
      <c r="R134" s="896"/>
      <c r="S134" s="476"/>
      <c r="T134" s="896"/>
      <c r="U134" s="896"/>
      <c r="V134" s="896"/>
      <c r="W134" s="896"/>
      <c r="X134" s="476"/>
      <c r="Y134" s="896"/>
      <c r="Z134" s="896"/>
      <c r="AA134" s="896"/>
      <c r="AB134" s="896"/>
      <c r="AC134" s="476"/>
      <c r="AD134" s="896"/>
      <c r="AE134" s="896"/>
      <c r="AF134" s="896"/>
      <c r="AG134" s="896"/>
      <c r="AH134" s="476"/>
      <c r="AI134" s="476"/>
      <c r="AJ134" s="478"/>
      <c r="AK134" s="439"/>
      <c r="AL134" s="439"/>
      <c r="AM134" s="439"/>
      <c r="AN134" s="434"/>
      <c r="AO134" s="435" t="str">
        <f>Application!B740</f>
        <v>1 Bedroom</v>
      </c>
      <c r="AQ134" s="435">
        <f>Application!O740</f>
        <v>2012</v>
      </c>
      <c r="AU134" s="902"/>
      <c r="AV134" s="902"/>
      <c r="AW134" s="903"/>
      <c r="AX134" s="903"/>
      <c r="AY134" s="902"/>
      <c r="AZ134" s="902"/>
    </row>
    <row r="135" spans="1:52" s="435" customFormat="1" ht="12.75" customHeight="1">
      <c r="A135" s="439"/>
      <c r="B135" s="438"/>
      <c r="C135" s="439"/>
      <c r="D135" s="439"/>
      <c r="E135" s="898" t="s">
        <v>2184</v>
      </c>
      <c r="F135" s="896"/>
      <c r="G135" s="896"/>
      <c r="H135" s="896"/>
      <c r="I135" s="476"/>
      <c r="J135" s="896"/>
      <c r="K135" s="896"/>
      <c r="L135" s="896"/>
      <c r="M135" s="896"/>
      <c r="N135" s="476"/>
      <c r="O135" s="896"/>
      <c r="P135" s="896"/>
      <c r="Q135" s="896"/>
      <c r="R135" s="896"/>
      <c r="S135" s="476"/>
      <c r="T135" s="896"/>
      <c r="U135" s="896"/>
      <c r="V135" s="896"/>
      <c r="W135" s="896"/>
      <c r="X135" s="476"/>
      <c r="Y135" s="896"/>
      <c r="Z135" s="896"/>
      <c r="AA135" s="896"/>
      <c r="AB135" s="896"/>
      <c r="AC135" s="476"/>
      <c r="AD135" s="896"/>
      <c r="AE135" s="896"/>
      <c r="AF135" s="896"/>
      <c r="AG135" s="896"/>
      <c r="AH135" s="476"/>
      <c r="AI135" s="476"/>
      <c r="AJ135" s="478"/>
      <c r="AK135" s="439"/>
      <c r="AL135" s="439"/>
      <c r="AM135" s="439"/>
      <c r="AN135" s="434"/>
      <c r="AO135" s="435" t="str">
        <f>Application!B741</f>
        <v>1 Bedroom</v>
      </c>
      <c r="AQ135" s="435">
        <f>Application!O741</f>
        <v>2012</v>
      </c>
      <c r="AU135" s="903"/>
      <c r="AV135" s="902"/>
      <c r="AW135" s="903"/>
      <c r="AX135" s="903"/>
      <c r="AY135" s="902"/>
      <c r="AZ135" s="902"/>
    </row>
    <row r="136" spans="1:52" s="435" customFormat="1" ht="12.75" customHeight="1">
      <c r="A136" s="439"/>
      <c r="B136" s="438"/>
      <c r="C136" s="439"/>
      <c r="D136" s="439"/>
      <c r="E136" s="2543" t="e">
        <f>IF(((E133-0.1)*AW116)&gt;0,((E133-0.1)*AW116),0)</f>
        <v>#DIV/0!</v>
      </c>
      <c r="F136" s="2544"/>
      <c r="G136" s="2544"/>
      <c r="H136" s="2545"/>
      <c r="I136" s="476"/>
      <c r="J136" s="2543">
        <f>IF(((J133-0.1)*AW117)&gt;0,((J133-0.1)*AW117),0)</f>
        <v>0.11081150752732521</v>
      </c>
      <c r="K136" s="2544"/>
      <c r="L136" s="2544"/>
      <c r="M136" s="2545"/>
      <c r="N136" s="476"/>
      <c r="O136" s="2543">
        <f>IF(((O133-0.1)*AW118)&gt;0,((O133-0.1)*AW118),0)</f>
        <v>0.21634144042232278</v>
      </c>
      <c r="P136" s="2544"/>
      <c r="Q136" s="2544"/>
      <c r="R136" s="2545"/>
      <c r="S136" s="476"/>
      <c r="T136" s="2543">
        <f>IF(((T133-0.1)*AW119)&gt;0,((T133-0.1)*AW119),0)</f>
        <v>0.1622354089089787</v>
      </c>
      <c r="U136" s="2544"/>
      <c r="V136" s="2544"/>
      <c r="W136" s="2545"/>
      <c r="X136" s="476"/>
      <c r="Y136" s="2543" t="e">
        <f>IF(((Y133-0.1)*AW120)&gt;0,((Y133-0.1)*AW120),0)</f>
        <v>#DIV/0!</v>
      </c>
      <c r="Z136" s="2544"/>
      <c r="AA136" s="2544"/>
      <c r="AB136" s="2545"/>
      <c r="AC136" s="476"/>
      <c r="AD136" s="2543" t="e">
        <f>IF(((AD133-0.1)*AW121)&gt;0,((AD133-0.1)*AW121),0)</f>
        <v>#DIV/0!</v>
      </c>
      <c r="AE136" s="2544"/>
      <c r="AF136" s="2544"/>
      <c r="AG136" s="2545"/>
      <c r="AH136" s="476"/>
      <c r="AI136" s="476"/>
      <c r="AJ136" s="478"/>
      <c r="AK136" s="439"/>
      <c r="AL136" s="439"/>
      <c r="AM136" s="439"/>
      <c r="AN136" s="434"/>
      <c r="AO136" s="435">
        <f>Application!B752</f>
        <v>0</v>
      </c>
      <c r="AQ136" s="435">
        <f>Application!O752</f>
        <v>0</v>
      </c>
      <c r="AU136" s="902"/>
      <c r="AV136" s="902"/>
      <c r="AW136" s="902"/>
      <c r="AX136" s="903"/>
      <c r="AY136" s="902"/>
      <c r="AZ136" s="902"/>
    </row>
    <row r="137" spans="1:52" s="435" customFormat="1" ht="12.75" customHeight="1">
      <c r="A137" s="439"/>
      <c r="B137" s="438"/>
      <c r="C137" s="439"/>
      <c r="D137" s="439"/>
      <c r="E137" s="765"/>
      <c r="F137" s="761"/>
      <c r="G137" s="761"/>
      <c r="H137" s="761"/>
      <c r="I137" s="476"/>
      <c r="J137" s="479"/>
      <c r="K137" s="476"/>
      <c r="L137" s="476"/>
      <c r="M137" s="476"/>
      <c r="N137" s="476"/>
      <c r="O137" s="476"/>
      <c r="P137" s="476"/>
      <c r="Q137" s="476"/>
      <c r="R137" s="476"/>
      <c r="S137" s="476"/>
      <c r="T137" s="476"/>
      <c r="U137" s="476"/>
      <c r="V137" s="476"/>
      <c r="W137" s="476"/>
      <c r="X137" s="476"/>
      <c r="Y137" s="476"/>
      <c r="Z137" s="476"/>
      <c r="AA137" s="476"/>
      <c r="AB137" s="476"/>
      <c r="AC137" s="476"/>
      <c r="AD137" s="476"/>
      <c r="AE137" s="476"/>
      <c r="AF137" s="476"/>
      <c r="AG137" s="476"/>
      <c r="AH137" s="476"/>
      <c r="AI137" s="476"/>
      <c r="AJ137" s="478"/>
      <c r="AK137" s="439"/>
      <c r="AL137" s="439"/>
      <c r="AM137" s="439"/>
      <c r="AN137" s="434"/>
      <c r="AU137" s="902"/>
      <c r="AV137" s="902"/>
      <c r="AW137" s="902"/>
      <c r="AX137" s="902"/>
      <c r="AY137" s="902"/>
      <c r="AZ137" s="902"/>
    </row>
    <row r="138" spans="1:52" s="435" customFormat="1" ht="12.75" customHeight="1">
      <c r="A138" s="439"/>
      <c r="B138" s="438"/>
      <c r="C138" s="439"/>
      <c r="D138" s="439"/>
      <c r="E138" s="2335">
        <f>ROUNDDOWN(SUMIF(E136:AG136,"&gt;0"),2)</f>
        <v>0.48</v>
      </c>
      <c r="F138" s="2336"/>
      <c r="G138" s="2336"/>
      <c r="H138" s="2337"/>
      <c r="I138" s="476"/>
      <c r="J138" s="479" t="s">
        <v>2185</v>
      </c>
      <c r="K138" s="476"/>
      <c r="L138" s="476"/>
      <c r="M138" s="476"/>
      <c r="N138" s="476"/>
      <c r="O138" s="476"/>
      <c r="P138" s="476"/>
      <c r="Q138" s="476"/>
      <c r="R138" s="476"/>
      <c r="S138" s="476"/>
      <c r="T138" s="476"/>
      <c r="U138" s="476"/>
      <c r="V138" s="476"/>
      <c r="W138" s="476"/>
      <c r="X138" s="476"/>
      <c r="Y138" s="476"/>
      <c r="Z138" s="476"/>
      <c r="AA138" s="476"/>
      <c r="AB138" s="476"/>
      <c r="AC138" s="476"/>
      <c r="AD138" s="767"/>
      <c r="AE138" s="767"/>
      <c r="AF138" s="767"/>
      <c r="AG138" s="767"/>
      <c r="AH138" s="476"/>
      <c r="AI138" s="476"/>
      <c r="AJ138" s="478"/>
      <c r="AK138" s="439"/>
      <c r="AL138" s="439"/>
      <c r="AM138" s="439"/>
      <c r="AN138" s="434"/>
      <c r="AU138" s="902"/>
      <c r="AV138" s="902"/>
      <c r="AW138" s="902"/>
      <c r="AX138" s="903"/>
      <c r="AY138" s="902"/>
      <c r="AZ138" s="902"/>
    </row>
    <row r="139" spans="1:52" s="435" customFormat="1" ht="12.75" customHeight="1">
      <c r="A139" s="439"/>
      <c r="B139" s="438"/>
      <c r="C139" s="439"/>
      <c r="D139" s="439"/>
      <c r="E139" s="2515">
        <f>IF((E138*100)&gt;10,10,E138*100)</f>
        <v>10</v>
      </c>
      <c r="F139" s="2516"/>
      <c r="G139" s="2516"/>
      <c r="H139" s="2517"/>
      <c r="I139" s="476"/>
      <c r="J139" s="479" t="s">
        <v>2165</v>
      </c>
      <c r="K139" s="476"/>
      <c r="L139" s="476"/>
      <c r="M139" s="476"/>
      <c r="N139" s="476"/>
      <c r="O139" s="476"/>
      <c r="P139" s="476"/>
      <c r="Q139" s="476"/>
      <c r="R139" s="476"/>
      <c r="S139" s="476"/>
      <c r="T139" s="476"/>
      <c r="U139" s="476"/>
      <c r="V139" s="476"/>
      <c r="W139" s="476"/>
      <c r="X139" s="476"/>
      <c r="Y139" s="476"/>
      <c r="Z139" s="476"/>
      <c r="AA139" s="476"/>
      <c r="AB139" s="476"/>
      <c r="AC139" s="476"/>
      <c r="AD139" s="476"/>
      <c r="AE139" s="476"/>
      <c r="AF139" s="476"/>
      <c r="AG139" s="476"/>
      <c r="AH139" s="476"/>
      <c r="AI139" s="476"/>
      <c r="AJ139" s="478"/>
      <c r="AK139" s="439"/>
      <c r="AL139" s="439"/>
      <c r="AM139" s="439"/>
      <c r="AN139" s="434"/>
      <c r="AU139" s="902"/>
      <c r="AV139" s="902"/>
      <c r="AW139" s="902"/>
      <c r="AX139" s="902"/>
      <c r="AY139" s="902"/>
      <c r="AZ139" s="902"/>
    </row>
    <row r="140" spans="1:52" s="435" customFormat="1" ht="12.75" customHeight="1">
      <c r="A140" s="439"/>
      <c r="B140" s="439"/>
      <c r="C140" s="439"/>
      <c r="D140" s="439"/>
      <c r="E140" s="487"/>
      <c r="F140" s="488"/>
      <c r="G140" s="488"/>
      <c r="H140" s="488"/>
      <c r="I140" s="488"/>
      <c r="J140" s="488"/>
      <c r="K140" s="488"/>
      <c r="L140" s="488"/>
      <c r="M140" s="488"/>
      <c r="N140" s="488"/>
      <c r="O140" s="488"/>
      <c r="P140" s="488"/>
      <c r="Q140" s="488"/>
      <c r="R140" s="488"/>
      <c r="S140" s="488"/>
      <c r="T140" s="488"/>
      <c r="U140" s="488"/>
      <c r="V140" s="488"/>
      <c r="W140" s="488"/>
      <c r="X140" s="488"/>
      <c r="Y140" s="488"/>
      <c r="Z140" s="488"/>
      <c r="AA140" s="488"/>
      <c r="AB140" s="488"/>
      <c r="AC140" s="488"/>
      <c r="AD140" s="488"/>
      <c r="AE140" s="488"/>
      <c r="AF140" s="488"/>
      <c r="AG140" s="488"/>
      <c r="AH140" s="488"/>
      <c r="AI140" s="488"/>
      <c r="AJ140" s="489"/>
      <c r="AK140" s="439"/>
      <c r="AL140" s="439"/>
      <c r="AM140" s="439"/>
      <c r="AN140" s="434"/>
      <c r="AT140" s="895"/>
      <c r="AU140" s="902"/>
      <c r="AV140" s="902"/>
      <c r="AW140" s="903"/>
      <c r="AX140" s="902"/>
      <c r="AY140" s="902"/>
      <c r="AZ140" s="902"/>
    </row>
    <row r="141" spans="1:52" s="435" customFormat="1" ht="12.75" customHeight="1">
      <c r="A141" s="439"/>
      <c r="B141" s="439"/>
      <c r="C141" s="439"/>
      <c r="D141" s="439"/>
      <c r="E141" s="439"/>
      <c r="F141" s="439"/>
      <c r="G141" s="439"/>
      <c r="H141" s="439"/>
      <c r="I141" s="439"/>
      <c r="J141" s="439"/>
      <c r="K141" s="439"/>
      <c r="L141" s="439"/>
      <c r="M141" s="439"/>
      <c r="N141" s="439"/>
      <c r="O141" s="439"/>
      <c r="P141" s="439"/>
      <c r="Q141" s="439"/>
      <c r="R141" s="439"/>
      <c r="S141" s="439"/>
      <c r="T141" s="439"/>
      <c r="U141" s="439"/>
      <c r="V141" s="439"/>
      <c r="W141" s="439"/>
      <c r="X141" s="439"/>
      <c r="Y141" s="439"/>
      <c r="Z141" s="439"/>
      <c r="AA141" s="439"/>
      <c r="AB141" s="439"/>
      <c r="AC141" s="439"/>
      <c r="AD141" s="439"/>
      <c r="AE141" s="439"/>
      <c r="AF141" s="439"/>
      <c r="AG141" s="439"/>
      <c r="AH141" s="439"/>
      <c r="AI141" s="439"/>
      <c r="AJ141" s="439"/>
      <c r="AK141" s="439"/>
      <c r="AL141" s="439"/>
      <c r="AM141" s="439"/>
      <c r="AN141" s="434"/>
      <c r="AU141" s="902"/>
      <c r="AV141" s="902"/>
      <c r="AW141" s="902"/>
      <c r="AX141" s="902"/>
      <c r="AY141" s="902"/>
      <c r="AZ141" s="902"/>
    </row>
    <row r="142" spans="1:52" s="435" customFormat="1" ht="12.75" customHeight="1">
      <c r="A142" s="439"/>
      <c r="B142" s="439"/>
      <c r="C142" s="439"/>
      <c r="D142" s="439"/>
      <c r="E142" s="439"/>
      <c r="F142" s="439"/>
      <c r="G142" s="439"/>
      <c r="H142" s="439"/>
      <c r="I142" s="439"/>
      <c r="J142" s="439"/>
      <c r="K142" s="439"/>
      <c r="L142" s="439"/>
      <c r="M142" s="439"/>
      <c r="N142" s="439"/>
      <c r="O142" s="439"/>
      <c r="P142" s="439"/>
      <c r="Q142" s="439"/>
      <c r="R142" s="439"/>
      <c r="S142" s="439"/>
      <c r="T142" s="439"/>
      <c r="U142" s="439"/>
      <c r="V142" s="439"/>
      <c r="W142" s="439"/>
      <c r="X142" s="439"/>
      <c r="Y142" s="439"/>
      <c r="Z142" s="439"/>
      <c r="AA142" s="439"/>
      <c r="AB142" s="439"/>
      <c r="AC142" s="439"/>
      <c r="AD142" s="439"/>
      <c r="AE142" s="439"/>
      <c r="AF142" s="439"/>
      <c r="AG142" s="439"/>
      <c r="AH142" s="439"/>
      <c r="AI142" s="439"/>
      <c r="AJ142" s="439"/>
      <c r="AK142" s="439"/>
      <c r="AL142" s="439"/>
      <c r="AM142" s="439"/>
      <c r="AN142" s="434"/>
    </row>
    <row r="143" spans="1:52" s="435" customFormat="1" ht="12.75" customHeight="1">
      <c r="A143" s="460"/>
      <c r="B143" s="461"/>
      <c r="C143" s="461"/>
      <c r="D143" s="461"/>
      <c r="E143" s="461"/>
      <c r="F143" s="461"/>
      <c r="G143" s="462"/>
      <c r="H143" s="463"/>
      <c r="I143" s="463"/>
      <c r="J143" s="463"/>
      <c r="K143" s="463"/>
      <c r="L143" s="463"/>
      <c r="M143" s="463"/>
      <c r="N143" s="463"/>
      <c r="O143" s="463"/>
      <c r="P143" s="463"/>
      <c r="Q143" s="463"/>
      <c r="R143" s="463"/>
      <c r="S143" s="463"/>
      <c r="T143" s="463"/>
      <c r="U143" s="463"/>
      <c r="V143" s="463"/>
      <c r="W143" s="463"/>
      <c r="X143" s="463"/>
      <c r="Y143" s="463"/>
      <c r="Z143" s="463"/>
      <c r="AA143" s="463"/>
      <c r="AB143" s="463"/>
      <c r="AC143" s="463"/>
      <c r="AD143" s="463"/>
      <c r="AE143" s="463"/>
      <c r="AF143" s="463"/>
      <c r="AG143" s="463"/>
      <c r="AH143" s="463"/>
      <c r="AI143" s="464"/>
      <c r="AJ143" s="464" t="s">
        <v>2186</v>
      </c>
      <c r="AK143" s="2515">
        <f>E139</f>
        <v>10</v>
      </c>
      <c r="AL143" s="2516"/>
      <c r="AM143" s="2517"/>
      <c r="AN143" s="434"/>
    </row>
    <row r="144" spans="1:52" s="435" customFormat="1" ht="12.75" customHeight="1" thickBot="1">
      <c r="A144" s="465"/>
      <c r="B144" s="466"/>
      <c r="C144" s="467"/>
      <c r="D144" s="467"/>
      <c r="E144" s="467"/>
      <c r="F144" s="467"/>
      <c r="G144" s="467"/>
      <c r="H144" s="467"/>
      <c r="I144" s="467"/>
      <c r="J144" s="467"/>
      <c r="K144" s="467"/>
      <c r="L144" s="467"/>
      <c r="M144" s="467"/>
      <c r="N144" s="467"/>
      <c r="O144" s="467"/>
      <c r="P144" s="467"/>
      <c r="Q144" s="467"/>
      <c r="R144" s="467"/>
      <c r="S144" s="467"/>
      <c r="T144" s="467"/>
      <c r="U144" s="467"/>
      <c r="V144" s="467"/>
      <c r="W144" s="467"/>
      <c r="X144" s="467"/>
      <c r="Y144" s="467"/>
      <c r="Z144" s="467"/>
      <c r="AA144" s="467"/>
      <c r="AB144" s="467"/>
      <c r="AC144" s="467"/>
      <c r="AD144" s="467"/>
      <c r="AE144" s="467"/>
      <c r="AF144" s="467"/>
      <c r="AG144" s="467"/>
      <c r="AH144" s="467"/>
      <c r="AI144" s="467"/>
      <c r="AJ144" s="467"/>
      <c r="AK144" s="467"/>
      <c r="AL144" s="467"/>
      <c r="AM144" s="468"/>
      <c r="AN144" s="434"/>
    </row>
    <row r="145" spans="1:42" s="435" customFormat="1" ht="12.75" customHeight="1" thickTop="1">
      <c r="A145" s="469"/>
      <c r="B145" s="470"/>
      <c r="C145" s="471"/>
      <c r="D145" s="471"/>
      <c r="E145" s="471"/>
      <c r="F145" s="471"/>
      <c r="G145" s="471"/>
      <c r="H145" s="471"/>
      <c r="I145" s="472"/>
      <c r="J145" s="472"/>
      <c r="K145" s="472"/>
      <c r="L145" s="472"/>
      <c r="M145" s="472"/>
      <c r="N145" s="472"/>
      <c r="O145" s="472"/>
      <c r="P145" s="472"/>
      <c r="Q145" s="472"/>
      <c r="R145" s="469"/>
      <c r="S145" s="438"/>
      <c r="T145" s="438"/>
      <c r="U145" s="438"/>
      <c r="V145" s="438"/>
      <c r="W145" s="438"/>
      <c r="X145" s="438"/>
      <c r="Y145" s="438"/>
      <c r="Z145" s="438"/>
      <c r="AA145" s="438"/>
      <c r="AB145" s="438"/>
      <c r="AC145" s="438"/>
      <c r="AD145" s="438"/>
      <c r="AE145" s="438"/>
      <c r="AF145" s="469"/>
      <c r="AG145" s="438"/>
      <c r="AH145" s="438"/>
      <c r="AI145" s="438"/>
      <c r="AJ145" s="438"/>
      <c r="AK145" s="449"/>
      <c r="AL145" s="449"/>
      <c r="AM145" s="449"/>
      <c r="AN145" s="434"/>
    </row>
    <row r="146" spans="1:42" s="438" customFormat="1" ht="12.75" customHeight="1">
      <c r="A146" s="437" t="s">
        <v>2187</v>
      </c>
      <c r="AE146" s="2389" t="s">
        <v>2145</v>
      </c>
      <c r="AF146" s="2389"/>
      <c r="AG146" s="2389"/>
      <c r="AH146" s="2389"/>
      <c r="AI146" s="2389"/>
      <c r="AJ146" s="2389"/>
      <c r="AK146" s="2389"/>
      <c r="AL146" s="490"/>
      <c r="AN146" s="491"/>
      <c r="AO146" s="435"/>
    </row>
    <row r="147" spans="1:42" s="438" customFormat="1" ht="13" customHeight="1">
      <c r="A147" s="437"/>
      <c r="AE147" s="490"/>
      <c r="AF147" s="490"/>
      <c r="AG147" s="490"/>
      <c r="AH147" s="490"/>
      <c r="AI147" s="490"/>
      <c r="AJ147" s="490"/>
      <c r="AK147" s="490"/>
      <c r="AL147" s="490"/>
      <c r="AN147" s="491"/>
    </row>
    <row r="148" spans="1:42" s="435" customFormat="1" ht="12.75" customHeight="1">
      <c r="A148" s="437"/>
      <c r="B148" s="437" t="s">
        <v>2188</v>
      </c>
      <c r="C148" s="438"/>
      <c r="D148" s="438"/>
      <c r="E148" s="438"/>
      <c r="F148" s="438"/>
      <c r="G148" s="438"/>
      <c r="H148" s="438"/>
      <c r="I148" s="438"/>
      <c r="J148" s="438"/>
      <c r="K148" s="438"/>
      <c r="L148" s="438"/>
      <c r="M148" s="438"/>
      <c r="N148" s="438"/>
      <c r="O148" s="438"/>
      <c r="P148" s="438"/>
      <c r="Q148" s="438"/>
      <c r="R148" s="438"/>
      <c r="S148" s="438"/>
      <c r="T148" s="438"/>
      <c r="U148" s="438"/>
      <c r="V148" s="438"/>
      <c r="W148" s="438"/>
      <c r="X148" s="438"/>
      <c r="Y148" s="438"/>
      <c r="Z148" s="438"/>
      <c r="AA148" s="438"/>
      <c r="AB148" s="438"/>
      <c r="AC148" s="438"/>
      <c r="AD148" s="438"/>
      <c r="AF148" s="2449" t="s">
        <v>2189</v>
      </c>
      <c r="AG148" s="2449"/>
      <c r="AH148" s="2449"/>
      <c r="AI148" s="2449"/>
      <c r="AJ148" s="2449"/>
      <c r="AK148" s="2449"/>
      <c r="AL148" s="2449"/>
      <c r="AM148" s="438"/>
      <c r="AN148" s="434"/>
    </row>
    <row r="149" spans="1:42" s="435" customFormat="1" ht="12.75" customHeight="1">
      <c r="A149" s="437"/>
      <c r="B149" s="437" t="s">
        <v>1082</v>
      </c>
      <c r="C149" s="504"/>
      <c r="D149" s="504"/>
      <c r="E149" s="504"/>
      <c r="F149" s="504"/>
      <c r="G149" s="504"/>
      <c r="H149" s="504"/>
      <c r="I149" s="504"/>
      <c r="J149" s="504"/>
      <c r="K149" s="504"/>
      <c r="L149" s="504"/>
      <c r="M149" s="504"/>
      <c r="N149" s="504"/>
      <c r="O149" s="504"/>
      <c r="P149" s="504"/>
      <c r="Q149" s="504"/>
      <c r="R149" s="504"/>
      <c r="S149" s="504"/>
      <c r="T149" s="504"/>
      <c r="U149" s="504"/>
      <c r="V149" s="504"/>
      <c r="W149" s="504"/>
      <c r="X149" s="504"/>
      <c r="Y149" s="504"/>
      <c r="Z149" s="504"/>
      <c r="AA149" s="504"/>
      <c r="AB149" s="504"/>
      <c r="AC149" s="504"/>
      <c r="AD149" s="438"/>
      <c r="AL149" s="493"/>
      <c r="AM149" s="438"/>
      <c r="AN149" s="434"/>
    </row>
    <row r="150" spans="1:42" s="435" customFormat="1" ht="15" customHeight="1">
      <c r="A150" s="437"/>
      <c r="B150" s="2519"/>
      <c r="C150" s="2519"/>
      <c r="D150" s="2519"/>
      <c r="E150" s="2519"/>
      <c r="F150" s="2519"/>
      <c r="G150" s="2519"/>
      <c r="H150" s="2519"/>
      <c r="I150" s="2519"/>
      <c r="J150" s="2519"/>
      <c r="K150" s="2519"/>
      <c r="L150" s="2519"/>
      <c r="M150" s="2519"/>
      <c r="N150" s="2519"/>
      <c r="O150" s="2519"/>
      <c r="P150" s="2519"/>
      <c r="Q150" s="2519"/>
      <c r="R150" s="2519"/>
      <c r="S150" s="2519"/>
      <c r="T150" s="2519"/>
      <c r="U150" s="2519"/>
      <c r="V150" s="2519"/>
      <c r="W150" s="2519"/>
      <c r="X150" s="2519"/>
      <c r="Y150" s="2519"/>
      <c r="Z150" s="2519"/>
      <c r="AA150" s="2519"/>
      <c r="AB150" s="2519"/>
      <c r="AC150" s="2519"/>
      <c r="AD150" s="438"/>
      <c r="AE150" s="493"/>
      <c r="AF150" s="493"/>
      <c r="AG150" s="493"/>
      <c r="AH150" s="493"/>
      <c r="AI150" s="493"/>
      <c r="AJ150" s="493"/>
      <c r="AK150" s="493"/>
      <c r="AL150" s="493"/>
      <c r="AM150" s="438"/>
      <c r="AN150" s="434"/>
      <c r="AP150" s="494"/>
    </row>
    <row r="151" spans="1:42" s="435" customFormat="1" ht="12.75" customHeight="1">
      <c r="A151" s="437"/>
      <c r="B151" s="437"/>
      <c r="C151" s="438"/>
      <c r="D151" s="438"/>
      <c r="E151" s="438"/>
      <c r="F151" s="438"/>
      <c r="G151" s="438"/>
      <c r="H151" s="438"/>
      <c r="I151" s="438"/>
      <c r="J151" s="438"/>
      <c r="K151" s="438"/>
      <c r="L151" s="438"/>
      <c r="M151" s="438"/>
      <c r="N151" s="438"/>
      <c r="O151" s="438"/>
      <c r="P151" s="438"/>
      <c r="Q151" s="438"/>
      <c r="R151" s="438"/>
      <c r="S151" s="438"/>
      <c r="T151" s="438"/>
      <c r="U151" s="438"/>
      <c r="V151" s="438"/>
      <c r="W151" s="438"/>
      <c r="X151" s="438"/>
      <c r="Y151" s="438"/>
      <c r="Z151" s="438"/>
      <c r="AA151" s="438"/>
      <c r="AB151" s="438"/>
      <c r="AC151" s="438"/>
      <c r="AD151" s="438"/>
      <c r="AE151" s="493"/>
      <c r="AF151" s="493"/>
      <c r="AG151" s="493"/>
      <c r="AH151" s="493"/>
      <c r="AI151" s="493"/>
      <c r="AJ151" s="493"/>
      <c r="AK151" s="493"/>
      <c r="AL151" s="493"/>
      <c r="AM151" s="438"/>
      <c r="AN151" s="434"/>
      <c r="AO151" s="348" t="s">
        <v>309</v>
      </c>
      <c r="AP151" s="444"/>
    </row>
    <row r="152" spans="1:42" s="435" customFormat="1" ht="12.75" customHeight="1">
      <c r="A152" s="437"/>
      <c r="B152" s="438" t="s">
        <v>2190</v>
      </c>
      <c r="C152" s="438"/>
      <c r="D152" s="438"/>
      <c r="E152" s="438"/>
      <c r="F152" s="438"/>
      <c r="G152" s="438"/>
      <c r="H152" s="438"/>
      <c r="I152" s="438"/>
      <c r="J152" s="438"/>
      <c r="K152" s="438"/>
      <c r="L152" s="438"/>
      <c r="M152" s="438"/>
      <c r="N152" s="438"/>
      <c r="O152" s="438"/>
      <c r="P152" s="438"/>
      <c r="Q152" s="438"/>
      <c r="R152" s="438"/>
      <c r="S152" s="438"/>
      <c r="T152" s="438"/>
      <c r="U152" s="438"/>
      <c r="V152" s="438"/>
      <c r="W152" s="438"/>
      <c r="X152" s="438"/>
      <c r="Y152" s="438"/>
      <c r="Z152" s="438"/>
      <c r="AA152" s="438"/>
      <c r="AB152" s="438"/>
      <c r="AC152" s="438"/>
      <c r="AD152" s="438"/>
      <c r="AE152" s="438"/>
      <c r="AF152" s="438"/>
      <c r="AG152" s="438"/>
      <c r="AH152" s="438"/>
      <c r="AI152" s="438"/>
      <c r="AJ152" s="438"/>
      <c r="AK152" s="438"/>
      <c r="AL152" s="438"/>
      <c r="AM152" s="438"/>
      <c r="AN152" s="434"/>
      <c r="AO152" s="376" t="s">
        <v>2191</v>
      </c>
      <c r="AP152" s="389">
        <v>5</v>
      </c>
    </row>
    <row r="153" spans="1:42" s="435" customFormat="1" ht="12.75" customHeight="1">
      <c r="A153" s="437"/>
      <c r="B153" s="2520" t="s">
        <v>2192</v>
      </c>
      <c r="C153" s="2520"/>
      <c r="D153" s="2520"/>
      <c r="E153" s="2520"/>
      <c r="F153" s="2520"/>
      <c r="G153" s="2520"/>
      <c r="H153" s="2520"/>
      <c r="I153" s="2520"/>
      <c r="J153" s="2520"/>
      <c r="K153" s="2520"/>
      <c r="L153" s="2520"/>
      <c r="M153" s="2520"/>
      <c r="N153" s="2520"/>
      <c r="O153" s="2520"/>
      <c r="P153" s="2520"/>
      <c r="Q153" s="2520"/>
      <c r="R153" s="2520"/>
      <c r="S153" s="2520"/>
      <c r="T153" s="2520"/>
      <c r="U153" s="2520"/>
      <c r="V153" s="2520"/>
      <c r="W153" s="2520"/>
      <c r="X153" s="2520"/>
      <c r="Y153" s="2520"/>
      <c r="Z153" s="2520"/>
      <c r="AA153" s="2520"/>
      <c r="AB153" s="2520"/>
      <c r="AC153" s="2520"/>
      <c r="AD153" s="2520"/>
      <c r="AE153" s="2520"/>
      <c r="AF153" s="2520"/>
      <c r="AG153" s="2520"/>
      <c r="AH153" s="2520"/>
      <c r="AI153" s="2520"/>
      <c r="AM153" s="438"/>
      <c r="AN153" s="434"/>
      <c r="AO153" s="376" t="s">
        <v>2192</v>
      </c>
      <c r="AP153" s="389">
        <v>7</v>
      </c>
    </row>
    <row r="154" spans="1:42" s="435" customFormat="1" ht="13" customHeight="1">
      <c r="A154" s="437"/>
      <c r="B154" s="504"/>
      <c r="C154" s="504"/>
      <c r="D154" s="504"/>
      <c r="E154" s="504"/>
      <c r="F154" s="504"/>
      <c r="G154" s="504"/>
      <c r="H154" s="504"/>
      <c r="I154" s="504"/>
      <c r="J154" s="504"/>
      <c r="K154" s="504"/>
      <c r="L154" s="504"/>
      <c r="M154" s="504"/>
      <c r="N154" s="504"/>
      <c r="O154" s="504"/>
      <c r="P154" s="504"/>
      <c r="Q154" s="504"/>
      <c r="R154" s="504"/>
      <c r="S154" s="504"/>
      <c r="T154" s="504"/>
      <c r="U154" s="504"/>
      <c r="V154" s="504"/>
      <c r="W154" s="504"/>
      <c r="X154" s="504"/>
      <c r="Y154" s="504"/>
      <c r="Z154" s="504"/>
      <c r="AA154" s="504"/>
      <c r="AB154" s="504"/>
      <c r="AC154" s="504"/>
      <c r="AD154" s="490"/>
      <c r="AM154" s="438"/>
      <c r="AN154" s="434"/>
      <c r="AO154" s="376" t="s">
        <v>2193</v>
      </c>
      <c r="AP154" s="389">
        <v>7</v>
      </c>
    </row>
    <row r="155" spans="1:42" s="435" customFormat="1" ht="12.75" customHeight="1">
      <c r="A155" s="437"/>
      <c r="B155" s="438" t="s">
        <v>2194</v>
      </c>
      <c r="AB155" s="2321" t="s">
        <v>807</v>
      </c>
      <c r="AC155" s="2321"/>
      <c r="AD155" s="490"/>
      <c r="AM155" s="438"/>
      <c r="AN155" s="434"/>
      <c r="AO155" s="376"/>
      <c r="AP155" s="376"/>
    </row>
    <row r="156" spans="1:42" s="435" customFormat="1" ht="9" customHeight="1">
      <c r="A156" s="437"/>
      <c r="B156" s="504"/>
      <c r="C156" s="504"/>
      <c r="D156" s="504"/>
      <c r="E156" s="504"/>
      <c r="F156" s="504"/>
      <c r="G156" s="504"/>
      <c r="H156" s="504"/>
      <c r="I156" s="504"/>
      <c r="J156" s="504"/>
      <c r="K156" s="504"/>
      <c r="L156" s="504"/>
      <c r="M156" s="504"/>
      <c r="N156" s="504"/>
      <c r="O156" s="504"/>
      <c r="P156" s="504"/>
      <c r="Q156" s="504"/>
      <c r="R156" s="504"/>
      <c r="S156" s="504"/>
      <c r="T156" s="504"/>
      <c r="U156" s="504"/>
      <c r="V156" s="504"/>
      <c r="W156" s="504"/>
      <c r="X156" s="504"/>
      <c r="Y156" s="504"/>
      <c r="Z156" s="504"/>
      <c r="AA156" s="504"/>
      <c r="AB156" s="504"/>
      <c r="AC156" s="504"/>
      <c r="AD156" s="490"/>
      <c r="AM156" s="438"/>
      <c r="AN156" s="434"/>
      <c r="AO156" s="348" t="s">
        <v>2195</v>
      </c>
      <c r="AP156" s="389"/>
    </row>
    <row r="157" spans="1:42" s="435" customFormat="1" ht="12.75" customHeight="1">
      <c r="A157" s="437"/>
      <c r="B157" s="437" t="s">
        <v>2196</v>
      </c>
      <c r="C157" s="504"/>
      <c r="D157" s="504"/>
      <c r="E157" s="504"/>
      <c r="F157" s="504"/>
      <c r="G157" s="504"/>
      <c r="H157" s="504"/>
      <c r="I157" s="504"/>
      <c r="J157" s="504"/>
      <c r="K157" s="504"/>
      <c r="L157" s="504"/>
      <c r="M157" s="504"/>
      <c r="N157" s="504"/>
      <c r="O157" s="504"/>
      <c r="P157" s="504"/>
      <c r="Q157" s="504"/>
      <c r="R157" s="504"/>
      <c r="S157" s="504"/>
      <c r="T157" s="504"/>
      <c r="U157" s="504"/>
      <c r="V157" s="504"/>
      <c r="W157" s="504"/>
      <c r="X157" s="504"/>
      <c r="Y157" s="504"/>
      <c r="Z157" s="504"/>
      <c r="AA157" s="504"/>
      <c r="AB157" s="504"/>
      <c r="AC157" s="504"/>
      <c r="AD157" s="490"/>
      <c r="AM157" s="438"/>
      <c r="AN157" s="434"/>
      <c r="AO157" s="376" t="s">
        <v>2197</v>
      </c>
      <c r="AP157" s="389">
        <v>5</v>
      </c>
    </row>
    <row r="158" spans="1:42" s="435" customFormat="1" ht="12.75" customHeight="1">
      <c r="A158" s="437"/>
      <c r="B158" s="2520" t="s">
        <v>2195</v>
      </c>
      <c r="C158" s="2520"/>
      <c r="D158" s="2520"/>
      <c r="E158" s="2520"/>
      <c r="F158" s="2520"/>
      <c r="G158" s="2520"/>
      <c r="H158" s="2520"/>
      <c r="I158" s="2520"/>
      <c r="J158" s="2520"/>
      <c r="K158" s="2520"/>
      <c r="L158" s="2520"/>
      <c r="M158" s="2520"/>
      <c r="N158" s="2520"/>
      <c r="O158" s="2520"/>
      <c r="P158" s="2520"/>
      <c r="Q158" s="2520"/>
      <c r="R158" s="2520"/>
      <c r="S158" s="2520"/>
      <c r="T158" s="2520"/>
      <c r="U158" s="2520"/>
      <c r="V158" s="2520"/>
      <c r="W158" s="2520"/>
      <c r="X158" s="2520"/>
      <c r="Y158" s="2520"/>
      <c r="Z158" s="2520"/>
      <c r="AA158" s="2520"/>
      <c r="AB158" s="2520"/>
      <c r="AC158" s="2520"/>
      <c r="AD158" s="2520"/>
      <c r="AE158" s="2520"/>
      <c r="AF158" s="2520"/>
      <c r="AG158" s="2520"/>
      <c r="AH158" s="2520"/>
      <c r="AI158" s="2520"/>
      <c r="AJ158" s="2520"/>
      <c r="AN158" s="434"/>
      <c r="AO158" s="376" t="s">
        <v>2198</v>
      </c>
      <c r="AP158" s="389">
        <v>7</v>
      </c>
    </row>
    <row r="159" spans="1:42" s="435" customFormat="1" ht="12.75" customHeight="1">
      <c r="B159" s="438" t="s">
        <v>2199</v>
      </c>
      <c r="C159" s="504"/>
      <c r="D159" s="504"/>
      <c r="E159" s="504"/>
      <c r="F159" s="504"/>
      <c r="G159" s="504"/>
      <c r="H159" s="504"/>
      <c r="I159" s="504"/>
      <c r="J159" s="504"/>
      <c r="K159" s="504"/>
      <c r="L159" s="504"/>
      <c r="M159" s="504"/>
      <c r="N159" s="504"/>
      <c r="O159" s="504"/>
      <c r="P159" s="504"/>
      <c r="Q159" s="504"/>
      <c r="R159" s="504"/>
      <c r="S159" s="504"/>
      <c r="T159" s="504"/>
      <c r="U159" s="504"/>
      <c r="AM159" s="438"/>
      <c r="AN159" s="434"/>
      <c r="AO159" s="376"/>
      <c r="AP159" s="389"/>
    </row>
    <row r="160" spans="1:42" s="435" customFormat="1" ht="12.75" customHeight="1">
      <c r="B160" s="438"/>
      <c r="C160" s="504"/>
      <c r="D160" s="504"/>
      <c r="E160" s="504"/>
      <c r="F160" s="504"/>
      <c r="G160" s="504"/>
      <c r="H160" s="504"/>
      <c r="I160" s="504"/>
      <c r="J160" s="504"/>
      <c r="K160" s="504"/>
      <c r="L160" s="504"/>
      <c r="M160" s="504"/>
      <c r="N160" s="504"/>
      <c r="O160" s="504"/>
      <c r="P160" s="504"/>
      <c r="Q160" s="504"/>
      <c r="R160" s="504"/>
      <c r="S160" s="504"/>
      <c r="T160" s="504"/>
      <c r="U160" s="504"/>
      <c r="AM160" s="438"/>
      <c r="AN160" s="434"/>
      <c r="AO160" s="376"/>
      <c r="AP160" s="389"/>
    </row>
    <row r="161" spans="1:42" s="435" customFormat="1" ht="12.75" customHeight="1">
      <c r="B161" s="2318" t="s">
        <v>2200</v>
      </c>
      <c r="C161" s="2318"/>
      <c r="D161" s="2318"/>
      <c r="E161" s="2318"/>
      <c r="F161" s="2318"/>
      <c r="G161" s="2318"/>
      <c r="H161" s="2318"/>
      <c r="I161" s="2318"/>
      <c r="J161" s="2318"/>
      <c r="K161" s="2318"/>
      <c r="L161" s="2318"/>
      <c r="M161" s="2318"/>
      <c r="N161" s="2318"/>
      <c r="O161" s="2318"/>
      <c r="P161" s="2318"/>
      <c r="Q161" s="2318"/>
      <c r="R161" s="2318"/>
      <c r="S161" s="2318"/>
      <c r="T161" s="2318"/>
      <c r="U161" s="2318"/>
      <c r="V161" s="2318"/>
      <c r="W161" s="2318"/>
      <c r="X161" s="2318"/>
      <c r="Y161" s="2318"/>
      <c r="Z161" s="2318"/>
      <c r="AA161" s="2318"/>
      <c r="AB161" s="2318"/>
      <c r="AC161" s="2318"/>
      <c r="AD161" s="2318"/>
      <c r="AE161" s="2318"/>
      <c r="AF161" s="2318"/>
      <c r="AG161" s="2318"/>
      <c r="AH161" s="2318"/>
      <c r="AI161" s="2318"/>
      <c r="AJ161" s="2318"/>
      <c r="AK161" s="1068"/>
      <c r="AM161" s="438"/>
      <c r="AN161" s="434"/>
      <c r="AO161" s="376"/>
      <c r="AP161" s="389"/>
    </row>
    <row r="162" spans="1:42" s="435" customFormat="1" ht="12.75" customHeight="1">
      <c r="B162" s="2318"/>
      <c r="C162" s="2318"/>
      <c r="D162" s="2318"/>
      <c r="E162" s="2318"/>
      <c r="F162" s="2318"/>
      <c r="G162" s="2318"/>
      <c r="H162" s="2318"/>
      <c r="I162" s="2318"/>
      <c r="J162" s="2318"/>
      <c r="K162" s="2318"/>
      <c r="L162" s="2318"/>
      <c r="M162" s="2318"/>
      <c r="N162" s="2318"/>
      <c r="O162" s="2318"/>
      <c r="P162" s="2318"/>
      <c r="Q162" s="2318"/>
      <c r="R162" s="2318"/>
      <c r="S162" s="2318"/>
      <c r="T162" s="2318"/>
      <c r="U162" s="2318"/>
      <c r="V162" s="2318"/>
      <c r="W162" s="2318"/>
      <c r="X162" s="2318"/>
      <c r="Y162" s="2318"/>
      <c r="Z162" s="2318"/>
      <c r="AA162" s="2318"/>
      <c r="AB162" s="2318"/>
      <c r="AC162" s="2318"/>
      <c r="AD162" s="2318"/>
      <c r="AE162" s="2318"/>
      <c r="AF162" s="2318"/>
      <c r="AG162" s="2318"/>
      <c r="AH162" s="2318"/>
      <c r="AI162" s="2318"/>
      <c r="AJ162" s="2318"/>
      <c r="AK162" s="1068"/>
      <c r="AM162" s="438"/>
      <c r="AN162" s="434"/>
      <c r="AO162" s="376"/>
      <c r="AP162" s="389"/>
    </row>
    <row r="163" spans="1:42" s="435" customFormat="1" ht="12.75" customHeight="1">
      <c r="C163" s="2319" t="s">
        <v>2201</v>
      </c>
      <c r="D163" s="2319"/>
      <c r="E163" s="2319"/>
      <c r="F163" s="2319"/>
      <c r="G163" s="2319"/>
      <c r="H163" s="2319"/>
      <c r="I163" s="2319"/>
      <c r="J163" s="2319"/>
      <c r="K163" s="2319"/>
      <c r="L163" s="2319"/>
      <c r="M163" s="2319"/>
      <c r="N163" s="2319"/>
      <c r="O163" s="2319"/>
      <c r="P163" s="2319"/>
      <c r="Q163" s="2319"/>
      <c r="R163" s="2319"/>
      <c r="S163" s="2319"/>
      <c r="T163" s="2319"/>
      <c r="U163" s="2319"/>
      <c r="V163" s="2319"/>
      <c r="W163" s="2319"/>
      <c r="X163" s="2319"/>
      <c r="Y163" s="2319"/>
      <c r="Z163" s="2319"/>
      <c r="AA163" s="2319"/>
      <c r="AB163" s="2319"/>
      <c r="AC163" s="2319"/>
      <c r="AD163" s="2319"/>
      <c r="AE163" s="2319"/>
      <c r="AF163" s="2319"/>
      <c r="AG163" s="2319"/>
      <c r="AH163" s="2319"/>
      <c r="AI163" s="2319"/>
      <c r="AJ163" s="2319"/>
      <c r="AK163" s="1068"/>
      <c r="AM163" s="438"/>
      <c r="AN163" s="434"/>
      <c r="AO163" s="376"/>
      <c r="AP163" s="389"/>
    </row>
    <row r="164" spans="1:42" s="435" customFormat="1" ht="12.75" customHeight="1">
      <c r="B164" s="1068"/>
      <c r="C164" s="2320" t="s">
        <v>2202</v>
      </c>
      <c r="D164" s="2320"/>
      <c r="E164" s="2320"/>
      <c r="F164" s="2320"/>
      <c r="G164" s="2320"/>
      <c r="H164" s="2320"/>
      <c r="I164" s="2320"/>
      <c r="J164" s="2320"/>
      <c r="K164" s="2320"/>
      <c r="L164" s="2320"/>
      <c r="M164" s="2320"/>
      <c r="N164" s="2320"/>
      <c r="O164" s="2320"/>
      <c r="P164" s="2320"/>
      <c r="Q164" s="2320"/>
      <c r="R164" s="2320"/>
      <c r="S164" s="2320"/>
      <c r="T164" s="2320"/>
      <c r="U164" s="2320"/>
      <c r="V164" s="2320"/>
      <c r="W164" s="2320"/>
      <c r="X164" s="2320"/>
      <c r="Y164" s="2320"/>
      <c r="Z164" s="2320"/>
      <c r="AA164" s="1058"/>
      <c r="AB164" s="1058"/>
      <c r="AC164" s="1058"/>
      <c r="AD164" s="1058"/>
      <c r="AE164" s="1058"/>
      <c r="AF164" s="1058"/>
      <c r="AG164" s="1058"/>
      <c r="AH164" s="1058"/>
      <c r="AJ164" s="2321" t="s">
        <v>807</v>
      </c>
      <c r="AK164" s="2321"/>
      <c r="AM164" s="438"/>
      <c r="AN164" s="434"/>
      <c r="AO164" s="376"/>
      <c r="AP164" s="389"/>
    </row>
    <row r="165" spans="1:42" s="435" customFormat="1" ht="12.75" customHeight="1">
      <c r="AM165" s="438"/>
      <c r="AN165" s="434"/>
    </row>
    <row r="166" spans="1:42" s="449" customFormat="1" ht="12.75" customHeight="1">
      <c r="A166" s="499"/>
      <c r="B166" s="500"/>
      <c r="C166" s="500"/>
      <c r="D166" s="500"/>
      <c r="E166" s="500"/>
      <c r="F166" s="500"/>
      <c r="G166" s="500"/>
      <c r="H166" s="500"/>
      <c r="I166" s="500"/>
      <c r="J166" s="500"/>
      <c r="K166" s="500"/>
      <c r="L166" s="500"/>
      <c r="M166" s="500"/>
      <c r="N166" s="500"/>
      <c r="O166" s="500"/>
      <c r="P166" s="500"/>
      <c r="Q166" s="500"/>
      <c r="R166" s="500"/>
      <c r="S166" s="500"/>
      <c r="T166" s="500"/>
      <c r="U166" s="500"/>
      <c r="V166" s="500"/>
      <c r="W166" s="500"/>
      <c r="X166" s="500"/>
      <c r="Y166" s="500"/>
      <c r="Z166" s="500"/>
      <c r="AA166" s="500"/>
      <c r="AB166" s="500"/>
      <c r="AC166" s="500"/>
      <c r="AD166" s="500"/>
      <c r="AE166" s="500"/>
      <c r="AF166" s="500"/>
      <c r="AG166" s="500"/>
      <c r="AH166" s="500"/>
      <c r="AI166" s="464" t="s">
        <v>2203</v>
      </c>
      <c r="AJ166" s="2409">
        <f>IF($AB$155="N/A",VLOOKUP($B$153,$AO$151:$AP$154,2,FALSE),VLOOKUP($B$158,$AO$156:$AP$158,2,FALSE))</f>
        <v>7</v>
      </c>
      <c r="AK166" s="2409"/>
      <c r="AL166" s="494"/>
      <c r="AM166" s="435"/>
      <c r="AN166" s="497"/>
    </row>
    <row r="167" spans="1:42" s="449" customFormat="1" ht="12.75" customHeight="1">
      <c r="A167" s="494"/>
      <c r="B167" s="494"/>
      <c r="C167" s="435"/>
      <c r="D167" s="435"/>
      <c r="E167" s="435"/>
      <c r="F167" s="435"/>
      <c r="G167" s="435"/>
      <c r="H167" s="435"/>
      <c r="I167" s="435"/>
      <c r="J167" s="435"/>
      <c r="K167" s="435"/>
      <c r="L167" s="435"/>
      <c r="M167" s="435"/>
      <c r="N167" s="435"/>
      <c r="O167" s="435"/>
      <c r="P167" s="435"/>
      <c r="Q167" s="435"/>
      <c r="R167" s="435"/>
      <c r="S167" s="435"/>
      <c r="T167" s="435"/>
      <c r="U167" s="435"/>
      <c r="V167" s="435"/>
      <c r="W167" s="435"/>
      <c r="X167" s="435"/>
      <c r="Y167" s="435"/>
      <c r="Z167" s="435"/>
      <c r="AA167" s="435"/>
      <c r="AB167" s="435"/>
      <c r="AC167" s="435"/>
      <c r="AD167" s="435"/>
      <c r="AE167" s="435"/>
      <c r="AF167" s="435"/>
      <c r="AG167" s="435"/>
      <c r="AH167" s="435"/>
      <c r="AI167" s="435"/>
      <c r="AJ167" s="435"/>
      <c r="AK167" s="435"/>
      <c r="AL167" s="435"/>
      <c r="AM167" s="435"/>
      <c r="AN167" s="497"/>
    </row>
    <row r="168" spans="1:42" s="449" customFormat="1" ht="12.75" customHeight="1">
      <c r="A168" s="435"/>
      <c r="B168" s="437" t="s">
        <v>2204</v>
      </c>
      <c r="C168" s="438"/>
      <c r="D168" s="435"/>
      <c r="E168" s="541"/>
      <c r="F168" s="541"/>
      <c r="G168" s="541"/>
      <c r="H168" s="541"/>
      <c r="I168" s="541"/>
      <c r="J168" s="541"/>
      <c r="K168" s="541"/>
      <c r="L168" s="541"/>
      <c r="M168" s="541"/>
      <c r="N168" s="541"/>
      <c r="O168" s="541"/>
      <c r="P168" s="541"/>
      <c r="Q168" s="541"/>
      <c r="R168" s="541"/>
      <c r="S168" s="541"/>
      <c r="T168" s="541"/>
      <c r="U168" s="541"/>
      <c r="V168" s="541"/>
      <c r="W168" s="541"/>
      <c r="X168" s="541"/>
      <c r="Y168" s="541"/>
      <c r="Z168" s="541"/>
      <c r="AA168" s="541"/>
      <c r="AB168" s="541"/>
      <c r="AC168" s="541"/>
      <c r="AD168" s="541"/>
      <c r="AE168" s="435"/>
      <c r="AF168" s="2449" t="s">
        <v>2205</v>
      </c>
      <c r="AG168" s="2449"/>
      <c r="AH168" s="2449"/>
      <c r="AI168" s="2449"/>
      <c r="AJ168" s="2449"/>
      <c r="AK168" s="2449"/>
      <c r="AL168" s="2449"/>
      <c r="AM168" s="502"/>
      <c r="AN168" s="497"/>
    </row>
    <row r="169" spans="1:42" s="449" customFormat="1" ht="12.75" customHeight="1">
      <c r="A169" s="435"/>
      <c r="B169" s="438" t="s">
        <v>2206</v>
      </c>
      <c r="C169" s="435"/>
      <c r="D169" s="435"/>
      <c r="E169" s="435"/>
      <c r="F169" s="435"/>
      <c r="G169" s="435"/>
      <c r="H169" s="435"/>
      <c r="I169" s="435"/>
      <c r="J169" s="435"/>
      <c r="K169" s="435"/>
      <c r="L169" s="435"/>
      <c r="M169" s="435"/>
      <c r="N169" s="435"/>
      <c r="O169" s="435"/>
      <c r="P169" s="435"/>
      <c r="Q169" s="435"/>
      <c r="R169" s="435"/>
      <c r="S169" s="435"/>
      <c r="T169" s="435"/>
      <c r="U169" s="435"/>
      <c r="V169" s="435"/>
      <c r="W169" s="435"/>
      <c r="X169" s="435"/>
      <c r="Y169" s="435"/>
      <c r="Z169" s="435"/>
      <c r="AA169" s="438"/>
      <c r="AB169" s="438"/>
      <c r="AC169" s="438"/>
      <c r="AD169" s="438"/>
      <c r="AE169" s="435"/>
      <c r="AF169" s="435"/>
      <c r="AG169" s="435"/>
      <c r="AH169" s="435"/>
      <c r="AI169" s="435"/>
      <c r="AJ169" s="435"/>
      <c r="AK169" s="435"/>
      <c r="AL169" s="435"/>
      <c r="AM169" s="502"/>
      <c r="AN169" s="497"/>
    </row>
    <row r="170" spans="1:42" s="449" customFormat="1" ht="12.75" customHeight="1">
      <c r="A170" s="435"/>
      <c r="B170" s="435"/>
      <c r="C170" s="2520" t="s">
        <v>2209</v>
      </c>
      <c r="D170" s="2520"/>
      <c r="E170" s="2520"/>
      <c r="F170" s="2520"/>
      <c r="G170" s="2520"/>
      <c r="H170" s="2520"/>
      <c r="I170" s="2520"/>
      <c r="J170" s="2520"/>
      <c r="K170" s="2520"/>
      <c r="L170" s="2520"/>
      <c r="M170" s="2520"/>
      <c r="N170" s="2520"/>
      <c r="O170" s="2520"/>
      <c r="P170" s="2520"/>
      <c r="Q170" s="2520"/>
      <c r="R170" s="2520"/>
      <c r="S170" s="2520"/>
      <c r="T170" s="2520"/>
      <c r="U170" s="2520"/>
      <c r="V170" s="2520"/>
      <c r="W170" s="2520"/>
      <c r="X170" s="2520"/>
      <c r="Y170" s="2520"/>
      <c r="Z170" s="2520"/>
      <c r="AA170" s="2520"/>
      <c r="AB170" s="2520"/>
      <c r="AC170" s="2520"/>
      <c r="AD170" s="2520"/>
      <c r="AE170" s="2520"/>
      <c r="AF170" s="2520"/>
      <c r="AG170" s="2520"/>
      <c r="AH170" s="2520"/>
      <c r="AI170" s="2520"/>
      <c r="AJ170" s="435"/>
      <c r="AK170" s="435"/>
      <c r="AL170" s="435"/>
      <c r="AM170" s="502"/>
      <c r="AN170" s="496"/>
      <c r="AO170" s="376" t="s">
        <v>309</v>
      </c>
      <c r="AP170" s="376"/>
    </row>
    <row r="171" spans="1:42" s="449" customFormat="1" ht="13" customHeight="1">
      <c r="A171" s="435"/>
      <c r="B171" s="435"/>
      <c r="C171" s="504"/>
      <c r="D171" s="504"/>
      <c r="E171" s="504"/>
      <c r="F171" s="504"/>
      <c r="G171" s="504"/>
      <c r="H171" s="504"/>
      <c r="I171" s="504"/>
      <c r="J171" s="504"/>
      <c r="K171" s="504"/>
      <c r="L171" s="504"/>
      <c r="M171" s="504"/>
      <c r="N171" s="504"/>
      <c r="O171" s="504"/>
      <c r="P171" s="504"/>
      <c r="Q171" s="504"/>
      <c r="R171" s="504"/>
      <c r="S171" s="504"/>
      <c r="T171" s="504"/>
      <c r="U171" s="504"/>
      <c r="V171" s="504"/>
      <c r="W171" s="504"/>
      <c r="X171" s="504"/>
      <c r="Y171" s="504"/>
      <c r="Z171" s="504"/>
      <c r="AA171" s="504"/>
      <c r="AB171" s="504"/>
      <c r="AC171" s="504"/>
      <c r="AD171" s="504"/>
      <c r="AE171" s="435"/>
      <c r="AF171" s="435"/>
      <c r="AG171" s="435"/>
      <c r="AH171" s="435"/>
      <c r="AI171" s="435"/>
      <c r="AJ171" s="435"/>
      <c r="AK171" s="435"/>
      <c r="AL171" s="435"/>
      <c r="AM171" s="502"/>
      <c r="AN171" s="496"/>
      <c r="AO171" s="376" t="s">
        <v>2207</v>
      </c>
      <c r="AP171" s="498">
        <v>2</v>
      </c>
    </row>
    <row r="172" spans="1:42" s="449" customFormat="1" ht="12.75" customHeight="1">
      <c r="A172" s="435"/>
      <c r="B172" s="435"/>
      <c r="C172" s="438" t="s">
        <v>2208</v>
      </c>
      <c r="D172" s="435"/>
      <c r="E172" s="435"/>
      <c r="F172" s="435"/>
      <c r="G172" s="435"/>
      <c r="H172" s="435"/>
      <c r="I172" s="435"/>
      <c r="J172" s="435"/>
      <c r="K172" s="435"/>
      <c r="L172" s="435"/>
      <c r="M172" s="435"/>
      <c r="N172" s="435"/>
      <c r="O172" s="435"/>
      <c r="P172" s="435"/>
      <c r="Q172" s="435"/>
      <c r="R172" s="435"/>
      <c r="S172" s="435"/>
      <c r="T172" s="435"/>
      <c r="U172" s="435"/>
      <c r="V172" s="435"/>
      <c r="W172" s="435"/>
      <c r="X172" s="435"/>
      <c r="Y172" s="435"/>
      <c r="Z172" s="435"/>
      <c r="AA172" s="435"/>
      <c r="AB172" s="435"/>
      <c r="AE172" s="435"/>
      <c r="AF172" s="2321" t="s">
        <v>807</v>
      </c>
      <c r="AG172" s="2321"/>
      <c r="AH172" s="435"/>
      <c r="AI172" s="435"/>
      <c r="AJ172" s="435"/>
      <c r="AK172" s="435"/>
      <c r="AL172" s="435"/>
      <c r="AM172" s="502"/>
      <c r="AN172" s="496"/>
      <c r="AO172" s="376" t="s">
        <v>2209</v>
      </c>
      <c r="AP172" s="498">
        <v>3</v>
      </c>
    </row>
    <row r="173" spans="1:42" s="449" customFormat="1" ht="9" customHeight="1">
      <c r="A173" s="435"/>
      <c r="B173" s="435"/>
      <c r="C173" s="504"/>
      <c r="D173" s="504"/>
      <c r="E173" s="504"/>
      <c r="F173" s="504"/>
      <c r="G173" s="504"/>
      <c r="H173" s="504"/>
      <c r="I173" s="504"/>
      <c r="J173" s="504"/>
      <c r="K173" s="504"/>
      <c r="L173" s="504"/>
      <c r="M173" s="504"/>
      <c r="N173" s="504"/>
      <c r="O173" s="504"/>
      <c r="P173" s="504"/>
      <c r="Q173" s="504"/>
      <c r="R173" s="504"/>
      <c r="S173" s="504"/>
      <c r="T173" s="504"/>
      <c r="U173" s="504"/>
      <c r="V173" s="504"/>
      <c r="W173" s="504"/>
      <c r="X173" s="504"/>
      <c r="Y173" s="504"/>
      <c r="Z173" s="504"/>
      <c r="AA173" s="504"/>
      <c r="AB173" s="504"/>
      <c r="AC173" s="504"/>
      <c r="AD173" s="504"/>
      <c r="AE173" s="435"/>
      <c r="AF173" s="435"/>
      <c r="AG173" s="435"/>
      <c r="AJ173" s="435"/>
      <c r="AK173" s="435"/>
      <c r="AL173" s="435"/>
      <c r="AM173" s="502"/>
      <c r="AN173" s="496"/>
      <c r="AO173" s="501" t="s">
        <v>2210</v>
      </c>
      <c r="AP173" s="498">
        <v>3</v>
      </c>
    </row>
    <row r="174" spans="1:42" s="449" customFormat="1" ht="12.75" customHeight="1">
      <c r="A174" s="435"/>
      <c r="B174" s="435"/>
      <c r="C174" s="2520" t="s">
        <v>2195</v>
      </c>
      <c r="D174" s="2520"/>
      <c r="E174" s="2520"/>
      <c r="F174" s="2520"/>
      <c r="G174" s="2520"/>
      <c r="H174" s="2520"/>
      <c r="I174" s="2520"/>
      <c r="J174" s="2520"/>
      <c r="K174" s="2520"/>
      <c r="L174" s="2520"/>
      <c r="M174" s="2520"/>
      <c r="N174" s="2520"/>
      <c r="O174" s="2520"/>
      <c r="P174" s="2520"/>
      <c r="Q174" s="2520"/>
      <c r="R174" s="2520"/>
      <c r="S174" s="2520"/>
      <c r="T174" s="2520"/>
      <c r="U174" s="2520"/>
      <c r="V174" s="2520"/>
      <c r="W174" s="2520"/>
      <c r="X174" s="2520"/>
      <c r="Y174" s="2520"/>
      <c r="Z174" s="2520"/>
      <c r="AA174" s="2520"/>
      <c r="AB174" s="2520"/>
      <c r="AC174" s="2520"/>
      <c r="AD174" s="2520"/>
      <c r="AE174" s="435"/>
      <c r="AF174" s="435"/>
      <c r="AG174" s="435"/>
      <c r="AH174" s="435"/>
      <c r="AI174" s="435"/>
      <c r="AJ174" s="435"/>
      <c r="AK174" s="435"/>
      <c r="AL174" s="435"/>
      <c r="AM174" s="502"/>
      <c r="AN174" s="496"/>
      <c r="AO174" s="501"/>
      <c r="AP174" s="498"/>
    </row>
    <row r="175" spans="1:42" s="449" customFormat="1" ht="12.75" customHeight="1">
      <c r="A175" s="435"/>
      <c r="B175" s="435"/>
      <c r="C175" s="438" t="s">
        <v>2199</v>
      </c>
      <c r="D175" s="438"/>
      <c r="E175" s="438"/>
      <c r="F175" s="438"/>
      <c r="G175" s="438"/>
      <c r="H175" s="438"/>
      <c r="I175" s="438"/>
      <c r="J175" s="438"/>
      <c r="K175" s="438"/>
      <c r="L175" s="438"/>
      <c r="M175" s="438"/>
      <c r="N175" s="438"/>
      <c r="O175" s="438"/>
      <c r="P175" s="438"/>
      <c r="Q175" s="438"/>
      <c r="R175" s="438"/>
      <c r="S175" s="438"/>
      <c r="T175" s="438"/>
      <c r="U175" s="438"/>
      <c r="V175" s="438"/>
      <c r="W175" s="438"/>
      <c r="X175" s="438"/>
      <c r="Y175" s="438"/>
      <c r="Z175" s="438"/>
      <c r="AA175" s="438"/>
      <c r="AB175" s="438"/>
      <c r="AC175" s="438"/>
      <c r="AD175" s="438"/>
      <c r="AE175" s="438"/>
      <c r="AF175" s="438"/>
      <c r="AG175" s="438"/>
      <c r="AH175" s="438"/>
      <c r="AI175" s="438"/>
      <c r="AJ175" s="438"/>
      <c r="AK175" s="438"/>
      <c r="AL175" s="435"/>
      <c r="AM175" s="502"/>
      <c r="AN175" s="496"/>
      <c r="AO175" s="503"/>
      <c r="AP175" s="503"/>
    </row>
    <row r="176" spans="1:42" s="449" customFormat="1" ht="12.75" customHeight="1">
      <c r="A176" s="435"/>
      <c r="B176" s="435"/>
      <c r="C176" s="435"/>
      <c r="D176" s="435"/>
      <c r="E176" s="435"/>
      <c r="F176" s="435"/>
      <c r="G176" s="435"/>
      <c r="H176" s="435"/>
      <c r="I176" s="435"/>
      <c r="J176" s="435"/>
      <c r="K176" s="435"/>
      <c r="L176" s="435"/>
      <c r="M176" s="435"/>
      <c r="N176" s="435"/>
      <c r="O176" s="435"/>
      <c r="P176" s="435"/>
      <c r="Q176" s="435"/>
      <c r="R176" s="435"/>
      <c r="S176" s="435"/>
      <c r="T176" s="435"/>
      <c r="U176" s="435"/>
      <c r="V176" s="435"/>
      <c r="W176" s="435"/>
      <c r="X176" s="435"/>
      <c r="Y176" s="435"/>
      <c r="Z176" s="435"/>
      <c r="AA176" s="435"/>
      <c r="AB176" s="435"/>
      <c r="AC176" s="435"/>
      <c r="AD176" s="435"/>
      <c r="AE176" s="435"/>
      <c r="AF176" s="435"/>
      <c r="AG176" s="435"/>
      <c r="AH176" s="435"/>
      <c r="AI176" s="435"/>
      <c r="AJ176" s="435"/>
      <c r="AK176" s="435"/>
      <c r="AL176" s="435"/>
      <c r="AM176" s="502"/>
      <c r="AN176" s="496"/>
    </row>
    <row r="177" spans="1:73" s="449" customFormat="1" ht="12.75" customHeight="1">
      <c r="A177" s="435"/>
      <c r="B177" s="435"/>
      <c r="C177" s="437" t="s">
        <v>2211</v>
      </c>
      <c r="D177" s="504"/>
      <c r="E177" s="504"/>
      <c r="F177" s="504"/>
      <c r="G177" s="504"/>
      <c r="H177" s="504"/>
      <c r="I177" s="504"/>
      <c r="J177" s="504"/>
      <c r="K177" s="504"/>
      <c r="L177" s="504"/>
      <c r="M177" s="504"/>
      <c r="N177" s="504"/>
      <c r="O177" s="504"/>
      <c r="P177" s="504"/>
      <c r="Q177" s="504"/>
      <c r="R177" s="504"/>
      <c r="S177" s="504"/>
      <c r="T177" s="504"/>
      <c r="U177" s="504"/>
      <c r="V177" s="504"/>
      <c r="W177" s="504"/>
      <c r="X177" s="504"/>
      <c r="Y177" s="504"/>
      <c r="Z177" s="504"/>
      <c r="AA177" s="504"/>
      <c r="AB177" s="504"/>
      <c r="AC177" s="504"/>
      <c r="AD177" s="504"/>
      <c r="AE177" s="435"/>
      <c r="AF177" s="435"/>
      <c r="AG177" s="435"/>
      <c r="AH177" s="435"/>
      <c r="AI177" s="435"/>
      <c r="AJ177" s="435"/>
      <c r="AK177" s="435"/>
      <c r="AL177" s="435"/>
      <c r="AM177" s="502"/>
      <c r="AN177" s="496"/>
      <c r="AO177" s="376" t="s">
        <v>2195</v>
      </c>
      <c r="AP177" s="376"/>
    </row>
    <row r="178" spans="1:73" s="449" customFormat="1" ht="12.75" customHeight="1">
      <c r="A178" s="435"/>
      <c r="B178" s="435"/>
      <c r="C178" s="2521" t="str">
        <f>Application!AA335</f>
        <v>EAH Inc.</v>
      </c>
      <c r="D178" s="2521"/>
      <c r="E178" s="2521"/>
      <c r="F178" s="2521"/>
      <c r="G178" s="2521"/>
      <c r="H178" s="2521"/>
      <c r="I178" s="2521"/>
      <c r="J178" s="2521"/>
      <c r="K178" s="2521"/>
      <c r="L178" s="2521"/>
      <c r="M178" s="2521"/>
      <c r="N178" s="2521"/>
      <c r="O178" s="2521"/>
      <c r="P178" s="2521"/>
      <c r="Q178" s="2521"/>
      <c r="R178" s="2521"/>
      <c r="S178" s="2521"/>
      <c r="T178" s="2521"/>
      <c r="U178" s="2521"/>
      <c r="V178" s="2521"/>
      <c r="W178" s="2521"/>
      <c r="X178" s="2521"/>
      <c r="Y178" s="2521"/>
      <c r="Z178" s="2521"/>
      <c r="AA178" s="2521"/>
      <c r="AB178" s="2521"/>
      <c r="AC178" s="2521"/>
      <c r="AD178" s="2521"/>
      <c r="AE178" s="435"/>
      <c r="AF178" s="435"/>
      <c r="AG178" s="435"/>
      <c r="AH178" s="435"/>
      <c r="AI178" s="435"/>
      <c r="AJ178" s="435"/>
      <c r="AK178" s="435"/>
      <c r="AL178" s="435"/>
      <c r="AM178" s="502"/>
      <c r="AN178" s="496"/>
      <c r="AO178" s="376" t="s">
        <v>2212</v>
      </c>
      <c r="AP178" s="498">
        <v>2</v>
      </c>
    </row>
    <row r="179" spans="1:73" s="449" customFormat="1" ht="12.75" customHeight="1">
      <c r="A179" s="435"/>
      <c r="B179" s="435"/>
      <c r="C179" s="504"/>
      <c r="D179" s="504"/>
      <c r="E179" s="504"/>
      <c r="F179" s="504"/>
      <c r="G179" s="504"/>
      <c r="H179" s="504"/>
      <c r="I179" s="504"/>
      <c r="J179" s="504"/>
      <c r="K179" s="504"/>
      <c r="L179" s="504"/>
      <c r="M179" s="504"/>
      <c r="N179" s="504"/>
      <c r="O179" s="504"/>
      <c r="P179" s="504"/>
      <c r="Q179" s="504"/>
      <c r="R179" s="504"/>
      <c r="S179" s="504"/>
      <c r="T179" s="504"/>
      <c r="U179" s="504"/>
      <c r="V179" s="504"/>
      <c r="W179" s="504"/>
      <c r="X179" s="504"/>
      <c r="Y179" s="504"/>
      <c r="Z179" s="504"/>
      <c r="AA179" s="504"/>
      <c r="AB179" s="504"/>
      <c r="AC179" s="504"/>
      <c r="AD179" s="504"/>
      <c r="AE179" s="435"/>
      <c r="AF179" s="435"/>
      <c r="AG179" s="435"/>
      <c r="AH179" s="435"/>
      <c r="AI179" s="435"/>
      <c r="AJ179" s="435"/>
      <c r="AK179" s="435"/>
      <c r="AL179" s="435"/>
      <c r="AM179" s="502"/>
      <c r="AN179" s="496"/>
      <c r="AO179" s="376" t="s">
        <v>2213</v>
      </c>
      <c r="AP179" s="498">
        <v>3</v>
      </c>
    </row>
    <row r="180" spans="1:73" s="449" customFormat="1" ht="12.75" customHeight="1">
      <c r="A180" s="505"/>
      <c r="B180" s="463"/>
      <c r="C180" s="463"/>
      <c r="D180" s="462"/>
      <c r="E180" s="463"/>
      <c r="F180" s="463"/>
      <c r="G180" s="463"/>
      <c r="H180" s="463"/>
      <c r="I180" s="463"/>
      <c r="J180" s="463"/>
      <c r="K180" s="463"/>
      <c r="L180" s="463"/>
      <c r="M180" s="463"/>
      <c r="N180" s="463"/>
      <c r="O180" s="463"/>
      <c r="P180" s="463"/>
      <c r="Q180" s="500"/>
      <c r="R180" s="506"/>
      <c r="S180" s="463"/>
      <c r="T180" s="463"/>
      <c r="U180" s="463"/>
      <c r="V180" s="463"/>
      <c r="W180" s="463"/>
      <c r="X180" s="463"/>
      <c r="Y180" s="463"/>
      <c r="Z180" s="463"/>
      <c r="AA180" s="463"/>
      <c r="AB180" s="463"/>
      <c r="AC180" s="463"/>
      <c r="AD180" s="463"/>
      <c r="AE180" s="463"/>
      <c r="AF180" s="463"/>
      <c r="AG180" s="463"/>
      <c r="AH180" s="463"/>
      <c r="AI180" s="464" t="s">
        <v>2214</v>
      </c>
      <c r="AJ180" s="2408">
        <f>IF($AF$172="N/A",VLOOKUP($C$170,$AO$170:$AP$173,2,FALSE),VLOOKUP($C$174,$AO$177:$AP$179,2,FALSE))</f>
        <v>3</v>
      </c>
      <c r="AK180" s="2408"/>
      <c r="AL180" s="507"/>
      <c r="AM180" s="508"/>
      <c r="AN180" s="496"/>
      <c r="AO180" s="501"/>
      <c r="AP180" s="498"/>
    </row>
    <row r="181" spans="1:73" s="449" customFormat="1" ht="12.75" customHeight="1">
      <c r="A181" s="435"/>
      <c r="B181" s="509"/>
      <c r="R181" s="435"/>
      <c r="S181" s="509"/>
      <c r="AN181" s="496"/>
    </row>
    <row r="182" spans="1:73" s="449" customFormat="1" ht="12.75" customHeight="1">
      <c r="A182" s="510"/>
      <c r="B182" s="502"/>
      <c r="C182" s="502"/>
      <c r="D182" s="502"/>
      <c r="E182" s="502"/>
      <c r="F182" s="502"/>
      <c r="G182" s="502"/>
      <c r="H182" s="502"/>
      <c r="I182" s="502"/>
      <c r="J182" s="502"/>
      <c r="K182" s="502"/>
      <c r="L182" s="502"/>
      <c r="M182" s="502"/>
      <c r="N182" s="502"/>
      <c r="O182" s="502"/>
      <c r="P182" s="502"/>
      <c r="Q182" s="502"/>
      <c r="R182" s="502"/>
      <c r="S182" s="502"/>
      <c r="T182" s="502"/>
      <c r="U182" s="502"/>
      <c r="V182" s="502"/>
      <c r="W182" s="502"/>
      <c r="X182" s="502"/>
      <c r="Y182" s="502"/>
      <c r="Z182" s="502"/>
      <c r="AA182" s="502"/>
      <c r="AB182" s="502"/>
      <c r="AC182" s="502"/>
      <c r="AD182" s="502"/>
      <c r="AE182" s="502"/>
      <c r="AF182" s="502"/>
      <c r="AG182" s="502"/>
      <c r="AH182" s="502"/>
      <c r="AI182" s="502"/>
      <c r="AJ182" s="502"/>
      <c r="AK182" s="502"/>
      <c r="AL182" s="502"/>
      <c r="AM182" s="502"/>
      <c r="AN182" s="496"/>
    </row>
    <row r="183" spans="1:73" s="449" customFormat="1" ht="12.75" customHeight="1">
      <c r="A183" s="460"/>
      <c r="B183" s="461"/>
      <c r="C183" s="461"/>
      <c r="D183" s="461"/>
      <c r="E183" s="461"/>
      <c r="F183" s="461"/>
      <c r="G183" s="462"/>
      <c r="H183" s="463"/>
      <c r="I183" s="463"/>
      <c r="J183" s="463"/>
      <c r="K183" s="463"/>
      <c r="L183" s="463"/>
      <c r="M183" s="463"/>
      <c r="N183" s="463"/>
      <c r="O183" s="463"/>
      <c r="P183" s="463"/>
      <c r="Q183" s="463"/>
      <c r="R183" s="463"/>
      <c r="S183" s="463"/>
      <c r="T183" s="463"/>
      <c r="U183" s="463"/>
      <c r="V183" s="463"/>
      <c r="W183" s="463"/>
      <c r="X183" s="463"/>
      <c r="Y183" s="463"/>
      <c r="Z183" s="463"/>
      <c r="AA183" s="463"/>
      <c r="AB183" s="463"/>
      <c r="AC183" s="463"/>
      <c r="AD183" s="463"/>
      <c r="AE183" s="463"/>
      <c r="AF183" s="463"/>
      <c r="AG183" s="463"/>
      <c r="AH183" s="463"/>
      <c r="AI183" s="464"/>
      <c r="AJ183" s="464" t="s">
        <v>2215</v>
      </c>
      <c r="AK183" s="2515">
        <f>$AJ$166+$AJ$180</f>
        <v>10</v>
      </c>
      <c r="AL183" s="2516"/>
      <c r="AM183" s="2517"/>
      <c r="AN183" s="496"/>
    </row>
    <row r="184" spans="1:73" s="449" customFormat="1" ht="12.75" customHeight="1" thickBot="1">
      <c r="A184" s="465"/>
      <c r="B184" s="466"/>
      <c r="C184" s="467"/>
      <c r="D184" s="467"/>
      <c r="E184" s="467"/>
      <c r="F184" s="467"/>
      <c r="G184" s="467"/>
      <c r="H184" s="467"/>
      <c r="I184" s="467"/>
      <c r="J184" s="467"/>
      <c r="K184" s="467"/>
      <c r="L184" s="467"/>
      <c r="M184" s="467"/>
      <c r="N184" s="467"/>
      <c r="O184" s="467"/>
      <c r="P184" s="467"/>
      <c r="Q184" s="467"/>
      <c r="R184" s="467"/>
      <c r="S184" s="467"/>
      <c r="T184" s="467"/>
      <c r="U184" s="467"/>
      <c r="V184" s="467"/>
      <c r="W184" s="467"/>
      <c r="X184" s="467"/>
      <c r="Y184" s="467"/>
      <c r="Z184" s="467"/>
      <c r="AA184" s="467"/>
      <c r="AB184" s="467"/>
      <c r="AC184" s="467"/>
      <c r="AD184" s="467"/>
      <c r="AE184" s="467"/>
      <c r="AF184" s="467"/>
      <c r="AG184" s="467"/>
      <c r="AH184" s="467"/>
      <c r="AI184" s="467"/>
      <c r="AJ184" s="467"/>
      <c r="AK184" s="467"/>
      <c r="AL184" s="467"/>
      <c r="AM184" s="468"/>
      <c r="AN184" s="496"/>
      <c r="AO184" s="467"/>
      <c r="AR184" s="467"/>
      <c r="AS184" s="467"/>
      <c r="AT184" s="467"/>
      <c r="AU184" s="467"/>
      <c r="AV184" s="467"/>
      <c r="AW184" s="467"/>
      <c r="AX184" s="467"/>
      <c r="AY184" s="467"/>
      <c r="AZ184" s="467"/>
      <c r="BA184" s="467"/>
      <c r="BB184" s="467"/>
      <c r="BC184" s="467"/>
      <c r="BD184" s="467"/>
      <c r="BE184" s="467"/>
      <c r="BF184" s="467"/>
      <c r="BG184" s="467"/>
      <c r="BH184" s="467"/>
      <c r="BI184" s="467"/>
      <c r="BJ184" s="467"/>
      <c r="BK184" s="467"/>
      <c r="BL184" s="467"/>
      <c r="BM184" s="467"/>
      <c r="BN184" s="467"/>
      <c r="BO184" s="467"/>
      <c r="BP184" s="467"/>
      <c r="BQ184" s="467"/>
      <c r="BR184" s="467"/>
      <c r="BS184" s="467"/>
      <c r="BT184" s="467"/>
      <c r="BU184" s="467"/>
    </row>
    <row r="185" spans="1:73" s="449" customFormat="1" ht="12.75" customHeight="1" thickTop="1">
      <c r="A185" s="469"/>
      <c r="B185" s="470"/>
      <c r="C185" s="471"/>
      <c r="D185" s="471"/>
      <c r="E185" s="471"/>
      <c r="F185" s="471"/>
      <c r="G185" s="471"/>
      <c r="H185" s="471"/>
      <c r="I185" s="472"/>
      <c r="J185" s="472"/>
      <c r="K185" s="472"/>
      <c r="L185" s="472"/>
      <c r="M185" s="472"/>
      <c r="N185" s="472"/>
      <c r="O185" s="472"/>
      <c r="P185" s="472"/>
      <c r="Q185" s="472"/>
      <c r="R185" s="469"/>
      <c r="S185" s="438"/>
      <c r="T185" s="438"/>
      <c r="U185" s="438"/>
      <c r="V185" s="438"/>
      <c r="W185" s="438"/>
      <c r="X185" s="438"/>
      <c r="Y185" s="438"/>
      <c r="Z185" s="438"/>
      <c r="AA185" s="438"/>
      <c r="AB185" s="438"/>
      <c r="AC185" s="438"/>
      <c r="AD185" s="438"/>
      <c r="AE185" s="438"/>
      <c r="AF185" s="469"/>
      <c r="AG185" s="438"/>
      <c r="AH185" s="438"/>
      <c r="AI185" s="438"/>
      <c r="AJ185" s="438"/>
      <c r="AN185" s="496"/>
      <c r="AP185" s="511" t="s">
        <v>2216</v>
      </c>
      <c r="AQ185" s="511">
        <v>0</v>
      </c>
    </row>
    <row r="186" spans="1:73" s="449" customFormat="1" ht="12.75" customHeight="1">
      <c r="A186" s="437" t="s">
        <v>2217</v>
      </c>
      <c r="B186" s="437" t="s">
        <v>2218</v>
      </c>
      <c r="C186" s="512"/>
      <c r="D186" s="513"/>
      <c r="E186" s="513"/>
      <c r="F186" s="513"/>
      <c r="G186" s="513"/>
      <c r="H186" s="513"/>
      <c r="I186" s="513"/>
      <c r="J186" s="513"/>
      <c r="K186" s="435"/>
      <c r="L186" s="435"/>
      <c r="M186" s="435"/>
      <c r="N186" s="435"/>
      <c r="O186" s="435"/>
      <c r="P186" s="435"/>
      <c r="Q186" s="435"/>
      <c r="R186" s="435"/>
      <c r="S186" s="435"/>
      <c r="T186" s="435"/>
      <c r="U186" s="435"/>
      <c r="V186" s="435"/>
      <c r="W186" s="435"/>
      <c r="X186" s="435"/>
      <c r="Y186" s="514"/>
      <c r="Z186" s="514"/>
      <c r="AA186" s="514"/>
      <c r="AB186" s="514"/>
      <c r="AC186" s="435"/>
      <c r="AD186" s="435"/>
      <c r="AE186" s="2389" t="s">
        <v>2145</v>
      </c>
      <c r="AF186" s="2389"/>
      <c r="AG186" s="2389"/>
      <c r="AH186" s="2389"/>
      <c r="AI186" s="2389"/>
      <c r="AJ186" s="2389"/>
      <c r="AK186" s="2389"/>
      <c r="AL186" s="490"/>
      <c r="AN186" s="496"/>
      <c r="AP186" s="449" t="s">
        <v>934</v>
      </c>
      <c r="AQ186" s="449">
        <v>10</v>
      </c>
    </row>
    <row r="187" spans="1:73" s="449" customFormat="1" ht="12.75" customHeight="1">
      <c r="A187" s="437"/>
      <c r="B187" s="515"/>
      <c r="C187" s="516"/>
      <c r="D187" s="513"/>
      <c r="E187" s="513"/>
      <c r="F187" s="513"/>
      <c r="G187" s="513"/>
      <c r="H187" s="435"/>
      <c r="I187" s="435"/>
      <c r="J187" s="435"/>
      <c r="K187" s="435"/>
      <c r="L187" s="435"/>
      <c r="M187" s="435"/>
      <c r="N187" s="435"/>
      <c r="O187" s="435"/>
      <c r="P187" s="435"/>
      <c r="Q187" s="435"/>
      <c r="R187" s="514"/>
      <c r="S187" s="514"/>
      <c r="T187" s="514"/>
      <c r="U187" s="514"/>
      <c r="V187" s="514"/>
      <c r="W187" s="514"/>
      <c r="X187" s="514"/>
      <c r="Y187" s="514"/>
      <c r="Z187" s="514"/>
      <c r="AA187" s="514"/>
      <c r="AB187" s="514"/>
      <c r="AC187" s="490"/>
      <c r="AD187" s="490"/>
      <c r="AE187" s="435"/>
      <c r="AF187" s="435"/>
      <c r="AG187" s="435"/>
      <c r="AH187" s="435"/>
      <c r="AI187" s="435"/>
      <c r="AJ187" s="435"/>
      <c r="AK187" s="435"/>
      <c r="AL187" s="435"/>
      <c r="AN187" s="496"/>
      <c r="AP187" s="449" t="s">
        <v>2219</v>
      </c>
      <c r="AQ187" s="449">
        <v>10</v>
      </c>
    </row>
    <row r="188" spans="1:73" s="449" customFormat="1" ht="12.75" customHeight="1">
      <c r="A188" s="435"/>
      <c r="B188" s="2518" t="s">
        <v>2216</v>
      </c>
      <c r="C188" s="2518"/>
      <c r="D188" s="2518"/>
      <c r="E188" s="2518"/>
      <c r="F188" s="2518"/>
      <c r="G188" s="2518"/>
      <c r="H188" s="2518"/>
      <c r="I188" s="2518"/>
      <c r="J188" s="2518"/>
      <c r="K188" s="2518"/>
      <c r="L188" s="2518"/>
      <c r="M188" s="2518"/>
      <c r="N188" s="2518"/>
      <c r="O188" s="2518"/>
      <c r="P188" s="2518"/>
      <c r="Q188" s="2518"/>
      <c r="R188" s="2518"/>
      <c r="S188" s="2518"/>
      <c r="T188" s="2518"/>
      <c r="U188" s="2518"/>
      <c r="V188" s="2518"/>
      <c r="W188" s="2518"/>
      <c r="X188" s="2518"/>
      <c r="Y188" s="2518"/>
      <c r="Z188" s="2518"/>
      <c r="AA188" s="2518"/>
      <c r="AB188" s="2518"/>
      <c r="AC188" s="2518"/>
      <c r="AD188" s="435"/>
      <c r="AE188" s="435"/>
      <c r="AF188" s="2449" t="s">
        <v>2220</v>
      </c>
      <c r="AG188" s="2449"/>
      <c r="AH188" s="2449"/>
      <c r="AI188" s="2449"/>
      <c r="AJ188" s="2449"/>
      <c r="AK188" s="2449"/>
      <c r="AL188" s="2449"/>
      <c r="AN188" s="496"/>
      <c r="AP188" s="449" t="s">
        <v>942</v>
      </c>
      <c r="AQ188" s="449">
        <v>10</v>
      </c>
    </row>
    <row r="189" spans="1:73" s="449" customFormat="1" ht="12.75" customHeight="1">
      <c r="A189" s="435"/>
      <c r="B189" s="2320" t="s">
        <v>2221</v>
      </c>
      <c r="C189" s="2320"/>
      <c r="D189" s="2320"/>
      <c r="E189" s="2320"/>
      <c r="F189" s="2320"/>
      <c r="G189" s="2320"/>
      <c r="H189" s="2320"/>
      <c r="I189" s="2320"/>
      <c r="J189" s="2320"/>
      <c r="K189" s="2320"/>
      <c r="L189" s="2320"/>
      <c r="M189" s="2320"/>
      <c r="N189" s="2320"/>
      <c r="O189" s="2320"/>
      <c r="P189" s="2320"/>
      <c r="Q189" s="2320"/>
      <c r="R189" s="2320"/>
      <c r="S189" s="2320"/>
      <c r="T189" s="2519" t="s">
        <v>807</v>
      </c>
      <c r="U189" s="2519"/>
      <c r="V189" s="2519"/>
      <c r="W189" s="2519"/>
      <c r="X189" s="2519"/>
      <c r="Y189" s="2519"/>
      <c r="Z189" s="2519"/>
      <c r="AA189" s="2519"/>
      <c r="AB189" s="2519"/>
      <c r="AC189" s="2519"/>
      <c r="AD189" s="435"/>
      <c r="AE189" s="435"/>
      <c r="AF189" s="435"/>
      <c r="AG189" s="435"/>
      <c r="AH189" s="435"/>
      <c r="AI189" s="435"/>
      <c r="AJ189" s="442"/>
      <c r="AK189" s="494"/>
      <c r="AL189" s="494"/>
      <c r="AM189" s="494"/>
      <c r="AN189" s="496"/>
      <c r="AP189" s="449" t="s">
        <v>943</v>
      </c>
      <c r="AQ189" s="449">
        <v>10</v>
      </c>
      <c r="AS189" s="449" t="s">
        <v>807</v>
      </c>
    </row>
    <row r="190" spans="1:73" s="449" customFormat="1" ht="12.75" customHeight="1">
      <c r="A190" s="435"/>
      <c r="B190" s="504"/>
      <c r="C190" s="504"/>
      <c r="D190" s="504"/>
      <c r="E190" s="504"/>
      <c r="F190" s="504"/>
      <c r="G190" s="504"/>
      <c r="H190" s="504"/>
      <c r="I190" s="504"/>
      <c r="J190" s="504"/>
      <c r="K190" s="504"/>
      <c r="L190" s="504"/>
      <c r="M190" s="504"/>
      <c r="N190" s="504"/>
      <c r="O190" s="504"/>
      <c r="P190" s="504"/>
      <c r="Q190" s="504"/>
      <c r="R190" s="504"/>
      <c r="S190" s="504"/>
      <c r="T190" s="504"/>
      <c r="U190" s="504"/>
      <c r="V190" s="504"/>
      <c r="W190" s="504"/>
      <c r="X190" s="504"/>
      <c r="Y190" s="504"/>
      <c r="Z190" s="504"/>
      <c r="AA190" s="504"/>
      <c r="AB190" s="504"/>
      <c r="AC190" s="504"/>
      <c r="AD190" s="504"/>
      <c r="AE190" s="435"/>
      <c r="AF190" s="435"/>
      <c r="AG190" s="435"/>
      <c r="AH190" s="435"/>
      <c r="AI190" s="435"/>
      <c r="AJ190" s="442"/>
      <c r="AK190" s="494"/>
      <c r="AL190" s="494"/>
      <c r="AM190" s="517"/>
      <c r="AP190" s="449" t="s">
        <v>2222</v>
      </c>
      <c r="AQ190" s="449">
        <v>10</v>
      </c>
      <c r="AS190" s="449" t="s">
        <v>2223</v>
      </c>
    </row>
    <row r="191" spans="1:73" s="449" customFormat="1" ht="12.75" customHeight="1">
      <c r="A191" s="505"/>
      <c r="B191" s="463"/>
      <c r="C191" s="463"/>
      <c r="D191" s="463"/>
      <c r="E191" s="463"/>
      <c r="F191" s="463"/>
      <c r="G191" s="463"/>
      <c r="H191" s="463"/>
      <c r="I191" s="463"/>
      <c r="J191" s="463"/>
      <c r="K191" s="463"/>
      <c r="L191" s="463"/>
      <c r="M191" s="463"/>
      <c r="N191" s="463"/>
      <c r="O191" s="463"/>
      <c r="P191" s="463"/>
      <c r="Q191" s="463"/>
      <c r="R191" s="463"/>
      <c r="S191" s="463"/>
      <c r="T191" s="463"/>
      <c r="U191" s="463"/>
      <c r="V191" s="463"/>
      <c r="W191" s="463"/>
      <c r="X191" s="463"/>
      <c r="Y191" s="463"/>
      <c r="Z191" s="463"/>
      <c r="AA191" s="463"/>
      <c r="AB191" s="463"/>
      <c r="AC191" s="463"/>
      <c r="AD191" s="463"/>
      <c r="AE191" s="463"/>
      <c r="AF191" s="463"/>
      <c r="AG191" s="463"/>
      <c r="AH191" s="463"/>
      <c r="AI191" s="464"/>
      <c r="AJ191" s="464" t="s">
        <v>2224</v>
      </c>
      <c r="AK191" s="2356">
        <f>IF(AK84&gt;0,VLOOKUP($B$188,AP185:AQ191,2,FALSE),0)</f>
        <v>0</v>
      </c>
      <c r="AL191" s="2357"/>
      <c r="AM191" s="2358"/>
      <c r="AN191" s="434"/>
      <c r="AP191" s="449" t="s">
        <v>2225</v>
      </c>
      <c r="AQ191" s="449">
        <v>10</v>
      </c>
      <c r="AS191" s="449" t="s">
        <v>2226</v>
      </c>
    </row>
    <row r="192" spans="1:73" s="449" customFormat="1" ht="12.75" customHeight="1" thickBot="1">
      <c r="A192" s="518"/>
      <c r="B192" s="518"/>
      <c r="C192" s="519"/>
      <c r="D192" s="520"/>
      <c r="E192" s="520"/>
      <c r="F192" s="520"/>
      <c r="G192" s="520"/>
      <c r="H192" s="520"/>
      <c r="I192" s="520"/>
      <c r="J192" s="520"/>
      <c r="K192" s="520"/>
      <c r="L192" s="520"/>
      <c r="M192" s="520"/>
      <c r="N192" s="520"/>
      <c r="O192" s="520"/>
      <c r="P192" s="520"/>
      <c r="Q192" s="520"/>
      <c r="R192" s="520"/>
      <c r="S192" s="520"/>
      <c r="T192" s="520"/>
      <c r="U192" s="520"/>
      <c r="V192" s="520"/>
      <c r="W192" s="520"/>
      <c r="X192" s="520"/>
      <c r="Y192" s="520"/>
      <c r="Z192" s="520"/>
      <c r="AA192" s="520"/>
      <c r="AB192" s="520"/>
      <c r="AC192" s="520"/>
      <c r="AD192" s="520"/>
      <c r="AE192" s="520"/>
      <c r="AF192" s="520"/>
      <c r="AG192" s="520"/>
      <c r="AH192" s="520"/>
      <c r="AI192" s="520"/>
      <c r="AJ192" s="520"/>
      <c r="AK192" s="520"/>
      <c r="AL192" s="520"/>
      <c r="AM192" s="520"/>
      <c r="AN192" s="496"/>
    </row>
    <row r="193" spans="1:40" s="449" customFormat="1" ht="12.75" customHeight="1" thickTop="1">
      <c r="A193" s="469"/>
      <c r="B193" s="470"/>
      <c r="C193" s="471"/>
      <c r="D193" s="471"/>
      <c r="E193" s="471"/>
      <c r="F193" s="471"/>
      <c r="G193" s="471"/>
      <c r="H193" s="471"/>
      <c r="I193" s="472"/>
      <c r="J193" s="472"/>
      <c r="K193" s="472"/>
      <c r="L193" s="472"/>
      <c r="M193" s="472"/>
      <c r="N193" s="472"/>
      <c r="O193" s="472"/>
      <c r="P193" s="472"/>
      <c r="Q193" s="472"/>
      <c r="R193" s="469"/>
      <c r="S193" s="438"/>
      <c r="T193" s="438"/>
      <c r="U193" s="438"/>
      <c r="V193" s="438"/>
      <c r="W193" s="438"/>
      <c r="X193" s="438"/>
      <c r="Y193" s="438"/>
      <c r="Z193" s="438"/>
      <c r="AA193" s="438"/>
      <c r="AB193" s="438"/>
      <c r="AC193" s="438"/>
      <c r="AD193" s="438"/>
      <c r="AE193" s="438"/>
      <c r="AF193" s="469"/>
      <c r="AG193" s="438"/>
      <c r="AH193" s="438"/>
      <c r="AI193" s="438"/>
      <c r="AJ193" s="438"/>
      <c r="AN193" s="496"/>
    </row>
    <row r="194" spans="1:40" ht="13">
      <c r="A194" s="437" t="s">
        <v>2227</v>
      </c>
      <c r="B194" s="437" t="s">
        <v>2228</v>
      </c>
      <c r="C194" s="512"/>
      <c r="D194" s="513"/>
      <c r="E194" s="513"/>
      <c r="F194" s="513"/>
      <c r="G194" s="513"/>
      <c r="H194" s="513"/>
      <c r="I194" s="513"/>
      <c r="J194" s="513"/>
      <c r="K194" s="449"/>
      <c r="L194" s="449"/>
      <c r="M194" s="449"/>
      <c r="N194" s="449"/>
      <c r="O194" s="449"/>
      <c r="P194" s="449"/>
      <c r="Q194" s="449"/>
      <c r="R194" s="449"/>
      <c r="S194" s="449"/>
      <c r="T194" s="449"/>
      <c r="U194" s="449"/>
      <c r="V194" s="449"/>
      <c r="W194" s="449"/>
      <c r="X194" s="449"/>
      <c r="Y194" s="514"/>
      <c r="Z194" s="514"/>
      <c r="AA194" s="514"/>
      <c r="AB194" s="514"/>
      <c r="AC194" s="449"/>
      <c r="AD194" s="449"/>
      <c r="AE194" s="2389" t="s">
        <v>2229</v>
      </c>
      <c r="AF194" s="2389"/>
      <c r="AG194" s="2389"/>
      <c r="AH194" s="2389"/>
      <c r="AI194" s="2389"/>
      <c r="AJ194" s="2389"/>
      <c r="AK194" s="2389"/>
    </row>
    <row r="195" spans="1:40" ht="13">
      <c r="A195" s="437"/>
      <c r="B195" s="437"/>
      <c r="C195" s="512"/>
      <c r="D195" s="513"/>
      <c r="E195" s="513"/>
      <c r="F195" s="513"/>
      <c r="G195" s="513"/>
      <c r="H195" s="513"/>
      <c r="I195" s="513"/>
      <c r="J195" s="513"/>
      <c r="K195" s="435"/>
      <c r="L195" s="435"/>
      <c r="M195" s="435"/>
      <c r="N195" s="435"/>
      <c r="O195" s="435"/>
      <c r="P195" s="435"/>
      <c r="Q195" s="435"/>
      <c r="R195" s="435"/>
      <c r="S195" s="435"/>
      <c r="T195" s="435"/>
      <c r="U195" s="435"/>
      <c r="V195" s="435"/>
      <c r="W195" s="435"/>
      <c r="X195" s="435"/>
      <c r="Y195" s="514"/>
      <c r="Z195" s="514"/>
      <c r="AA195" s="514"/>
      <c r="AB195" s="514"/>
      <c r="AC195" s="435"/>
      <c r="AD195" s="435"/>
      <c r="AE195" s="442"/>
      <c r="AF195" s="442"/>
      <c r="AG195" s="442"/>
      <c r="AH195" s="442"/>
      <c r="AI195" s="442"/>
      <c r="AJ195" s="442"/>
      <c r="AK195" s="442"/>
    </row>
    <row r="196" spans="1:40" ht="13">
      <c r="A196" s="437"/>
      <c r="B196" s="743" t="s">
        <v>2230</v>
      </c>
      <c r="C196" s="512"/>
      <c r="D196" s="513"/>
      <c r="E196" s="513"/>
      <c r="F196" s="513"/>
      <c r="G196" s="513"/>
      <c r="H196" s="513"/>
      <c r="I196" s="513"/>
      <c r="J196" s="513"/>
      <c r="K196" s="435"/>
      <c r="L196" s="435"/>
      <c r="M196" s="435"/>
      <c r="N196" s="435"/>
      <c r="O196" s="435"/>
      <c r="P196" s="435"/>
      <c r="Q196" s="435"/>
      <c r="R196" s="435"/>
      <c r="S196" s="435"/>
      <c r="T196" s="435"/>
      <c r="U196" s="435"/>
      <c r="V196" s="435"/>
      <c r="W196" s="435"/>
      <c r="X196" s="435"/>
      <c r="Y196" s="514"/>
      <c r="Z196" s="514"/>
      <c r="AA196" s="514"/>
      <c r="AB196" s="514"/>
      <c r="AC196" s="435"/>
      <c r="AD196" s="435"/>
      <c r="AE196" s="442"/>
      <c r="AF196" s="442"/>
      <c r="AG196" s="442"/>
      <c r="AH196" s="442"/>
      <c r="AI196" s="442"/>
      <c r="AJ196" s="442"/>
      <c r="AK196" s="442"/>
    </row>
    <row r="197" spans="1:40">
      <c r="A197" s="504"/>
      <c r="C197" s="562"/>
      <c r="D197" s="726"/>
      <c r="E197" s="726"/>
      <c r="F197" s="726"/>
      <c r="G197" s="726"/>
      <c r="H197" s="726"/>
      <c r="I197" s="726"/>
      <c r="J197" s="726"/>
      <c r="K197" s="435"/>
      <c r="L197" s="435"/>
      <c r="M197" s="435"/>
      <c r="N197" s="435"/>
      <c r="O197" s="435"/>
      <c r="P197" s="435"/>
      <c r="Q197" s="435"/>
      <c r="R197" s="435"/>
      <c r="S197" s="435"/>
      <c r="T197" s="435"/>
      <c r="U197" s="435"/>
      <c r="V197" s="435"/>
      <c r="W197" s="435"/>
      <c r="X197" s="435"/>
      <c r="Y197" s="542"/>
      <c r="Z197" s="542"/>
      <c r="AA197" s="542"/>
      <c r="AB197" s="542"/>
      <c r="AC197" s="435"/>
      <c r="AD197" s="435"/>
      <c r="AE197" s="509"/>
      <c r="AF197" s="509"/>
      <c r="AG197" s="509"/>
      <c r="AH197" s="509"/>
      <c r="AI197" s="509"/>
      <c r="AJ197" s="509"/>
      <c r="AK197" s="509"/>
    </row>
    <row r="198" spans="1:40">
      <c r="A198" s="504"/>
      <c r="B198" s="744" t="s">
        <v>2231</v>
      </c>
      <c r="C198" s="562"/>
      <c r="D198" s="726"/>
      <c r="E198" s="726"/>
      <c r="F198" s="726"/>
      <c r="G198" s="726"/>
      <c r="H198" s="726"/>
      <c r="I198" s="726"/>
      <c r="J198" s="726"/>
      <c r="K198" s="435"/>
      <c r="L198" s="435"/>
      <c r="M198" s="435"/>
      <c r="N198" s="435"/>
      <c r="O198" s="435"/>
      <c r="P198" s="435"/>
      <c r="Q198" s="435"/>
      <c r="R198" s="435"/>
      <c r="S198" s="435"/>
      <c r="T198" s="435"/>
      <c r="U198" s="435"/>
      <c r="V198" s="435"/>
      <c r="W198" s="435"/>
      <c r="X198" s="435"/>
      <c r="Y198" s="542"/>
      <c r="Z198" s="542"/>
      <c r="AA198" s="542"/>
      <c r="AB198" s="542"/>
      <c r="AC198" s="435"/>
      <c r="AD198" s="435"/>
      <c r="AE198" s="509"/>
      <c r="AF198" s="509"/>
      <c r="AG198" s="509"/>
      <c r="AH198" s="509"/>
      <c r="AI198" s="509"/>
      <c r="AJ198" s="509"/>
      <c r="AK198" s="509"/>
    </row>
    <row r="199" spans="1:40">
      <c r="A199" s="504"/>
      <c r="B199" s="2512" t="s">
        <v>1398</v>
      </c>
      <c r="C199" s="2512"/>
      <c r="D199" s="2512"/>
      <c r="E199" s="2512"/>
      <c r="F199" s="2512"/>
      <c r="G199" s="2512"/>
      <c r="H199" s="2512"/>
      <c r="I199" s="2512"/>
      <c r="J199" s="2512"/>
      <c r="K199" s="2512"/>
      <c r="L199" s="2512"/>
      <c r="M199" s="2512"/>
      <c r="N199" s="2512"/>
      <c r="O199" s="2512"/>
      <c r="P199" s="2512"/>
      <c r="Q199" s="2512"/>
      <c r="R199" s="2512"/>
      <c r="S199" s="2512"/>
      <c r="T199" s="2512"/>
      <c r="U199" s="2512"/>
      <c r="V199" s="2512"/>
      <c r="W199" s="2512"/>
      <c r="X199" s="2512"/>
      <c r="Y199" s="2512"/>
      <c r="Z199" s="2512"/>
      <c r="AA199" s="2512"/>
      <c r="AB199" s="2512"/>
      <c r="AC199" s="745"/>
      <c r="AD199" s="2502">
        <f>+Application!AM555</f>
        <v>1313198</v>
      </c>
      <c r="AE199" s="2502"/>
      <c r="AF199" s="2502"/>
      <c r="AG199" s="2502"/>
      <c r="AH199" s="2502"/>
      <c r="AI199" s="2502"/>
      <c r="AJ199" s="2502"/>
      <c r="AK199" s="509"/>
    </row>
    <row r="200" spans="1:40">
      <c r="A200" s="504"/>
      <c r="B200" s="2512"/>
      <c r="C200" s="2512"/>
      <c r="D200" s="2512"/>
      <c r="E200" s="2512"/>
      <c r="F200" s="2512"/>
      <c r="G200" s="2512"/>
      <c r="H200" s="2512"/>
      <c r="I200" s="2512"/>
      <c r="J200" s="2512"/>
      <c r="K200" s="2512"/>
      <c r="L200" s="2512"/>
      <c r="M200" s="2512"/>
      <c r="N200" s="2512"/>
      <c r="O200" s="2512"/>
      <c r="P200" s="2512"/>
      <c r="Q200" s="2512"/>
      <c r="R200" s="2512"/>
      <c r="S200" s="2512"/>
      <c r="T200" s="2512"/>
      <c r="U200" s="2512"/>
      <c r="V200" s="2512"/>
      <c r="W200" s="2512"/>
      <c r="X200" s="2512"/>
      <c r="Y200" s="2512"/>
      <c r="Z200" s="2512"/>
      <c r="AA200" s="2512"/>
      <c r="AB200" s="2512"/>
      <c r="AC200" s="745"/>
      <c r="AD200" s="2502"/>
      <c r="AE200" s="2502"/>
      <c r="AF200" s="2502"/>
      <c r="AG200" s="2502"/>
      <c r="AH200" s="2502"/>
      <c r="AI200" s="2502"/>
      <c r="AJ200" s="2502"/>
      <c r="AK200" s="509"/>
    </row>
    <row r="201" spans="1:40">
      <c r="A201" s="504"/>
      <c r="B201" s="2512"/>
      <c r="C201" s="2512"/>
      <c r="D201" s="2512"/>
      <c r="E201" s="2512"/>
      <c r="F201" s="2512"/>
      <c r="G201" s="2512"/>
      <c r="H201" s="2512"/>
      <c r="I201" s="2512"/>
      <c r="J201" s="2512"/>
      <c r="K201" s="2512"/>
      <c r="L201" s="2512"/>
      <c r="M201" s="2512"/>
      <c r="N201" s="2512"/>
      <c r="O201" s="2512"/>
      <c r="P201" s="2512"/>
      <c r="Q201" s="2512"/>
      <c r="R201" s="2512"/>
      <c r="S201" s="2512"/>
      <c r="T201" s="2512"/>
      <c r="U201" s="2512"/>
      <c r="V201" s="2512"/>
      <c r="W201" s="2512"/>
      <c r="X201" s="2512"/>
      <c r="Y201" s="2512"/>
      <c r="Z201" s="2512"/>
      <c r="AA201" s="2512"/>
      <c r="AB201" s="2512"/>
      <c r="AC201" s="745"/>
      <c r="AD201" s="2502"/>
      <c r="AE201" s="2502"/>
      <c r="AF201" s="2502"/>
      <c r="AG201" s="2502"/>
      <c r="AH201" s="2502"/>
      <c r="AI201" s="2502"/>
      <c r="AJ201" s="2502"/>
      <c r="AK201" s="509"/>
    </row>
    <row r="202" spans="1:40">
      <c r="A202" s="504"/>
      <c r="B202" s="2512"/>
      <c r="C202" s="2512"/>
      <c r="D202" s="2512"/>
      <c r="E202" s="2512"/>
      <c r="F202" s="2512"/>
      <c r="G202" s="2512"/>
      <c r="H202" s="2512"/>
      <c r="I202" s="2512"/>
      <c r="J202" s="2512"/>
      <c r="K202" s="2512"/>
      <c r="L202" s="2512"/>
      <c r="M202" s="2512"/>
      <c r="N202" s="2512"/>
      <c r="O202" s="2512"/>
      <c r="P202" s="2512"/>
      <c r="Q202" s="2512"/>
      <c r="R202" s="2512"/>
      <c r="S202" s="2512"/>
      <c r="T202" s="2512"/>
      <c r="U202" s="2512"/>
      <c r="V202" s="2512"/>
      <c r="W202" s="2512"/>
      <c r="X202" s="2512"/>
      <c r="Y202" s="2512"/>
      <c r="Z202" s="2512"/>
      <c r="AA202" s="2512"/>
      <c r="AB202" s="2512"/>
      <c r="AC202" s="745"/>
      <c r="AD202" s="2502"/>
      <c r="AE202" s="2502"/>
      <c r="AF202" s="2502"/>
      <c r="AG202" s="2502"/>
      <c r="AH202" s="2502"/>
      <c r="AI202" s="2502"/>
      <c r="AJ202" s="2502"/>
      <c r="AK202" s="509"/>
    </row>
    <row r="203" spans="1:40">
      <c r="A203" s="504"/>
      <c r="B203" s="2512"/>
      <c r="C203" s="2512"/>
      <c r="D203" s="2512"/>
      <c r="E203" s="2512"/>
      <c r="F203" s="2512"/>
      <c r="G203" s="2512"/>
      <c r="H203" s="2512"/>
      <c r="I203" s="2512"/>
      <c r="J203" s="2512"/>
      <c r="K203" s="2512"/>
      <c r="L203" s="2512"/>
      <c r="M203" s="2512"/>
      <c r="N203" s="2512"/>
      <c r="O203" s="2512"/>
      <c r="P203" s="2512"/>
      <c r="Q203" s="2512"/>
      <c r="R203" s="2512"/>
      <c r="S203" s="2512"/>
      <c r="T203" s="2512"/>
      <c r="U203" s="2512"/>
      <c r="V203" s="2512"/>
      <c r="W203" s="2512"/>
      <c r="X203" s="2512"/>
      <c r="Y203" s="2512"/>
      <c r="Z203" s="2512"/>
      <c r="AA203" s="2512"/>
      <c r="AB203" s="2512"/>
      <c r="AC203" s="745"/>
      <c r="AD203" s="2502"/>
      <c r="AE203" s="2502"/>
      <c r="AF203" s="2502"/>
      <c r="AG203" s="2502"/>
      <c r="AH203" s="2502"/>
      <c r="AI203" s="2502"/>
      <c r="AJ203" s="2502"/>
      <c r="AK203" s="509"/>
    </row>
    <row r="204" spans="1:40">
      <c r="A204" s="504"/>
      <c r="B204" s="2512"/>
      <c r="C204" s="2512"/>
      <c r="D204" s="2512"/>
      <c r="E204" s="2512"/>
      <c r="F204" s="2512"/>
      <c r="G204" s="2512"/>
      <c r="H204" s="2512"/>
      <c r="I204" s="2512"/>
      <c r="J204" s="2512"/>
      <c r="K204" s="2512"/>
      <c r="L204" s="2512"/>
      <c r="M204" s="2512"/>
      <c r="N204" s="2512"/>
      <c r="O204" s="2512"/>
      <c r="P204" s="2512"/>
      <c r="Q204" s="2512"/>
      <c r="R204" s="2512"/>
      <c r="S204" s="2512"/>
      <c r="T204" s="2512"/>
      <c r="U204" s="2512"/>
      <c r="V204" s="2512"/>
      <c r="W204" s="2512"/>
      <c r="X204" s="2512"/>
      <c r="Y204" s="2512"/>
      <c r="Z204" s="2512"/>
      <c r="AA204" s="2512"/>
      <c r="AB204" s="2512"/>
      <c r="AC204" s="745"/>
      <c r="AD204" s="2502"/>
      <c r="AE204" s="2502"/>
      <c r="AF204" s="2502"/>
      <c r="AG204" s="2502"/>
      <c r="AH204" s="2502"/>
      <c r="AI204" s="2502"/>
      <c r="AJ204" s="2502"/>
      <c r="AK204" s="509"/>
    </row>
    <row r="205" spans="1:40">
      <c r="A205" s="504"/>
      <c r="B205" s="2512"/>
      <c r="C205" s="2512"/>
      <c r="D205" s="2512"/>
      <c r="E205" s="2512"/>
      <c r="F205" s="2512"/>
      <c r="G205" s="2512"/>
      <c r="H205" s="2512"/>
      <c r="I205" s="2512"/>
      <c r="J205" s="2512"/>
      <c r="K205" s="2512"/>
      <c r="L205" s="2512"/>
      <c r="M205" s="2512"/>
      <c r="N205" s="2512"/>
      <c r="O205" s="2512"/>
      <c r="P205" s="2512"/>
      <c r="Q205" s="2512"/>
      <c r="R205" s="2512"/>
      <c r="S205" s="2512"/>
      <c r="T205" s="2512"/>
      <c r="U205" s="2512"/>
      <c r="V205" s="2512"/>
      <c r="W205" s="2512"/>
      <c r="X205" s="2512"/>
      <c r="Y205" s="2512"/>
      <c r="Z205" s="2512"/>
      <c r="AA205" s="2512"/>
      <c r="AB205" s="2512"/>
      <c r="AC205" s="745"/>
      <c r="AD205" s="2502"/>
      <c r="AE205" s="2502"/>
      <c r="AF205" s="2502"/>
      <c r="AG205" s="2502"/>
      <c r="AH205" s="2502"/>
      <c r="AI205" s="2502"/>
      <c r="AJ205" s="2502"/>
      <c r="AK205" s="509"/>
    </row>
    <row r="206" spans="1:40">
      <c r="A206" s="504"/>
      <c r="B206" s="2512"/>
      <c r="C206" s="2512"/>
      <c r="D206" s="2512"/>
      <c r="E206" s="2512"/>
      <c r="F206" s="2512"/>
      <c r="G206" s="2512"/>
      <c r="H206" s="2512"/>
      <c r="I206" s="2512"/>
      <c r="J206" s="2512"/>
      <c r="K206" s="2512"/>
      <c r="L206" s="2512"/>
      <c r="M206" s="2512"/>
      <c r="N206" s="2512"/>
      <c r="O206" s="2512"/>
      <c r="P206" s="2512"/>
      <c r="Q206" s="2512"/>
      <c r="R206" s="2512"/>
      <c r="S206" s="2512"/>
      <c r="T206" s="2512"/>
      <c r="U206" s="2512"/>
      <c r="V206" s="2512"/>
      <c r="W206" s="2512"/>
      <c r="X206" s="2512"/>
      <c r="Y206" s="2512"/>
      <c r="Z206" s="2512"/>
      <c r="AA206" s="2512"/>
      <c r="AB206" s="2512"/>
      <c r="AC206" s="745"/>
      <c r="AD206" s="2502"/>
      <c r="AE206" s="2502"/>
      <c r="AF206" s="2502"/>
      <c r="AG206" s="2502"/>
      <c r="AH206" s="2502"/>
      <c r="AI206" s="2502"/>
      <c r="AJ206" s="2502"/>
      <c r="AK206" s="509"/>
    </row>
    <row r="207" spans="1:40">
      <c r="A207" s="504"/>
      <c r="B207" s="2512"/>
      <c r="C207" s="2512"/>
      <c r="D207" s="2512"/>
      <c r="E207" s="2512"/>
      <c r="F207" s="2512"/>
      <c r="G207" s="2512"/>
      <c r="H207" s="2512"/>
      <c r="I207" s="2512"/>
      <c r="J207" s="2512"/>
      <c r="K207" s="2512"/>
      <c r="L207" s="2512"/>
      <c r="M207" s="2512"/>
      <c r="N207" s="2512"/>
      <c r="O207" s="2512"/>
      <c r="P207" s="2512"/>
      <c r="Q207" s="2512"/>
      <c r="R207" s="2512"/>
      <c r="S207" s="2512"/>
      <c r="T207" s="2512"/>
      <c r="U207" s="2512"/>
      <c r="V207" s="2512"/>
      <c r="W207" s="2512"/>
      <c r="X207" s="2512"/>
      <c r="Y207" s="2512"/>
      <c r="Z207" s="2512"/>
      <c r="AA207" s="2512"/>
      <c r="AB207" s="2512"/>
      <c r="AC207" s="745"/>
      <c r="AD207" s="2502"/>
      <c r="AE207" s="2502"/>
      <c r="AF207" s="2502"/>
      <c r="AG207" s="2502"/>
      <c r="AH207" s="2502"/>
      <c r="AI207" s="2502"/>
      <c r="AJ207" s="2502"/>
      <c r="AK207" s="509"/>
    </row>
    <row r="208" spans="1:40">
      <c r="A208" s="504"/>
      <c r="B208" s="2512"/>
      <c r="C208" s="2512"/>
      <c r="D208" s="2512"/>
      <c r="E208" s="2512"/>
      <c r="F208" s="2512"/>
      <c r="G208" s="2512"/>
      <c r="H208" s="2512"/>
      <c r="I208" s="2512"/>
      <c r="J208" s="2512"/>
      <c r="K208" s="2512"/>
      <c r="L208" s="2512"/>
      <c r="M208" s="2512"/>
      <c r="N208" s="2512"/>
      <c r="O208" s="2512"/>
      <c r="P208" s="2512"/>
      <c r="Q208" s="2512"/>
      <c r="R208" s="2512"/>
      <c r="S208" s="2512"/>
      <c r="T208" s="2512"/>
      <c r="U208" s="2512"/>
      <c r="V208" s="2512"/>
      <c r="W208" s="2512"/>
      <c r="X208" s="2512"/>
      <c r="Y208" s="2512"/>
      <c r="Z208" s="2512"/>
      <c r="AA208" s="2512"/>
      <c r="AB208" s="2512"/>
      <c r="AC208" s="745"/>
      <c r="AD208" s="2502"/>
      <c r="AE208" s="2502"/>
      <c r="AF208" s="2502"/>
      <c r="AG208" s="2502"/>
      <c r="AH208" s="2502"/>
      <c r="AI208" s="2502"/>
      <c r="AJ208" s="2502"/>
      <c r="AK208" s="509"/>
    </row>
    <row r="209" spans="1:37">
      <c r="A209" s="504"/>
      <c r="B209" s="2527" t="s">
        <v>2232</v>
      </c>
      <c r="C209" s="2527"/>
      <c r="D209" s="2527"/>
      <c r="E209" s="2527"/>
      <c r="F209" s="2527"/>
      <c r="G209" s="2527"/>
      <c r="H209" s="2527"/>
      <c r="I209" s="2527"/>
      <c r="J209" s="2527"/>
      <c r="K209" s="2527"/>
      <c r="L209" s="2527"/>
      <c r="M209" s="2527"/>
      <c r="N209" s="2527"/>
      <c r="O209" s="2527"/>
      <c r="P209" s="2527"/>
      <c r="Q209" s="2527"/>
      <c r="R209" s="2527"/>
      <c r="S209" s="2527"/>
      <c r="T209" s="2527"/>
      <c r="U209" s="2527"/>
      <c r="V209" s="2527"/>
      <c r="W209" s="2527"/>
      <c r="X209" s="2527"/>
      <c r="Y209" s="2527"/>
      <c r="Z209" s="2527"/>
      <c r="AA209" s="2527"/>
      <c r="AB209" s="2527"/>
      <c r="AC209" s="435"/>
      <c r="AD209" s="2500">
        <f>AB260</f>
        <v>4197957.2105519176</v>
      </c>
      <c r="AE209" s="2500"/>
      <c r="AF209" s="2500"/>
      <c r="AG209" s="2500"/>
      <c r="AH209" s="2500"/>
      <c r="AI209" s="2500"/>
      <c r="AJ209" s="2500"/>
      <c r="AK209" s="509"/>
    </row>
    <row r="210" spans="1:37">
      <c r="A210" s="504"/>
      <c r="B210" s="2374" t="s">
        <v>2233</v>
      </c>
      <c r="C210" s="2374"/>
      <c r="D210" s="2374"/>
      <c r="E210" s="2374"/>
      <c r="F210" s="2374"/>
      <c r="G210" s="2374"/>
      <c r="H210" s="2374"/>
      <c r="I210" s="2374"/>
      <c r="J210" s="2374"/>
      <c r="K210" s="2374"/>
      <c r="L210" s="2374"/>
      <c r="M210" s="2374"/>
      <c r="N210" s="2374"/>
      <c r="O210" s="2374"/>
      <c r="P210" s="2374"/>
      <c r="Q210" s="2374"/>
      <c r="R210" s="2374"/>
      <c r="S210" s="2374"/>
      <c r="T210" s="2374"/>
      <c r="U210" s="2374"/>
      <c r="V210" s="2374"/>
      <c r="W210" s="2374"/>
      <c r="X210" s="2374"/>
      <c r="Y210" s="2374"/>
      <c r="Z210" s="2374"/>
      <c r="AA210" s="2374"/>
      <c r="AB210" s="2374"/>
      <c r="AC210" s="745"/>
      <c r="AD210" s="2501">
        <f>'Sources and Uses Budget'!B15</f>
        <v>0</v>
      </c>
      <c r="AE210" s="2501"/>
      <c r="AF210" s="2501"/>
      <c r="AG210" s="2501"/>
      <c r="AH210" s="2501"/>
      <c r="AI210" s="2501"/>
      <c r="AJ210" s="2501"/>
      <c r="AK210" s="509"/>
    </row>
    <row r="211" spans="1:37" ht="13">
      <c r="A211" s="504"/>
      <c r="B211" s="348"/>
      <c r="C211" s="348"/>
      <c r="D211" s="348"/>
      <c r="E211" s="348"/>
      <c r="F211" s="348"/>
      <c r="G211" s="348"/>
      <c r="H211" s="348"/>
      <c r="I211" s="348"/>
      <c r="J211" s="348"/>
      <c r="K211" s="348"/>
      <c r="L211" s="348"/>
      <c r="M211" s="348"/>
      <c r="N211" s="348"/>
      <c r="O211" s="348"/>
      <c r="P211" s="348"/>
      <c r="Q211" s="348"/>
      <c r="R211" s="348"/>
      <c r="S211" s="348"/>
      <c r="T211" s="348"/>
      <c r="U211" s="348"/>
      <c r="V211" s="348"/>
      <c r="W211" s="348"/>
      <c r="X211" s="348"/>
      <c r="Y211" s="348"/>
      <c r="Z211" s="348"/>
      <c r="AA211" s="348"/>
      <c r="AB211" s="522" t="s">
        <v>1490</v>
      </c>
      <c r="AC211" s="435"/>
      <c r="AD211" s="2506">
        <f>SUM(AD199:AJ209)-AD210</f>
        <v>5511155.2105519176</v>
      </c>
      <c r="AE211" s="2506"/>
      <c r="AF211" s="2506"/>
      <c r="AG211" s="2506"/>
      <c r="AH211" s="2506"/>
      <c r="AI211" s="2506"/>
      <c r="AJ211" s="2506"/>
      <c r="AK211" s="509"/>
    </row>
    <row r="212" spans="1:37">
      <c r="A212" s="504"/>
      <c r="B212" s="504"/>
      <c r="C212" s="562"/>
      <c r="D212" s="726"/>
      <c r="E212" s="726"/>
      <c r="F212" s="726"/>
      <c r="G212" s="726"/>
      <c r="H212" s="726"/>
      <c r="I212" s="726"/>
      <c r="J212" s="726"/>
      <c r="K212" s="435"/>
      <c r="L212" s="435"/>
      <c r="M212" s="435"/>
      <c r="N212" s="435"/>
      <c r="O212" s="435"/>
      <c r="P212" s="435"/>
      <c r="Q212" s="435"/>
      <c r="R212" s="435"/>
      <c r="S212" s="435"/>
      <c r="T212" s="435"/>
      <c r="U212" s="435"/>
      <c r="V212" s="435"/>
      <c r="W212" s="435"/>
      <c r="X212" s="435"/>
      <c r="Y212" s="542"/>
      <c r="Z212" s="542"/>
      <c r="AA212" s="542"/>
      <c r="AB212" s="542"/>
      <c r="AC212" s="435"/>
      <c r="AD212" s="435"/>
      <c r="AE212" s="509"/>
      <c r="AF212" s="509"/>
      <c r="AG212" s="509"/>
      <c r="AH212" s="509"/>
      <c r="AI212" s="509"/>
      <c r="AJ212" s="509"/>
      <c r="AK212" s="509"/>
    </row>
    <row r="213" spans="1:37" ht="13">
      <c r="A213" s="504"/>
      <c r="B213" s="398" t="s">
        <v>2234</v>
      </c>
      <c r="C213" s="562"/>
      <c r="D213" s="726"/>
      <c r="E213" s="726"/>
      <c r="F213" s="726"/>
      <c r="G213" s="726"/>
      <c r="H213" s="726"/>
      <c r="I213" s="726"/>
      <c r="J213" s="726"/>
      <c r="K213" s="435"/>
      <c r="L213" s="435"/>
      <c r="M213" s="435"/>
      <c r="N213" s="435"/>
      <c r="O213" s="435"/>
      <c r="P213" s="435"/>
      <c r="Q213" s="435"/>
      <c r="R213" s="435"/>
      <c r="S213" s="435"/>
      <c r="T213" s="435"/>
      <c r="U213" s="435"/>
      <c r="V213" s="435"/>
      <c r="W213" s="435"/>
      <c r="X213" s="435"/>
      <c r="Y213" s="542"/>
      <c r="Z213" s="542"/>
      <c r="AA213" s="542"/>
      <c r="AB213" s="542"/>
      <c r="AC213" s="435"/>
      <c r="AD213" s="435"/>
      <c r="AE213" s="509"/>
      <c r="AF213" s="509"/>
      <c r="AG213" s="509"/>
      <c r="AH213" s="509"/>
      <c r="AI213" s="509"/>
      <c r="AJ213" s="509"/>
      <c r="AK213" s="509"/>
    </row>
    <row r="214" spans="1:37">
      <c r="A214" s="504"/>
      <c r="B214" s="376" t="s">
        <v>2235</v>
      </c>
      <c r="C214" s="562"/>
      <c r="D214" s="726"/>
      <c r="E214" s="726"/>
      <c r="F214" s="726"/>
      <c r="G214" s="726"/>
      <c r="H214" s="726"/>
      <c r="I214" s="726"/>
      <c r="J214" s="726"/>
      <c r="K214" s="435"/>
      <c r="L214" s="435"/>
      <c r="M214" s="435"/>
      <c r="N214" s="435"/>
      <c r="O214" s="435"/>
      <c r="P214" s="435"/>
      <c r="Q214" s="435"/>
      <c r="R214" s="435"/>
      <c r="S214" s="435"/>
      <c r="T214" s="435"/>
      <c r="U214" s="435"/>
      <c r="V214" s="435"/>
      <c r="W214" s="435"/>
      <c r="X214" s="435"/>
      <c r="Y214" s="542"/>
      <c r="Z214" s="542"/>
      <c r="AA214" s="542"/>
      <c r="AB214" s="542"/>
      <c r="AC214" s="435"/>
      <c r="AD214" s="435"/>
      <c r="AE214" s="509"/>
      <c r="AF214" s="509"/>
      <c r="AG214" s="509"/>
      <c r="AH214" s="509"/>
      <c r="AI214" s="509"/>
      <c r="AJ214" s="509"/>
      <c r="AK214" s="509"/>
    </row>
    <row r="215" spans="1:37">
      <c r="A215" s="753"/>
      <c r="B215" s="775" t="s">
        <v>2236</v>
      </c>
      <c r="C215" s="776"/>
      <c r="D215" s="777"/>
      <c r="E215" s="777"/>
      <c r="F215" s="777"/>
      <c r="G215" s="777"/>
      <c r="H215" s="777"/>
      <c r="I215" s="777"/>
      <c r="J215" s="777"/>
      <c r="K215" s="778"/>
      <c r="L215" s="778"/>
      <c r="M215" s="778"/>
      <c r="N215" s="778"/>
      <c r="O215" s="778"/>
      <c r="P215" s="778"/>
      <c r="Q215" s="778"/>
      <c r="R215" s="778"/>
      <c r="S215" s="643"/>
      <c r="T215" s="643"/>
      <c r="U215" s="643"/>
      <c r="V215" s="643"/>
      <c r="W215" s="643"/>
      <c r="X215" s="643"/>
      <c r="Y215" s="727"/>
      <c r="Z215" s="727"/>
      <c r="AA215" s="727"/>
      <c r="AB215" s="727"/>
      <c r="AC215" s="643"/>
      <c r="AD215" s="643"/>
      <c r="AE215" s="728"/>
      <c r="AF215" s="728"/>
      <c r="AG215" s="728"/>
      <c r="AH215" s="728"/>
      <c r="AI215" s="728"/>
      <c r="AJ215" s="729"/>
      <c r="AK215" s="509"/>
    </row>
    <row r="216" spans="1:37">
      <c r="A216" s="753"/>
      <c r="B216" s="779" t="s">
        <v>2237</v>
      </c>
      <c r="C216" s="780"/>
      <c r="D216" s="781"/>
      <c r="E216" s="781"/>
      <c r="F216" s="781"/>
      <c r="G216" s="781"/>
      <c r="H216" s="781"/>
      <c r="I216" s="781"/>
      <c r="J216" s="781"/>
      <c r="K216" s="782"/>
      <c r="L216" s="782"/>
      <c r="M216" s="782"/>
      <c r="N216" s="782"/>
      <c r="O216" s="782"/>
      <c r="P216" s="782"/>
      <c r="Q216" s="782"/>
      <c r="R216" s="782"/>
      <c r="S216" s="435"/>
      <c r="T216" s="435"/>
      <c r="U216" s="435"/>
      <c r="V216" s="435"/>
      <c r="W216" s="435"/>
      <c r="X216" s="435"/>
      <c r="Y216" s="542"/>
      <c r="Z216" s="542"/>
      <c r="AA216" s="542"/>
      <c r="AB216" s="542"/>
      <c r="AC216" s="435"/>
      <c r="AD216" s="435"/>
      <c r="AE216" s="509"/>
      <c r="AF216" s="509"/>
      <c r="AG216" s="509"/>
      <c r="AH216" s="509"/>
      <c r="AI216" s="509"/>
      <c r="AJ216" s="730"/>
      <c r="AK216" s="509"/>
    </row>
    <row r="217" spans="1:37">
      <c r="A217" s="753"/>
      <c r="B217" s="779" t="s">
        <v>2238</v>
      </c>
      <c r="C217" s="780"/>
      <c r="D217" s="781"/>
      <c r="E217" s="781"/>
      <c r="F217" s="781"/>
      <c r="G217" s="781"/>
      <c r="H217" s="781"/>
      <c r="I217" s="781"/>
      <c r="J217" s="781"/>
      <c r="K217" s="782"/>
      <c r="L217" s="782"/>
      <c r="M217" s="782"/>
      <c r="N217" s="782"/>
      <c r="O217" s="782"/>
      <c r="P217" s="782"/>
      <c r="Q217" s="782"/>
      <c r="R217" s="782"/>
      <c r="S217" s="435"/>
      <c r="T217" s="435"/>
      <c r="U217" s="435"/>
      <c r="V217" s="435"/>
      <c r="W217" s="435"/>
      <c r="X217" s="435"/>
      <c r="Y217" s="542"/>
      <c r="Z217" s="542"/>
      <c r="AA217" s="542"/>
      <c r="AB217" s="542"/>
      <c r="AC217" s="435"/>
      <c r="AD217" s="435"/>
      <c r="AE217" s="509"/>
      <c r="AF217" s="509"/>
      <c r="AG217" s="509"/>
      <c r="AH217" s="509"/>
      <c r="AI217" s="509"/>
      <c r="AJ217" s="730"/>
      <c r="AK217" s="509"/>
    </row>
    <row r="218" spans="1:37">
      <c r="A218" s="753"/>
      <c r="B218" s="779" t="s">
        <v>2239</v>
      </c>
      <c r="C218" s="780"/>
      <c r="D218" s="781"/>
      <c r="E218" s="781"/>
      <c r="F218" s="781"/>
      <c r="G218" s="781"/>
      <c r="H218" s="781"/>
      <c r="I218" s="781"/>
      <c r="J218" s="781"/>
      <c r="K218" s="782"/>
      <c r="L218" s="782"/>
      <c r="M218" s="782"/>
      <c r="N218" s="782"/>
      <c r="O218" s="782"/>
      <c r="P218" s="782"/>
      <c r="Q218" s="782"/>
      <c r="R218" s="782"/>
      <c r="S218" s="435"/>
      <c r="T218" s="435"/>
      <c r="U218" s="435"/>
      <c r="V218" s="435"/>
      <c r="W218" s="435"/>
      <c r="X218" s="435"/>
      <c r="Y218" s="542"/>
      <c r="Z218" s="542"/>
      <c r="AA218" s="542"/>
      <c r="AB218" s="542"/>
      <c r="AC218" s="435"/>
      <c r="AD218" s="435"/>
      <c r="AE218" s="509"/>
      <c r="AF218" s="509"/>
      <c r="AG218" s="509"/>
      <c r="AH218" s="509"/>
      <c r="AI218" s="509"/>
      <c r="AJ218" s="730"/>
      <c r="AK218" s="509"/>
    </row>
    <row r="219" spans="1:37">
      <c r="A219" s="753"/>
      <c r="B219" s="783" t="s">
        <v>2240</v>
      </c>
      <c r="C219" s="780"/>
      <c r="D219" s="781"/>
      <c r="E219" s="781"/>
      <c r="F219" s="781"/>
      <c r="G219" s="781"/>
      <c r="H219" s="781"/>
      <c r="I219" s="781"/>
      <c r="J219" s="781"/>
      <c r="K219" s="782"/>
      <c r="L219" s="782"/>
      <c r="M219" s="782"/>
      <c r="N219" s="782"/>
      <c r="O219" s="782"/>
      <c r="P219" s="782"/>
      <c r="Q219" s="782"/>
      <c r="R219" s="782"/>
      <c r="S219" s="435"/>
      <c r="T219" s="435"/>
      <c r="U219" s="435"/>
      <c r="V219" s="435"/>
      <c r="W219" s="435"/>
      <c r="X219" s="435"/>
      <c r="Y219" s="542"/>
      <c r="Z219" s="542"/>
      <c r="AA219" s="542"/>
      <c r="AB219" s="542"/>
      <c r="AC219" s="435"/>
      <c r="AD219" s="435"/>
      <c r="AE219" s="509"/>
      <c r="AF219" s="509"/>
      <c r="AG219" s="509"/>
      <c r="AH219" s="509"/>
      <c r="AI219" s="509"/>
      <c r="AJ219" s="730"/>
      <c r="AK219" s="509"/>
    </row>
    <row r="220" spans="1:37" ht="13">
      <c r="A220" s="753"/>
      <c r="B220" s="784" t="s">
        <v>2241</v>
      </c>
      <c r="C220" s="785"/>
      <c r="D220" s="786"/>
      <c r="E220" s="786"/>
      <c r="F220" s="786"/>
      <c r="G220" s="786"/>
      <c r="H220" s="786"/>
      <c r="I220" s="786"/>
      <c r="J220" s="786"/>
      <c r="K220" s="787"/>
      <c r="L220" s="787"/>
      <c r="M220" s="787"/>
      <c r="N220" s="787"/>
      <c r="O220" s="787"/>
      <c r="P220" s="787"/>
      <c r="Q220" s="787"/>
      <c r="R220" s="787"/>
      <c r="S220" s="636"/>
      <c r="T220" s="636"/>
      <c r="U220" s="636"/>
      <c r="V220" s="636"/>
      <c r="W220" s="636"/>
      <c r="X220" s="636"/>
      <c r="Y220" s="731"/>
      <c r="Z220" s="731"/>
      <c r="AA220" s="731"/>
      <c r="AB220" s="731"/>
      <c r="AC220" s="636"/>
      <c r="AD220" s="636"/>
      <c r="AE220" s="732"/>
      <c r="AF220" s="732"/>
      <c r="AG220" s="732"/>
      <c r="AH220" s="732"/>
      <c r="AI220" s="732"/>
      <c r="AJ220" s="733"/>
      <c r="AK220" s="509"/>
    </row>
    <row r="221" spans="1:37">
      <c r="A221" s="504"/>
      <c r="B221" s="504"/>
      <c r="C221" s="562"/>
      <c r="D221" s="726"/>
      <c r="E221" s="726"/>
      <c r="F221" s="726"/>
      <c r="G221" s="726"/>
      <c r="H221" s="726"/>
      <c r="I221" s="726"/>
      <c r="J221" s="726"/>
      <c r="K221" s="435"/>
      <c r="L221" s="435"/>
      <c r="M221" s="435"/>
      <c r="N221" s="435"/>
      <c r="O221" s="435"/>
      <c r="P221" s="435"/>
      <c r="Q221" s="435"/>
      <c r="R221" s="435"/>
      <c r="S221" s="435"/>
      <c r="T221" s="435"/>
      <c r="U221" s="435"/>
      <c r="V221" s="435"/>
      <c r="W221" s="435"/>
      <c r="X221" s="435"/>
      <c r="Y221" s="542"/>
      <c r="Z221" s="542"/>
      <c r="AA221" s="542"/>
      <c r="AB221" s="542"/>
      <c r="AC221" s="435"/>
      <c r="AD221" s="435"/>
      <c r="AE221" s="509"/>
      <c r="AF221" s="509"/>
      <c r="AG221" s="509"/>
      <c r="AH221" s="509"/>
      <c r="AI221" s="509"/>
      <c r="AJ221" s="509"/>
      <c r="AK221" s="509"/>
    </row>
    <row r="222" spans="1:37">
      <c r="A222" s="504"/>
      <c r="B222" s="747"/>
      <c r="C222" s="376"/>
      <c r="D222" s="376"/>
      <c r="I222" s="2525" t="s">
        <v>2242</v>
      </c>
      <c r="J222" s="2525"/>
      <c r="K222" s="2525"/>
      <c r="L222" s="435"/>
      <c r="M222" s="435"/>
      <c r="N222" s="435"/>
      <c r="O222" s="435"/>
      <c r="P222" s="435"/>
      <c r="Q222" s="435"/>
      <c r="R222" s="435"/>
      <c r="S222" s="435"/>
      <c r="T222" s="2340" t="s">
        <v>2243</v>
      </c>
      <c r="U222" s="2340"/>
      <c r="V222" s="2340"/>
      <c r="W222" s="2340"/>
      <c r="X222" s="2340"/>
      <c r="Y222" s="2340"/>
      <c r="Z222" s="748"/>
      <c r="AA222" s="389"/>
      <c r="AB222" s="2522" t="s">
        <v>2244</v>
      </c>
      <c r="AC222" s="2522"/>
      <c r="AD222" s="2522"/>
      <c r="AE222" s="2522"/>
      <c r="AF222" s="2522"/>
      <c r="AG222" s="2522"/>
      <c r="AH222" s="726"/>
      <c r="AI222" s="726"/>
      <c r="AJ222" s="726"/>
      <c r="AK222" s="509"/>
    </row>
    <row r="223" spans="1:37">
      <c r="A223" s="504"/>
      <c r="B223" s="2523" t="s">
        <v>2245</v>
      </c>
      <c r="C223" s="2523"/>
      <c r="D223" s="2523"/>
      <c r="E223" s="2523"/>
      <c r="F223" s="2523"/>
      <c r="G223" s="2523"/>
      <c r="I223" s="2524" t="s">
        <v>2246</v>
      </c>
      <c r="J223" s="2524"/>
      <c r="K223" s="2524"/>
      <c r="L223" s="901"/>
      <c r="N223" s="2375" t="s">
        <v>2247</v>
      </c>
      <c r="O223" s="2375"/>
      <c r="P223" s="2375"/>
      <c r="Q223" s="2375"/>
      <c r="R223" s="2375"/>
      <c r="T223" s="2375" t="s">
        <v>2248</v>
      </c>
      <c r="U223" s="2375"/>
      <c r="V223" s="2375"/>
      <c r="W223" s="2375"/>
      <c r="X223" s="2375"/>
      <c r="Y223" s="2375"/>
      <c r="Z223" s="749"/>
      <c r="AA223" s="389"/>
      <c r="AB223" s="2390" t="s">
        <v>2249</v>
      </c>
      <c r="AC223" s="2390"/>
      <c r="AD223" s="2390"/>
      <c r="AE223" s="2390"/>
      <c r="AF223" s="2390"/>
      <c r="AG223" s="2390"/>
      <c r="AH223" s="726"/>
      <c r="AI223" s="726"/>
      <c r="AJ223" s="726"/>
      <c r="AK223" s="509"/>
    </row>
    <row r="224" spans="1:37">
      <c r="A224" s="504"/>
      <c r="B224" s="2391" t="s">
        <v>2741</v>
      </c>
      <c r="C224" s="2391"/>
      <c r="D224" s="2391"/>
      <c r="E224" s="2391"/>
      <c r="F224" s="2391"/>
      <c r="G224" s="2391"/>
      <c r="H224" s="751"/>
      <c r="I224" s="2344">
        <v>7</v>
      </c>
      <c r="J224" s="2344"/>
      <c r="K224" s="2344"/>
      <c r="L224" s="901"/>
      <c r="N224" s="2342">
        <v>1451</v>
      </c>
      <c r="O224" s="2342"/>
      <c r="P224" s="2342"/>
      <c r="Q224" s="2342"/>
      <c r="R224" s="2342"/>
      <c r="T224" s="2341">
        <v>3171</v>
      </c>
      <c r="U224" s="2341"/>
      <c r="V224" s="2341"/>
      <c r="W224" s="2341"/>
      <c r="X224" s="2341"/>
      <c r="Y224" s="2341"/>
      <c r="Z224" s="750"/>
      <c r="AA224" s="750"/>
      <c r="AB224" s="2339">
        <f t="shared" ref="AB224:AB233" si="0">MAX(($T224-$N224)*$I224*12,0)</f>
        <v>144480</v>
      </c>
      <c r="AC224" s="2339"/>
      <c r="AD224" s="2339"/>
      <c r="AE224" s="2339"/>
      <c r="AF224" s="2339"/>
      <c r="AG224" s="2339"/>
      <c r="AH224" s="726"/>
      <c r="AI224" s="726"/>
      <c r="AJ224" s="726"/>
      <c r="AK224" s="509"/>
    </row>
    <row r="225" spans="1:37">
      <c r="A225" s="504"/>
      <c r="B225" s="2391" t="s">
        <v>2742</v>
      </c>
      <c r="C225" s="2391"/>
      <c r="D225" s="2391"/>
      <c r="E225" s="2391"/>
      <c r="F225" s="2391"/>
      <c r="G225" s="2391"/>
      <c r="I225" s="2344">
        <v>7</v>
      </c>
      <c r="J225" s="2344"/>
      <c r="K225" s="2344"/>
      <c r="L225" s="901"/>
      <c r="N225" s="2342">
        <v>1741</v>
      </c>
      <c r="O225" s="2342"/>
      <c r="P225" s="2342"/>
      <c r="Q225" s="2342"/>
      <c r="R225" s="2342"/>
      <c r="T225" s="2341">
        <v>3793</v>
      </c>
      <c r="U225" s="2341"/>
      <c r="V225" s="2341"/>
      <c r="W225" s="2341"/>
      <c r="X225" s="2341"/>
      <c r="Y225" s="2341"/>
      <c r="Z225" s="750"/>
      <c r="AA225" s="750"/>
      <c r="AB225" s="2339">
        <f t="shared" si="0"/>
        <v>172368</v>
      </c>
      <c r="AC225" s="2339"/>
      <c r="AD225" s="2339"/>
      <c r="AE225" s="2339"/>
      <c r="AF225" s="2339"/>
      <c r="AG225" s="2339"/>
      <c r="AH225" s="726"/>
      <c r="AI225" s="726"/>
      <c r="AJ225" s="726"/>
      <c r="AK225" s="509"/>
    </row>
    <row r="226" spans="1:37">
      <c r="A226" s="504"/>
      <c r="B226" s="2391" t="s">
        <v>2743</v>
      </c>
      <c r="C226" s="2391"/>
      <c r="D226" s="2391"/>
      <c r="E226" s="2391"/>
      <c r="F226" s="2391"/>
      <c r="G226" s="2391"/>
      <c r="I226" s="2344">
        <v>2</v>
      </c>
      <c r="J226" s="2344"/>
      <c r="K226" s="2344"/>
      <c r="L226" s="901"/>
      <c r="N226" s="2342">
        <v>2011</v>
      </c>
      <c r="O226" s="2342"/>
      <c r="P226" s="2342"/>
      <c r="Q226" s="2342"/>
      <c r="R226" s="2342"/>
      <c r="T226" s="2341">
        <v>4646</v>
      </c>
      <c r="U226" s="2341"/>
      <c r="V226" s="2341"/>
      <c r="W226" s="2341"/>
      <c r="X226" s="2341"/>
      <c r="Y226" s="2341"/>
      <c r="Z226" s="750"/>
      <c r="AA226" s="750"/>
      <c r="AB226" s="2339">
        <f t="shared" si="0"/>
        <v>63240</v>
      </c>
      <c r="AC226" s="2339"/>
      <c r="AD226" s="2339"/>
      <c r="AE226" s="2339"/>
      <c r="AF226" s="2339"/>
      <c r="AG226" s="2339"/>
      <c r="AH226" s="726"/>
      <c r="AI226" s="726"/>
      <c r="AJ226" s="726"/>
      <c r="AK226" s="509"/>
    </row>
    <row r="227" spans="1:37">
      <c r="A227" s="504"/>
      <c r="B227" s="2391" t="s">
        <v>2741</v>
      </c>
      <c r="C227" s="2391"/>
      <c r="D227" s="2391"/>
      <c r="E227" s="2391"/>
      <c r="F227" s="2391"/>
      <c r="G227" s="2391"/>
      <c r="I227" s="2344">
        <v>1</v>
      </c>
      <c r="J227" s="2344"/>
      <c r="K227" s="2344"/>
      <c r="L227" s="901"/>
      <c r="N227" s="2342">
        <f>+N224</f>
        <v>1451</v>
      </c>
      <c r="O227" s="2342"/>
      <c r="P227" s="2342"/>
      <c r="Q227" s="2342"/>
      <c r="R227" s="2342"/>
      <c r="T227" s="2341">
        <v>2964</v>
      </c>
      <c r="U227" s="2341"/>
      <c r="V227" s="2341"/>
      <c r="W227" s="2341"/>
      <c r="X227" s="2341"/>
      <c r="Y227" s="2341"/>
      <c r="Z227" s="750"/>
      <c r="AA227" s="750"/>
      <c r="AB227" s="2339">
        <f t="shared" si="0"/>
        <v>18156</v>
      </c>
      <c r="AC227" s="2339"/>
      <c r="AD227" s="2339"/>
      <c r="AE227" s="2339"/>
      <c r="AF227" s="2339"/>
      <c r="AG227" s="2339"/>
      <c r="AH227" s="726"/>
      <c r="AI227" s="726"/>
      <c r="AJ227" s="726"/>
      <c r="AK227" s="509"/>
    </row>
    <row r="228" spans="1:37">
      <c r="A228" s="504"/>
      <c r="B228" s="2391" t="s">
        <v>2742</v>
      </c>
      <c r="C228" s="2391"/>
      <c r="D228" s="2391"/>
      <c r="E228" s="2391"/>
      <c r="F228" s="2391"/>
      <c r="G228" s="2391"/>
      <c r="I228" s="2344">
        <v>1</v>
      </c>
      <c r="J228" s="2344"/>
      <c r="K228" s="2344"/>
      <c r="L228" s="906"/>
      <c r="N228" s="2342">
        <f>+N225</f>
        <v>1741</v>
      </c>
      <c r="O228" s="2342"/>
      <c r="P228" s="2342"/>
      <c r="Q228" s="2342"/>
      <c r="R228" s="2342"/>
      <c r="T228" s="2341">
        <v>3628</v>
      </c>
      <c r="U228" s="2341"/>
      <c r="V228" s="2341"/>
      <c r="W228" s="2341"/>
      <c r="X228" s="2341"/>
      <c r="Y228" s="2341"/>
      <c r="Z228" s="750"/>
      <c r="AA228" s="750"/>
      <c r="AB228" s="2339">
        <f t="shared" si="0"/>
        <v>22644</v>
      </c>
      <c r="AC228" s="2339"/>
      <c r="AD228" s="2339"/>
      <c r="AE228" s="2339"/>
      <c r="AF228" s="2339"/>
      <c r="AG228" s="2339"/>
      <c r="AH228" s="726"/>
      <c r="AI228" s="726"/>
      <c r="AJ228" s="726"/>
      <c r="AK228" s="509"/>
    </row>
    <row r="229" spans="1:37">
      <c r="A229" s="504"/>
      <c r="B229" s="2391" t="s">
        <v>2743</v>
      </c>
      <c r="C229" s="2391"/>
      <c r="D229" s="2391"/>
      <c r="E229" s="2391"/>
      <c r="F229" s="2391"/>
      <c r="G229" s="2391"/>
      <c r="I229" s="2344">
        <v>1</v>
      </c>
      <c r="J229" s="2344"/>
      <c r="K229" s="2344"/>
      <c r="L229" s="906"/>
      <c r="N229" s="2342">
        <f>+N226</f>
        <v>2011</v>
      </c>
      <c r="O229" s="2342"/>
      <c r="P229" s="2342"/>
      <c r="Q229" s="2342"/>
      <c r="R229" s="2342"/>
      <c r="T229" s="2341">
        <v>4526</v>
      </c>
      <c r="U229" s="2341"/>
      <c r="V229" s="2341"/>
      <c r="W229" s="2341"/>
      <c r="X229" s="2341"/>
      <c r="Y229" s="2341"/>
      <c r="Z229" s="750"/>
      <c r="AA229" s="750"/>
      <c r="AB229" s="2339">
        <f t="shared" si="0"/>
        <v>30180</v>
      </c>
      <c r="AC229" s="2339"/>
      <c r="AD229" s="2339"/>
      <c r="AE229" s="2339"/>
      <c r="AF229" s="2339"/>
      <c r="AG229" s="2339"/>
      <c r="AH229" s="726"/>
      <c r="AI229" s="726"/>
      <c r="AJ229" s="726"/>
      <c r="AK229" s="509"/>
    </row>
    <row r="230" spans="1:37">
      <c r="A230" s="504"/>
      <c r="B230" s="2391" t="s">
        <v>998</v>
      </c>
      <c r="C230" s="2391"/>
      <c r="D230" s="2391"/>
      <c r="E230" s="2391"/>
      <c r="F230" s="2391"/>
      <c r="G230" s="2391"/>
      <c r="I230" s="2344"/>
      <c r="J230" s="2344"/>
      <c r="K230" s="2344"/>
      <c r="L230" s="906"/>
      <c r="N230" s="2342"/>
      <c r="O230" s="2342"/>
      <c r="P230" s="2342"/>
      <c r="Q230" s="2342"/>
      <c r="R230" s="2342"/>
      <c r="T230" s="2341"/>
      <c r="U230" s="2341"/>
      <c r="V230" s="2341"/>
      <c r="W230" s="2341"/>
      <c r="X230" s="2341"/>
      <c r="Y230" s="2341"/>
      <c r="Z230" s="750"/>
      <c r="AA230" s="750"/>
      <c r="AB230" s="2339">
        <f t="shared" si="0"/>
        <v>0</v>
      </c>
      <c r="AC230" s="2339"/>
      <c r="AD230" s="2339"/>
      <c r="AE230" s="2339"/>
      <c r="AF230" s="2339"/>
      <c r="AG230" s="2339"/>
      <c r="AH230" s="726"/>
      <c r="AI230" s="726"/>
      <c r="AJ230" s="726"/>
      <c r="AK230" s="509"/>
    </row>
    <row r="231" spans="1:37">
      <c r="A231" s="504"/>
      <c r="B231" s="2391" t="s">
        <v>998</v>
      </c>
      <c r="C231" s="2391"/>
      <c r="D231" s="2391"/>
      <c r="E231" s="2391"/>
      <c r="F231" s="2391"/>
      <c r="G231" s="2391"/>
      <c r="I231" s="2344"/>
      <c r="J231" s="2344"/>
      <c r="K231" s="2344"/>
      <c r="L231" s="906"/>
      <c r="N231" s="2342"/>
      <c r="O231" s="2342"/>
      <c r="P231" s="2342"/>
      <c r="Q231" s="2342"/>
      <c r="R231" s="2342"/>
      <c r="T231" s="2341"/>
      <c r="U231" s="2341"/>
      <c r="V231" s="2341"/>
      <c r="W231" s="2341"/>
      <c r="X231" s="2341"/>
      <c r="Y231" s="2341"/>
      <c r="Z231" s="750"/>
      <c r="AA231" s="750"/>
      <c r="AB231" s="2339">
        <f t="shared" si="0"/>
        <v>0</v>
      </c>
      <c r="AC231" s="2339"/>
      <c r="AD231" s="2339"/>
      <c r="AE231" s="2339"/>
      <c r="AF231" s="2339"/>
      <c r="AG231" s="2339"/>
      <c r="AH231" s="726"/>
      <c r="AI231" s="726"/>
      <c r="AJ231" s="726"/>
      <c r="AK231" s="509"/>
    </row>
    <row r="232" spans="1:37">
      <c r="A232" s="504"/>
      <c r="B232" s="2391" t="s">
        <v>998</v>
      </c>
      <c r="C232" s="2391"/>
      <c r="D232" s="2391"/>
      <c r="E232" s="2391"/>
      <c r="F232" s="2391"/>
      <c r="G232" s="2391"/>
      <c r="I232" s="2344"/>
      <c r="J232" s="2344"/>
      <c r="K232" s="2344"/>
      <c r="L232" s="906"/>
      <c r="N232" s="2342"/>
      <c r="O232" s="2342"/>
      <c r="P232" s="2342"/>
      <c r="Q232" s="2342"/>
      <c r="R232" s="2342"/>
      <c r="T232" s="2341"/>
      <c r="U232" s="2341"/>
      <c r="V232" s="2341"/>
      <c r="W232" s="2341"/>
      <c r="X232" s="2341"/>
      <c r="Y232" s="2341"/>
      <c r="Z232" s="750"/>
      <c r="AA232" s="750"/>
      <c r="AB232" s="2339">
        <f t="shared" si="0"/>
        <v>0</v>
      </c>
      <c r="AC232" s="2339"/>
      <c r="AD232" s="2339"/>
      <c r="AE232" s="2339"/>
      <c r="AF232" s="2339"/>
      <c r="AG232" s="2339"/>
      <c r="AH232" s="726"/>
      <c r="AI232" s="726"/>
      <c r="AJ232" s="726"/>
      <c r="AK232" s="509"/>
    </row>
    <row r="233" spans="1:37">
      <c r="A233" s="504"/>
      <c r="B233" s="2391" t="s">
        <v>998</v>
      </c>
      <c r="C233" s="2391"/>
      <c r="D233" s="2391"/>
      <c r="E233" s="2391"/>
      <c r="F233" s="2391"/>
      <c r="G233" s="2391"/>
      <c r="I233" s="2526"/>
      <c r="J233" s="2526"/>
      <c r="K233" s="2526"/>
      <c r="L233" s="906"/>
      <c r="N233" s="2342"/>
      <c r="O233" s="2342"/>
      <c r="P233" s="2342"/>
      <c r="Q233" s="2342"/>
      <c r="R233" s="2342"/>
      <c r="T233" s="2341"/>
      <c r="U233" s="2341"/>
      <c r="V233" s="2341"/>
      <c r="W233" s="2341"/>
      <c r="X233" s="2341"/>
      <c r="Y233" s="2341"/>
      <c r="Z233" s="750"/>
      <c r="AA233" s="750"/>
      <c r="AB233" s="2345">
        <f t="shared" si="0"/>
        <v>0</v>
      </c>
      <c r="AC233" s="2345"/>
      <c r="AD233" s="2345"/>
      <c r="AE233" s="2345"/>
      <c r="AF233" s="2345"/>
      <c r="AG233" s="2345"/>
      <c r="AH233" s="726"/>
      <c r="AI233" s="726"/>
      <c r="AJ233" s="726"/>
      <c r="AK233" s="509"/>
    </row>
    <row r="234" spans="1:37">
      <c r="A234" s="504"/>
      <c r="B234" s="376"/>
      <c r="C234" s="751"/>
      <c r="D234" s="376"/>
      <c r="K234" s="435"/>
      <c r="L234" s="435"/>
      <c r="M234" s="435"/>
      <c r="N234" s="435"/>
      <c r="O234" s="435"/>
      <c r="P234" s="435"/>
      <c r="Q234" s="435"/>
      <c r="R234" s="435"/>
      <c r="S234" s="435"/>
      <c r="T234" s="435"/>
      <c r="U234" s="435"/>
      <c r="V234" s="435"/>
      <c r="W234" s="435"/>
      <c r="X234" s="435"/>
      <c r="Y234" s="752" t="s">
        <v>2250</v>
      </c>
      <c r="AA234" s="752"/>
      <c r="AB234" s="2339">
        <f>SUM(AB224:AB233)</f>
        <v>451068</v>
      </c>
      <c r="AC234" s="2339"/>
      <c r="AD234" s="2339"/>
      <c r="AE234" s="2339"/>
      <c r="AF234" s="2339"/>
      <c r="AG234" s="2339"/>
      <c r="AH234" s="726"/>
      <c r="AI234" s="726"/>
      <c r="AJ234" s="726"/>
      <c r="AK234" s="509"/>
    </row>
    <row r="235" spans="1:37">
      <c r="A235" s="504"/>
      <c r="B235" s="504"/>
      <c r="C235" s="562"/>
      <c r="D235" s="726"/>
      <c r="E235" s="726"/>
      <c r="F235" s="726"/>
      <c r="G235" s="726"/>
      <c r="H235" s="726"/>
      <c r="I235" s="726"/>
      <c r="J235" s="726"/>
      <c r="K235" s="449"/>
      <c r="L235" s="449"/>
      <c r="M235" s="449"/>
      <c r="N235" s="449"/>
      <c r="O235" s="449"/>
      <c r="P235" s="449"/>
      <c r="Q235" s="449"/>
      <c r="R235" s="449"/>
      <c r="S235" s="449"/>
      <c r="T235" s="449"/>
      <c r="U235" s="449"/>
      <c r="V235" s="449"/>
      <c r="W235" s="449"/>
      <c r="X235" s="449"/>
      <c r="Y235" s="542"/>
      <c r="Z235" s="542"/>
      <c r="AA235" s="542"/>
      <c r="AB235" s="542"/>
      <c r="AC235" s="449"/>
      <c r="AD235" s="449"/>
      <c r="AE235" s="509"/>
      <c r="AF235" s="509"/>
      <c r="AG235" s="509"/>
      <c r="AH235" s="509"/>
      <c r="AI235" s="509"/>
      <c r="AJ235" s="509"/>
      <c r="AK235" s="509"/>
    </row>
    <row r="236" spans="1:37" ht="13">
      <c r="A236" s="1024" t="s">
        <v>2251</v>
      </c>
      <c r="C236" s="562"/>
      <c r="D236" s="726"/>
      <c r="E236" s="726"/>
      <c r="F236" s="726"/>
      <c r="G236" s="726"/>
      <c r="H236" s="726"/>
      <c r="I236" s="726"/>
      <c r="J236" s="726"/>
      <c r="K236" s="435"/>
      <c r="L236" s="435"/>
      <c r="M236" s="435"/>
      <c r="N236" s="435"/>
      <c r="O236" s="435"/>
      <c r="P236" s="435"/>
      <c r="Q236" s="435"/>
      <c r="R236" s="435"/>
      <c r="S236" s="435"/>
      <c r="T236" s="435"/>
      <c r="U236" s="435"/>
      <c r="V236" s="435"/>
      <c r="W236" s="435"/>
      <c r="X236" s="435"/>
      <c r="Y236" s="542"/>
      <c r="Z236" s="542"/>
      <c r="AA236" s="542"/>
      <c r="AB236" s="542"/>
      <c r="AC236" s="435"/>
      <c r="AD236" s="435"/>
      <c r="AE236" s="509"/>
      <c r="AF236" s="509"/>
      <c r="AG236" s="509"/>
      <c r="AH236" s="509"/>
      <c r="AI236" s="509"/>
      <c r="AJ236" s="509"/>
      <c r="AK236" s="509"/>
    </row>
    <row r="237" spans="1:37">
      <c r="A237" s="504"/>
      <c r="B237" s="376" t="s">
        <v>2252</v>
      </c>
      <c r="C237" s="562"/>
      <c r="D237" s="726"/>
      <c r="E237" s="726"/>
      <c r="F237" s="726"/>
      <c r="G237" s="726"/>
      <c r="H237" s="726"/>
      <c r="I237" s="726"/>
      <c r="J237" s="726"/>
      <c r="K237" s="435"/>
      <c r="L237" s="435"/>
      <c r="M237" s="435"/>
      <c r="N237" s="435"/>
      <c r="O237" s="435"/>
      <c r="P237" s="435"/>
      <c r="Q237" s="435"/>
      <c r="R237" s="435"/>
      <c r="S237" s="435"/>
      <c r="T237" s="435"/>
      <c r="U237" s="435"/>
      <c r="V237" s="435"/>
      <c r="W237" s="435"/>
      <c r="X237" s="435"/>
      <c r="Y237" s="542"/>
      <c r="Z237" s="542"/>
      <c r="AA237" s="542"/>
      <c r="AB237" s="542"/>
      <c r="AC237" s="435"/>
      <c r="AD237" s="435"/>
      <c r="AE237" s="509"/>
      <c r="AF237" s="509"/>
      <c r="AG237" s="509"/>
      <c r="AH237" s="509"/>
      <c r="AI237" s="509"/>
      <c r="AJ237" s="509"/>
      <c r="AK237" s="509"/>
    </row>
    <row r="238" spans="1:37">
      <c r="A238" s="504"/>
      <c r="B238" s="376"/>
      <c r="C238" s="562"/>
      <c r="D238" s="726"/>
      <c r="E238" s="726"/>
      <c r="F238" s="726"/>
      <c r="G238" s="726"/>
      <c r="H238" s="726"/>
      <c r="I238" s="726"/>
      <c r="J238" s="726"/>
      <c r="K238" s="435"/>
      <c r="L238" s="435"/>
      <c r="M238" s="435"/>
      <c r="N238" s="435"/>
      <c r="O238" s="435"/>
      <c r="P238" s="435"/>
      <c r="Q238" s="435"/>
      <c r="R238" s="435"/>
      <c r="S238" s="435"/>
      <c r="T238" s="435"/>
      <c r="U238" s="435"/>
      <c r="V238" s="435"/>
      <c r="W238" s="435"/>
      <c r="X238" s="435"/>
      <c r="Y238" s="542"/>
      <c r="Z238" s="542"/>
      <c r="AA238" s="542"/>
      <c r="AB238" s="542"/>
      <c r="AC238" s="435"/>
      <c r="AD238" s="435"/>
      <c r="AE238" s="509"/>
      <c r="AF238" s="509"/>
      <c r="AG238" s="509"/>
      <c r="AH238" s="509"/>
      <c r="AI238" s="509"/>
      <c r="AJ238" s="509"/>
      <c r="AK238" s="509"/>
    </row>
    <row r="239" spans="1:37">
      <c r="A239" s="504"/>
      <c r="B239" s="735" t="s">
        <v>2253</v>
      </c>
      <c r="C239" s="562"/>
      <c r="D239" s="726"/>
      <c r="E239" s="726"/>
      <c r="F239" s="726"/>
      <c r="G239" s="726"/>
      <c r="H239" s="726"/>
      <c r="I239" s="726"/>
      <c r="J239" s="726"/>
      <c r="K239" s="435"/>
      <c r="L239" s="435"/>
      <c r="M239" s="435"/>
      <c r="N239" s="435"/>
      <c r="O239" s="435"/>
      <c r="P239" s="435"/>
      <c r="Q239" s="435"/>
      <c r="R239" s="435"/>
      <c r="S239" s="435"/>
      <c r="T239" s="435"/>
      <c r="U239" s="435"/>
      <c r="V239" s="435"/>
      <c r="W239" s="435"/>
      <c r="X239" s="435"/>
      <c r="Y239" s="542"/>
      <c r="Z239" s="542"/>
      <c r="AA239" s="542"/>
      <c r="AB239" s="542"/>
      <c r="AC239" s="435"/>
      <c r="AD239" s="435"/>
      <c r="AE239" s="509"/>
      <c r="AF239" s="509"/>
      <c r="AG239" s="509"/>
      <c r="AH239" s="509"/>
      <c r="AI239" s="509"/>
      <c r="AJ239" s="509"/>
      <c r="AK239" s="509"/>
    </row>
    <row r="240" spans="1:37">
      <c r="A240" s="504"/>
      <c r="B240" s="735" t="s">
        <v>2254</v>
      </c>
      <c r="C240" s="562"/>
      <c r="D240" s="726"/>
      <c r="E240" s="726"/>
      <c r="F240" s="726"/>
      <c r="G240" s="726"/>
      <c r="H240" s="726"/>
      <c r="I240" s="726"/>
      <c r="J240" s="726"/>
      <c r="K240" s="435"/>
      <c r="L240" s="435"/>
      <c r="M240" s="435"/>
      <c r="N240" s="435"/>
      <c r="O240" s="435"/>
      <c r="P240" s="435"/>
      <c r="Q240" s="435"/>
      <c r="R240" s="435"/>
      <c r="S240" s="435"/>
      <c r="T240" s="435"/>
      <c r="U240" s="435"/>
      <c r="V240" s="435"/>
      <c r="W240" s="435"/>
      <c r="X240" s="435"/>
      <c r="Y240" s="542"/>
      <c r="Z240" s="542"/>
      <c r="AA240" s="542"/>
      <c r="AB240" s="2376"/>
      <c r="AC240" s="2376"/>
      <c r="AD240" s="2376"/>
      <c r="AE240" s="2376"/>
      <c r="AF240" s="2376"/>
      <c r="AG240" s="2376"/>
      <c r="AH240" s="509"/>
      <c r="AI240" s="509"/>
      <c r="AJ240" s="509"/>
      <c r="AK240" s="509"/>
    </row>
    <row r="241" spans="1:37" ht="13">
      <c r="A241" s="504"/>
      <c r="B241" s="736" t="s">
        <v>2255</v>
      </c>
      <c r="C241" s="515"/>
      <c r="D241" s="734"/>
      <c r="E241" s="726"/>
      <c r="F241" s="726"/>
      <c r="G241" s="726"/>
      <c r="H241" s="726"/>
      <c r="I241" s="726"/>
      <c r="J241" s="726"/>
      <c r="K241" s="435"/>
      <c r="L241" s="435"/>
      <c r="M241" s="435"/>
      <c r="N241" s="435"/>
      <c r="O241" s="435"/>
      <c r="P241" s="435"/>
      <c r="Q241" s="435"/>
      <c r="R241" s="435"/>
      <c r="S241" s="435"/>
      <c r="T241" s="435"/>
      <c r="U241" s="435"/>
      <c r="V241" s="435"/>
      <c r="W241" s="435"/>
      <c r="X241" s="435"/>
      <c r="Y241" s="542"/>
      <c r="Z241" s="542"/>
      <c r="AA241" s="542"/>
      <c r="AB241" s="542"/>
      <c r="AC241" s="435"/>
      <c r="AD241" s="435"/>
      <c r="AE241" s="509"/>
      <c r="AF241" s="509"/>
      <c r="AG241" s="509"/>
      <c r="AH241" s="509"/>
      <c r="AI241" s="509"/>
      <c r="AJ241" s="509"/>
      <c r="AK241" s="509"/>
    </row>
    <row r="242" spans="1:37">
      <c r="A242" s="504"/>
      <c r="B242" s="737" t="s">
        <v>2256</v>
      </c>
      <c r="C242" s="562"/>
      <c r="D242" s="726"/>
      <c r="E242" s="726"/>
      <c r="F242" s="726"/>
      <c r="G242" s="726"/>
      <c r="H242" s="726"/>
      <c r="I242" s="726"/>
      <c r="J242" s="726"/>
      <c r="K242" s="435"/>
      <c r="L242" s="435"/>
      <c r="M242" s="435"/>
      <c r="N242" s="435"/>
      <c r="O242" s="435"/>
      <c r="P242" s="435"/>
      <c r="Q242" s="435"/>
      <c r="R242" s="435"/>
      <c r="S242" s="435"/>
      <c r="T242" s="435"/>
      <c r="U242" s="435"/>
      <c r="V242" s="435"/>
      <c r="W242" s="435"/>
      <c r="X242" s="435"/>
      <c r="Y242" s="542"/>
      <c r="Z242" s="542"/>
      <c r="AA242" s="542"/>
      <c r="AB242" s="542"/>
      <c r="AC242" s="435"/>
      <c r="AD242" s="435"/>
      <c r="AE242" s="509"/>
      <c r="AF242" s="509"/>
      <c r="AG242" s="509"/>
      <c r="AH242" s="509"/>
      <c r="AI242" s="509"/>
      <c r="AJ242" s="509"/>
      <c r="AK242" s="509"/>
    </row>
    <row r="243" spans="1:37">
      <c r="A243" s="504"/>
      <c r="B243" s="737" t="s">
        <v>2257</v>
      </c>
      <c r="C243" s="562"/>
      <c r="D243" s="726"/>
      <c r="E243" s="726"/>
      <c r="F243" s="726"/>
      <c r="G243" s="726"/>
      <c r="H243" s="726"/>
      <c r="I243" s="726"/>
      <c r="J243" s="726"/>
      <c r="K243" s="435"/>
      <c r="L243" s="435"/>
      <c r="M243" s="435"/>
      <c r="N243" s="435"/>
      <c r="O243" s="435"/>
      <c r="P243" s="435"/>
      <c r="Q243" s="435"/>
      <c r="R243" s="435"/>
      <c r="S243" s="435"/>
      <c r="T243" s="435"/>
      <c r="U243" s="435"/>
      <c r="V243" s="435"/>
      <c r="W243" s="435"/>
      <c r="X243" s="435"/>
      <c r="Y243" s="542"/>
      <c r="Z243" s="542"/>
      <c r="AA243" s="542"/>
      <c r="AB243" s="2376"/>
      <c r="AC243" s="2376"/>
      <c r="AD243" s="2376"/>
      <c r="AE243" s="2376"/>
      <c r="AF243" s="2376"/>
      <c r="AG243" s="2376"/>
      <c r="AH243" s="509"/>
      <c r="AI243" s="509"/>
      <c r="AJ243" s="509"/>
      <c r="AK243" s="509"/>
    </row>
    <row r="244" spans="1:37">
      <c r="A244" s="504"/>
      <c r="B244" s="737" t="s">
        <v>2258</v>
      </c>
      <c r="C244" s="562"/>
      <c r="D244" s="726"/>
      <c r="E244" s="726"/>
      <c r="F244" s="726"/>
      <c r="G244" s="726"/>
      <c r="H244" s="726"/>
      <c r="I244" s="726"/>
      <c r="J244" s="726"/>
      <c r="K244" s="435"/>
      <c r="L244" s="435"/>
      <c r="M244" s="435"/>
      <c r="N244" s="435"/>
      <c r="O244" s="435"/>
      <c r="P244" s="435"/>
      <c r="Q244" s="435"/>
      <c r="R244" s="435"/>
      <c r="S244" s="435"/>
      <c r="T244" s="435"/>
      <c r="U244" s="435"/>
      <c r="V244" s="435"/>
      <c r="W244" s="435"/>
      <c r="X244" s="435"/>
      <c r="Y244" s="542"/>
      <c r="Z244" s="542"/>
      <c r="AA244" s="542"/>
      <c r="AB244" s="2338"/>
      <c r="AC244" s="2338"/>
      <c r="AD244" s="2338"/>
      <c r="AE244" s="2338"/>
      <c r="AF244" s="2338"/>
      <c r="AG244" s="2338"/>
      <c r="AH244" s="509"/>
      <c r="AI244" s="509"/>
      <c r="AJ244" s="509"/>
      <c r="AK244" s="509"/>
    </row>
    <row r="245" spans="1:37">
      <c r="A245" s="504"/>
      <c r="B245" s="737" t="s">
        <v>2259</v>
      </c>
      <c r="C245" s="562"/>
      <c r="D245" s="726"/>
      <c r="E245" s="726"/>
      <c r="F245" s="726"/>
      <c r="G245" s="726"/>
      <c r="H245" s="726"/>
      <c r="I245" s="726"/>
      <c r="J245" s="726"/>
      <c r="K245" s="435"/>
      <c r="L245" s="435"/>
      <c r="M245" s="435"/>
      <c r="N245" s="435"/>
      <c r="O245" s="435"/>
      <c r="P245" s="435"/>
      <c r="Q245" s="435"/>
      <c r="R245" s="435"/>
      <c r="S245" s="435"/>
      <c r="T245" s="435"/>
      <c r="U245" s="435"/>
      <c r="V245" s="435"/>
      <c r="W245" s="435"/>
      <c r="X245" s="435"/>
      <c r="Y245" s="542"/>
      <c r="Z245" s="542"/>
      <c r="AA245" s="542"/>
      <c r="AB245" s="2346">
        <f>IFERROR(AB243/AB244,0)</f>
        <v>0</v>
      </c>
      <c r="AC245" s="2346"/>
      <c r="AD245" s="2346"/>
      <c r="AE245" s="2346"/>
      <c r="AF245" s="2346"/>
      <c r="AG245" s="2346"/>
      <c r="AH245" s="509"/>
      <c r="AI245" s="509"/>
      <c r="AJ245" s="509"/>
      <c r="AK245" s="509"/>
    </row>
    <row r="246" spans="1:37">
      <c r="A246" s="504"/>
      <c r="B246" s="376"/>
      <c r="C246" s="562"/>
      <c r="D246" s="726"/>
      <c r="E246" s="726"/>
      <c r="F246" s="726"/>
      <c r="G246" s="726"/>
      <c r="H246" s="726"/>
      <c r="I246" s="726"/>
      <c r="J246" s="726"/>
      <c r="K246" s="435"/>
      <c r="L246" s="435"/>
      <c r="M246" s="435"/>
      <c r="N246" s="435"/>
      <c r="O246" s="435"/>
      <c r="P246" s="435"/>
      <c r="Q246" s="435"/>
      <c r="R246" s="435"/>
      <c r="S246" s="435"/>
      <c r="T246" s="435"/>
      <c r="U246" s="435"/>
      <c r="V246" s="435"/>
      <c r="W246" s="435"/>
      <c r="X246" s="435"/>
      <c r="Y246" s="542"/>
      <c r="Z246" s="542"/>
      <c r="AA246" s="542"/>
      <c r="AB246" s="542"/>
      <c r="AC246" s="435"/>
      <c r="AD246" s="435"/>
      <c r="AE246" s="509"/>
      <c r="AF246" s="509"/>
      <c r="AG246" s="509"/>
      <c r="AH246" s="509"/>
      <c r="AI246" s="509"/>
      <c r="AJ246" s="509"/>
      <c r="AK246" s="509"/>
    </row>
    <row r="247" spans="1:37">
      <c r="A247" s="504"/>
      <c r="B247" s="376" t="s">
        <v>2260</v>
      </c>
      <c r="C247" s="562"/>
      <c r="D247" s="726"/>
      <c r="E247" s="726"/>
      <c r="F247" s="726"/>
      <c r="G247" s="726"/>
      <c r="H247" s="726"/>
      <c r="I247" s="726"/>
      <c r="J247" s="726"/>
      <c r="K247" s="435"/>
      <c r="L247" s="435"/>
      <c r="M247" s="435"/>
      <c r="N247" s="435"/>
      <c r="O247" s="435"/>
      <c r="P247" s="435"/>
      <c r="Q247" s="435"/>
      <c r="R247" s="435"/>
      <c r="S247" s="435"/>
      <c r="T247" s="435"/>
      <c r="U247" s="435"/>
      <c r="V247" s="435"/>
      <c r="W247" s="435"/>
      <c r="X247" s="435"/>
      <c r="Y247" s="542"/>
      <c r="Z247" s="542"/>
      <c r="AA247" s="542"/>
      <c r="AB247" s="2345">
        <f>MAX(AB240,AB245)</f>
        <v>0</v>
      </c>
      <c r="AC247" s="2345"/>
      <c r="AD247" s="2345"/>
      <c r="AE247" s="2345"/>
      <c r="AF247" s="2345"/>
      <c r="AG247" s="2345"/>
      <c r="AH247" s="509"/>
      <c r="AI247" s="509"/>
      <c r="AJ247" s="509"/>
      <c r="AK247" s="509"/>
    </row>
    <row r="248" spans="1:37">
      <c r="A248" s="504"/>
      <c r="B248" s="376"/>
      <c r="C248" s="562"/>
      <c r="D248" s="726"/>
      <c r="E248" s="726"/>
      <c r="F248" s="726"/>
      <c r="G248" s="726"/>
      <c r="H248" s="726"/>
      <c r="I248" s="726"/>
      <c r="J248" s="726"/>
      <c r="K248" s="435"/>
      <c r="L248" s="435"/>
      <c r="M248" s="435"/>
      <c r="N248" s="435"/>
      <c r="O248" s="435"/>
      <c r="P248" s="435"/>
      <c r="Q248" s="435"/>
      <c r="R248" s="435"/>
      <c r="S248" s="435"/>
      <c r="T248" s="435"/>
      <c r="U248" s="435"/>
      <c r="V248" s="435"/>
      <c r="W248" s="435"/>
      <c r="X248" s="435"/>
      <c r="Y248" s="542"/>
      <c r="Z248" s="542"/>
      <c r="AA248" s="542"/>
      <c r="AB248" s="542"/>
      <c r="AC248" s="435"/>
      <c r="AD248" s="435"/>
      <c r="AE248" s="509"/>
      <c r="AF248" s="509"/>
      <c r="AG248" s="509"/>
      <c r="AH248" s="509"/>
      <c r="AI248" s="509"/>
      <c r="AJ248" s="509"/>
      <c r="AK248" s="509"/>
    </row>
    <row r="249" spans="1:37">
      <c r="A249" s="504"/>
      <c r="B249" s="376"/>
      <c r="C249" s="562"/>
      <c r="D249" s="726"/>
      <c r="E249" s="726"/>
      <c r="F249" s="726"/>
      <c r="G249" s="726"/>
      <c r="H249" s="726"/>
      <c r="I249" s="726"/>
      <c r="J249" s="726"/>
      <c r="K249" s="435"/>
      <c r="L249" s="435"/>
      <c r="M249" s="435"/>
      <c r="N249" s="435"/>
      <c r="O249" s="435"/>
      <c r="P249" s="435"/>
      <c r="Q249" s="435"/>
      <c r="R249" s="435"/>
      <c r="S249" s="435"/>
      <c r="T249" s="435"/>
      <c r="U249" s="435"/>
      <c r="V249" s="435"/>
      <c r="W249" s="435"/>
      <c r="X249" s="435"/>
      <c r="Y249" s="542"/>
      <c r="Z249" s="542"/>
      <c r="AA249" s="542"/>
      <c r="AB249" s="542"/>
      <c r="AC249" s="435"/>
      <c r="AD249" s="435"/>
      <c r="AE249" s="509"/>
      <c r="AF249" s="509"/>
      <c r="AG249" s="509"/>
      <c r="AH249" s="509"/>
      <c r="AI249" s="509"/>
      <c r="AJ249" s="509"/>
      <c r="AK249" s="509"/>
    </row>
    <row r="250" spans="1:37">
      <c r="A250" s="504"/>
      <c r="B250" s="376" t="s">
        <v>2261</v>
      </c>
      <c r="C250" s="562"/>
      <c r="D250" s="726"/>
      <c r="E250" s="726"/>
      <c r="F250" s="726"/>
      <c r="G250" s="726"/>
      <c r="H250" s="726"/>
      <c r="I250" s="726"/>
      <c r="J250" s="726"/>
      <c r="K250" s="435"/>
      <c r="L250" s="435"/>
      <c r="M250" s="435"/>
      <c r="N250" s="435"/>
      <c r="O250" s="435"/>
      <c r="P250" s="435"/>
      <c r="Q250" s="435"/>
      <c r="R250" s="435"/>
      <c r="S250" s="435"/>
      <c r="U250" s="738"/>
      <c r="V250" s="738"/>
      <c r="W250" s="738"/>
      <c r="X250" s="738"/>
      <c r="Y250" s="738"/>
      <c r="Z250" s="542"/>
      <c r="AA250" s="542"/>
      <c r="AB250" s="2339">
        <f>AB234+AB247</f>
        <v>451068</v>
      </c>
      <c r="AC250" s="2339"/>
      <c r="AD250" s="2339"/>
      <c r="AE250" s="2339"/>
      <c r="AF250" s="2339"/>
      <c r="AG250" s="2339"/>
      <c r="AH250" s="509"/>
      <c r="AI250" s="509"/>
      <c r="AJ250" s="509"/>
      <c r="AK250" s="509"/>
    </row>
    <row r="251" spans="1:37">
      <c r="A251" s="504"/>
      <c r="B251" s="376" t="s">
        <v>2262</v>
      </c>
      <c r="C251" s="562"/>
      <c r="D251" s="726"/>
      <c r="E251" s="726"/>
      <c r="F251" s="726"/>
      <c r="G251" s="726"/>
      <c r="H251" s="726"/>
      <c r="I251" s="726"/>
      <c r="J251" s="726"/>
      <c r="K251" s="435"/>
      <c r="L251" s="435"/>
      <c r="M251" s="435"/>
      <c r="N251" s="435"/>
      <c r="O251" s="435"/>
      <c r="P251" s="435"/>
      <c r="Q251" s="435"/>
      <c r="R251" s="435"/>
      <c r="S251" s="435"/>
      <c r="U251" s="739"/>
      <c r="V251" s="739"/>
      <c r="W251" s="739"/>
      <c r="X251" s="739"/>
      <c r="Y251" s="739"/>
      <c r="Z251" s="542"/>
      <c r="AA251" s="542"/>
      <c r="AB251" s="2510">
        <v>0.05</v>
      </c>
      <c r="AC251" s="2510"/>
      <c r="AD251" s="2510"/>
      <c r="AE251" s="2510"/>
      <c r="AF251" s="2510"/>
      <c r="AG251" s="2510"/>
      <c r="AH251" s="509"/>
      <c r="AI251" s="509"/>
      <c r="AJ251" s="509"/>
      <c r="AK251" s="509"/>
    </row>
    <row r="252" spans="1:37">
      <c r="A252" s="504"/>
      <c r="B252" s="376" t="s">
        <v>2263</v>
      </c>
      <c r="C252" s="562"/>
      <c r="D252" s="726"/>
      <c r="E252" s="726"/>
      <c r="F252" s="726"/>
      <c r="G252" s="726"/>
      <c r="H252" s="726"/>
      <c r="I252" s="726"/>
      <c r="J252" s="726"/>
      <c r="K252" s="435"/>
      <c r="L252" s="435"/>
      <c r="M252" s="435"/>
      <c r="N252" s="435"/>
      <c r="O252" s="435"/>
      <c r="P252" s="435"/>
      <c r="Q252" s="435"/>
      <c r="R252" s="435"/>
      <c r="S252" s="435"/>
      <c r="U252" s="738"/>
      <c r="V252" s="738"/>
      <c r="W252" s="738"/>
      <c r="X252" s="738"/>
      <c r="Y252" s="738"/>
      <c r="Z252" s="542"/>
      <c r="AA252" s="542"/>
      <c r="AB252" s="2511">
        <f>AB250-(AB250*AB251)</f>
        <v>428514.6</v>
      </c>
      <c r="AC252" s="2511"/>
      <c r="AD252" s="2511"/>
      <c r="AE252" s="2511"/>
      <c r="AF252" s="2511"/>
      <c r="AG252" s="2511"/>
      <c r="AH252" s="509"/>
      <c r="AI252" s="509"/>
      <c r="AJ252" s="509"/>
      <c r="AK252" s="509"/>
    </row>
    <row r="253" spans="1:37">
      <c r="A253" s="504"/>
      <c r="B253" s="376" t="s">
        <v>2264</v>
      </c>
      <c r="C253" s="562"/>
      <c r="D253" s="726"/>
      <c r="E253" s="726"/>
      <c r="F253" s="726"/>
      <c r="G253" s="726"/>
      <c r="H253" s="726"/>
      <c r="I253" s="726"/>
      <c r="J253" s="726"/>
      <c r="K253" s="435"/>
      <c r="L253" s="435"/>
      <c r="M253" s="435"/>
      <c r="N253" s="435"/>
      <c r="O253" s="435"/>
      <c r="P253" s="435"/>
      <c r="Q253" s="435"/>
      <c r="R253" s="435"/>
      <c r="S253" s="435"/>
      <c r="U253" s="435"/>
      <c r="V253" s="435"/>
      <c r="W253" s="435"/>
      <c r="X253" s="435"/>
      <c r="Y253" s="740"/>
      <c r="Z253" s="542"/>
      <c r="AA253" s="542"/>
      <c r="AB253" s="435"/>
      <c r="AC253" s="435"/>
      <c r="AD253" s="435"/>
      <c r="AE253" s="509"/>
      <c r="AF253" s="509"/>
      <c r="AG253" s="509"/>
      <c r="AH253" s="509"/>
      <c r="AI253" s="509"/>
      <c r="AJ253" s="509"/>
      <c r="AK253" s="509"/>
    </row>
    <row r="254" spans="1:37">
      <c r="A254" s="504"/>
      <c r="B254" s="376" t="s">
        <v>2265</v>
      </c>
      <c r="C254" s="562"/>
      <c r="D254" s="726"/>
      <c r="E254" s="726"/>
      <c r="F254" s="726"/>
      <c r="G254" s="726"/>
      <c r="H254" s="726"/>
      <c r="I254" s="726"/>
      <c r="J254" s="726"/>
      <c r="K254" s="435"/>
      <c r="L254" s="435"/>
      <c r="M254" s="435"/>
      <c r="N254" s="435"/>
      <c r="O254" s="435"/>
      <c r="P254" s="435"/>
      <c r="Q254" s="435"/>
      <c r="R254" s="435"/>
      <c r="S254" s="435"/>
      <c r="U254" s="738"/>
      <c r="V254" s="738"/>
      <c r="W254" s="738"/>
      <c r="X254" s="738"/>
      <c r="Y254" s="738"/>
      <c r="Z254" s="542"/>
      <c r="AA254" s="542"/>
      <c r="AB254" s="2339">
        <f>AB252/AB258</f>
        <v>372621.39130434784</v>
      </c>
      <c r="AC254" s="2339"/>
      <c r="AD254" s="2339"/>
      <c r="AE254" s="2339"/>
      <c r="AF254" s="2339"/>
      <c r="AG254" s="2339"/>
      <c r="AH254" s="509"/>
      <c r="AI254" s="509"/>
      <c r="AJ254" s="509"/>
      <c r="AK254" s="509"/>
    </row>
    <row r="255" spans="1:37">
      <c r="A255" s="504"/>
      <c r="B255" s="376"/>
      <c r="C255" s="562"/>
      <c r="D255" s="726"/>
      <c r="E255" s="726"/>
      <c r="F255" s="726"/>
      <c r="G255" s="726"/>
      <c r="H255" s="726"/>
      <c r="I255" s="726"/>
      <c r="J255" s="726"/>
      <c r="K255" s="435"/>
      <c r="L255" s="435"/>
      <c r="M255" s="435"/>
      <c r="N255" s="435"/>
      <c r="O255" s="435"/>
      <c r="P255" s="435"/>
      <c r="Q255" s="435"/>
      <c r="R255" s="435"/>
      <c r="S255" s="435"/>
      <c r="U255" s="435"/>
      <c r="V255" s="435"/>
      <c r="W255" s="435"/>
      <c r="X255" s="435"/>
      <c r="Y255" s="376"/>
      <c r="Z255" s="542"/>
      <c r="AA255" s="542"/>
      <c r="AB255" s="435"/>
      <c r="AC255" s="435"/>
      <c r="AD255" s="435"/>
      <c r="AE255" s="509"/>
      <c r="AF255" s="509"/>
      <c r="AG255" s="509"/>
      <c r="AH255" s="509"/>
      <c r="AI255" s="509"/>
      <c r="AJ255" s="509"/>
      <c r="AK255" s="509"/>
    </row>
    <row r="256" spans="1:37">
      <c r="A256" s="504"/>
      <c r="B256" s="376" t="s">
        <v>2266</v>
      </c>
      <c r="C256" s="562"/>
      <c r="D256" s="726"/>
      <c r="E256" s="726"/>
      <c r="F256" s="726"/>
      <c r="G256" s="726"/>
      <c r="H256" s="726"/>
      <c r="I256" s="726"/>
      <c r="J256" s="726"/>
      <c r="K256" s="435"/>
      <c r="L256" s="435"/>
      <c r="M256" s="435"/>
      <c r="N256" s="435"/>
      <c r="O256" s="435"/>
      <c r="P256" s="435"/>
      <c r="Q256" s="435"/>
      <c r="R256" s="435"/>
      <c r="S256" s="435"/>
      <c r="U256" s="376"/>
      <c r="V256" s="376"/>
      <c r="W256" s="376"/>
      <c r="X256" s="376"/>
      <c r="Y256" s="376"/>
      <c r="Z256" s="542"/>
      <c r="AA256" s="542"/>
      <c r="AB256" s="2522">
        <v>15</v>
      </c>
      <c r="AC256" s="2522"/>
      <c r="AD256" s="2522"/>
      <c r="AE256" s="2522"/>
      <c r="AF256" s="2522"/>
      <c r="AG256" s="2522"/>
      <c r="AH256" s="509"/>
      <c r="AI256" s="509"/>
      <c r="AJ256" s="509"/>
      <c r="AK256" s="509"/>
    </row>
    <row r="257" spans="1:37">
      <c r="A257" s="504"/>
      <c r="B257" s="376" t="s">
        <v>2267</v>
      </c>
      <c r="C257" s="562"/>
      <c r="D257" s="726"/>
      <c r="E257" s="726"/>
      <c r="F257" s="726"/>
      <c r="G257" s="726"/>
      <c r="H257" s="726"/>
      <c r="I257" s="726"/>
      <c r="J257" s="726"/>
      <c r="K257" s="435"/>
      <c r="L257" s="435"/>
      <c r="M257" s="435"/>
      <c r="N257" s="435"/>
      <c r="O257" s="435"/>
      <c r="P257" s="435"/>
      <c r="Q257" s="435"/>
      <c r="R257" s="435"/>
      <c r="S257" s="435"/>
      <c r="U257" s="739"/>
      <c r="V257" s="739"/>
      <c r="W257" s="739"/>
      <c r="X257" s="739"/>
      <c r="Y257" s="739"/>
      <c r="Z257" s="542"/>
      <c r="AA257" s="542"/>
      <c r="AB257" s="2513">
        <v>0.04</v>
      </c>
      <c r="AC257" s="2513"/>
      <c r="AD257" s="2513"/>
      <c r="AE257" s="2513"/>
      <c r="AF257" s="2513"/>
      <c r="AG257" s="2513"/>
      <c r="AH257" s="509"/>
      <c r="AI257" s="509"/>
      <c r="AJ257" s="509"/>
      <c r="AK257" s="509"/>
    </row>
    <row r="258" spans="1:37">
      <c r="A258" s="504"/>
      <c r="B258" s="376" t="s">
        <v>2268</v>
      </c>
      <c r="C258" s="562"/>
      <c r="D258" s="726"/>
      <c r="E258" s="726"/>
      <c r="F258" s="726"/>
      <c r="G258" s="726"/>
      <c r="H258" s="726"/>
      <c r="I258" s="726"/>
      <c r="J258" s="726"/>
      <c r="K258" s="435"/>
      <c r="L258" s="435"/>
      <c r="M258" s="435"/>
      <c r="N258" s="435"/>
      <c r="O258" s="435"/>
      <c r="P258" s="435"/>
      <c r="Q258" s="435"/>
      <c r="R258" s="435"/>
      <c r="S258" s="435"/>
      <c r="U258" s="741"/>
      <c r="V258" s="741"/>
      <c r="W258" s="741"/>
      <c r="X258" s="741"/>
      <c r="Y258" s="741"/>
      <c r="Z258" s="542"/>
      <c r="AA258" s="542"/>
      <c r="AB258" s="2514">
        <v>1.1499999999999999</v>
      </c>
      <c r="AC258" s="2514"/>
      <c r="AD258" s="2514"/>
      <c r="AE258" s="2514"/>
      <c r="AF258" s="2514"/>
      <c r="AG258" s="2514"/>
      <c r="AH258" s="509"/>
      <c r="AI258" s="509"/>
      <c r="AJ258" s="509"/>
      <c r="AK258" s="509"/>
    </row>
    <row r="259" spans="1:37">
      <c r="A259" s="504"/>
      <c r="B259" s="376"/>
      <c r="C259" s="562"/>
      <c r="D259" s="726"/>
      <c r="E259" s="726"/>
      <c r="F259" s="726"/>
      <c r="G259" s="726"/>
      <c r="H259" s="726"/>
      <c r="I259" s="726"/>
      <c r="J259" s="726"/>
      <c r="K259" s="435"/>
      <c r="L259" s="435"/>
      <c r="M259" s="435"/>
      <c r="N259" s="435"/>
      <c r="O259" s="435"/>
      <c r="P259" s="435"/>
      <c r="Q259" s="435"/>
      <c r="R259" s="435"/>
      <c r="S259" s="435"/>
      <c r="U259" s="435"/>
      <c r="V259" s="435"/>
      <c r="W259" s="435"/>
      <c r="X259" s="435"/>
      <c r="Y259" s="389"/>
      <c r="Z259" s="542"/>
      <c r="AA259" s="542"/>
      <c r="AB259" s="435"/>
      <c r="AC259" s="435"/>
      <c r="AD259" s="435"/>
      <c r="AE259" s="509"/>
      <c r="AF259" s="509"/>
      <c r="AG259" s="509"/>
      <c r="AH259" s="509"/>
      <c r="AI259" s="509"/>
      <c r="AJ259" s="509"/>
      <c r="AK259" s="509"/>
    </row>
    <row r="260" spans="1:37" ht="13">
      <c r="A260" s="504"/>
      <c r="B260" s="743" t="s">
        <v>2269</v>
      </c>
      <c r="C260" s="562"/>
      <c r="D260" s="726"/>
      <c r="E260" s="726"/>
      <c r="F260" s="726"/>
      <c r="G260" s="726"/>
      <c r="H260" s="726"/>
      <c r="I260" s="726"/>
      <c r="J260" s="726"/>
      <c r="K260" s="435"/>
      <c r="L260" s="435"/>
      <c r="M260" s="435"/>
      <c r="N260" s="435"/>
      <c r="O260" s="435"/>
      <c r="P260" s="435"/>
      <c r="Q260" s="435"/>
      <c r="R260" s="435"/>
      <c r="S260" s="435"/>
      <c r="U260" s="742"/>
      <c r="V260" s="742"/>
      <c r="W260" s="742"/>
      <c r="X260" s="742"/>
      <c r="Y260" s="742"/>
      <c r="Z260" s="542"/>
      <c r="AA260" s="542"/>
      <c r="AB260" s="2503">
        <f>PV(AB257/12,AB256*12,-AB254/12, ,0)</f>
        <v>4197957.2105519176</v>
      </c>
      <c r="AC260" s="2504"/>
      <c r="AD260" s="2504"/>
      <c r="AE260" s="2504"/>
      <c r="AF260" s="2504"/>
      <c r="AG260" s="2505"/>
      <c r="AH260" s="509"/>
      <c r="AI260" s="509"/>
      <c r="AJ260" s="509"/>
      <c r="AK260" s="509"/>
    </row>
    <row r="261" spans="1:37" ht="13">
      <c r="A261" s="504"/>
      <c r="B261" s="743"/>
      <c r="C261" s="562"/>
      <c r="D261" s="726"/>
      <c r="E261" s="726"/>
      <c r="F261" s="726"/>
      <c r="G261" s="726"/>
      <c r="H261" s="726"/>
      <c r="I261" s="726"/>
      <c r="J261" s="726"/>
      <c r="K261" s="435"/>
      <c r="L261" s="435"/>
      <c r="M261" s="435"/>
      <c r="N261" s="435"/>
      <c r="O261" s="435"/>
      <c r="P261" s="435"/>
      <c r="Q261" s="435"/>
      <c r="R261" s="435"/>
      <c r="S261" s="435"/>
      <c r="U261" s="742"/>
      <c r="V261" s="742"/>
      <c r="W261" s="742"/>
      <c r="X261" s="742"/>
      <c r="Y261" s="742"/>
      <c r="Z261" s="542"/>
      <c r="AA261" s="542"/>
      <c r="AB261" s="754"/>
      <c r="AC261" s="754"/>
      <c r="AD261" s="754"/>
      <c r="AE261" s="754"/>
      <c r="AF261" s="754"/>
      <c r="AG261" s="754"/>
      <c r="AH261" s="509"/>
      <c r="AI261" s="509"/>
      <c r="AJ261" s="509"/>
      <c r="AK261" s="509"/>
    </row>
    <row r="262" spans="1:37" ht="13">
      <c r="A262" s="504"/>
      <c r="B262" s="743"/>
      <c r="C262" s="562"/>
      <c r="D262" s="726"/>
      <c r="E262" s="726"/>
      <c r="F262" s="726"/>
      <c r="G262" s="726"/>
      <c r="H262" s="726"/>
      <c r="I262" s="726"/>
      <c r="J262" s="726"/>
      <c r="K262" s="435"/>
      <c r="L262" s="435"/>
      <c r="M262" s="435"/>
      <c r="N262" s="435"/>
      <c r="O262" s="435"/>
      <c r="P262" s="435"/>
      <c r="Q262" s="435"/>
      <c r="R262" s="435"/>
      <c r="S262" s="435"/>
      <c r="U262" s="742"/>
      <c r="V262" s="742"/>
      <c r="W262" s="742"/>
      <c r="X262" s="742"/>
      <c r="Y262" s="742"/>
      <c r="Z262" s="542"/>
      <c r="AA262" s="542"/>
      <c r="AB262" s="754"/>
      <c r="AC262" s="754"/>
      <c r="AD262" s="754"/>
      <c r="AE262" s="754"/>
      <c r="AF262" s="754"/>
      <c r="AG262" s="754"/>
      <c r="AH262" s="509"/>
      <c r="AI262" s="509"/>
      <c r="AJ262" s="509"/>
      <c r="AK262" s="509"/>
    </row>
    <row r="263" spans="1:37" ht="13">
      <c r="A263" s="504"/>
      <c r="B263" s="746" t="s">
        <v>2270</v>
      </c>
      <c r="C263" s="746"/>
      <c r="D263" s="726"/>
      <c r="E263" s="726"/>
      <c r="F263" s="726"/>
      <c r="G263" s="726"/>
      <c r="H263" s="726"/>
      <c r="I263" s="726"/>
      <c r="J263" s="726"/>
      <c r="K263" s="435"/>
      <c r="L263" s="435"/>
      <c r="M263" s="435"/>
      <c r="N263" s="435"/>
      <c r="O263" s="435"/>
      <c r="P263" s="435"/>
      <c r="Q263" s="435"/>
      <c r="R263" s="435"/>
      <c r="S263" s="435"/>
      <c r="T263" s="435"/>
      <c r="U263" s="435"/>
      <c r="V263" s="435"/>
      <c r="W263" s="435"/>
      <c r="X263" s="435"/>
      <c r="Y263" s="542"/>
      <c r="Z263" s="542"/>
      <c r="AA263" s="542"/>
      <c r="AB263" s="542"/>
      <c r="AC263" s="435"/>
      <c r="AD263" s="435"/>
      <c r="AE263" s="509"/>
      <c r="AF263" s="509"/>
      <c r="AG263" s="509"/>
      <c r="AH263" s="509"/>
      <c r="AI263" s="509"/>
      <c r="AJ263" s="509"/>
      <c r="AK263" s="509"/>
    </row>
    <row r="264" spans="1:37">
      <c r="A264" s="504"/>
      <c r="B264" s="504" t="s">
        <v>2271</v>
      </c>
      <c r="C264" s="562"/>
      <c r="D264" s="726"/>
      <c r="E264" s="726"/>
      <c r="F264" s="726"/>
      <c r="G264" s="726"/>
      <c r="H264" s="726"/>
      <c r="I264" s="726"/>
      <c r="J264" s="726"/>
      <c r="K264" s="435"/>
      <c r="L264" s="435"/>
      <c r="M264" s="435"/>
      <c r="N264" s="435"/>
      <c r="O264" s="435"/>
      <c r="P264" s="435"/>
      <c r="Q264" s="435"/>
      <c r="R264" s="435"/>
      <c r="S264" s="435"/>
      <c r="T264" s="435"/>
      <c r="U264" s="435"/>
      <c r="V264" s="435"/>
      <c r="W264" s="435"/>
      <c r="X264" s="435"/>
      <c r="Y264" s="542"/>
      <c r="Z264" s="542"/>
      <c r="AA264" s="542"/>
      <c r="AB264" s="542"/>
      <c r="AC264" s="435"/>
      <c r="AD264" s="435"/>
      <c r="AE264" s="509"/>
      <c r="AF264" s="509"/>
      <c r="AG264" s="509"/>
      <c r="AH264" s="509"/>
      <c r="AI264" s="509"/>
      <c r="AJ264" s="509"/>
      <c r="AK264" s="509"/>
    </row>
    <row r="265" spans="1:37">
      <c r="A265" s="504"/>
      <c r="B265" s="504" t="s">
        <v>2272</v>
      </c>
      <c r="C265" s="562"/>
      <c r="D265" s="726"/>
      <c r="E265" s="726"/>
      <c r="F265" s="726"/>
      <c r="G265" s="726"/>
      <c r="H265" s="726"/>
      <c r="I265" s="726"/>
      <c r="J265" s="726"/>
      <c r="K265" s="435"/>
      <c r="L265" s="435"/>
      <c r="M265" s="435"/>
      <c r="N265" s="435"/>
      <c r="O265" s="435"/>
      <c r="P265" s="435"/>
      <c r="Q265" s="435"/>
      <c r="R265" s="435"/>
      <c r="S265" s="435"/>
      <c r="T265" s="435"/>
      <c r="U265" s="435"/>
      <c r="V265" s="435"/>
      <c r="W265" s="435"/>
      <c r="X265" s="435"/>
      <c r="Y265" s="542"/>
      <c r="Z265" s="542"/>
      <c r="AA265" s="542"/>
      <c r="AB265" s="542"/>
      <c r="AC265" s="435"/>
      <c r="AD265" s="435"/>
      <c r="AE265" s="509"/>
      <c r="AF265" s="509"/>
      <c r="AG265" s="509"/>
      <c r="AH265" s="509"/>
      <c r="AI265" s="509"/>
      <c r="AJ265" s="509"/>
      <c r="AK265" s="509"/>
    </row>
    <row r="266" spans="1:37">
      <c r="A266" s="504"/>
      <c r="B266" s="504" t="s">
        <v>2273</v>
      </c>
      <c r="C266" s="562"/>
      <c r="D266" s="726"/>
      <c r="E266" s="726"/>
      <c r="F266" s="726"/>
      <c r="G266" s="726"/>
      <c r="H266" s="726"/>
      <c r="I266" s="726"/>
      <c r="J266" s="726"/>
      <c r="K266" s="435"/>
      <c r="L266" s="435"/>
      <c r="M266" s="435"/>
      <c r="N266" s="435"/>
      <c r="O266" s="435"/>
      <c r="P266" s="435"/>
      <c r="Q266" s="435"/>
      <c r="R266" s="435"/>
      <c r="S266" s="435"/>
      <c r="T266" s="435"/>
      <c r="U266" s="435"/>
      <c r="V266" s="435"/>
      <c r="W266" s="435"/>
      <c r="X266" s="435"/>
      <c r="Y266" s="542"/>
      <c r="Z266" s="542"/>
      <c r="AA266" s="542"/>
      <c r="AB266" s="2507">
        <f>IFERROR(('Sources and Uses Budget'!D105/'Sources and Uses Budget'!B105),0)</f>
        <v>0</v>
      </c>
      <c r="AC266" s="2508"/>
      <c r="AD266" s="2508"/>
      <c r="AE266" s="2508"/>
      <c r="AF266" s="2508"/>
      <c r="AG266" s="2509"/>
      <c r="AH266" s="755"/>
      <c r="AI266" s="755"/>
      <c r="AJ266" s="755"/>
      <c r="AK266" s="509"/>
    </row>
    <row r="267" spans="1:37">
      <c r="A267" s="504"/>
      <c r="B267" s="376"/>
      <c r="C267" s="562"/>
      <c r="D267" s="726"/>
      <c r="E267" s="726"/>
      <c r="F267" s="726"/>
      <c r="G267" s="726"/>
      <c r="H267" s="726"/>
      <c r="I267" s="726"/>
      <c r="J267" s="726"/>
      <c r="K267" s="435"/>
      <c r="L267" s="435"/>
      <c r="M267" s="435"/>
      <c r="N267" s="435"/>
      <c r="O267" s="435"/>
      <c r="P267" s="435"/>
      <c r="Q267" s="435"/>
      <c r="R267" s="435"/>
      <c r="S267" s="435"/>
      <c r="T267" s="435"/>
      <c r="U267" s="435"/>
      <c r="V267" s="435"/>
      <c r="W267" s="435"/>
      <c r="X267" s="435"/>
      <c r="Y267" s="542"/>
      <c r="Z267" s="542"/>
      <c r="AA267" s="542"/>
      <c r="AB267" s="542"/>
      <c r="AC267" s="435"/>
      <c r="AD267" s="435"/>
      <c r="AE267" s="509"/>
      <c r="AF267" s="509"/>
      <c r="AG267" s="509"/>
      <c r="AH267" s="509"/>
      <c r="AI267" s="509"/>
      <c r="AJ267" s="509"/>
      <c r="AK267" s="509"/>
    </row>
    <row r="268" spans="1:37" ht="13">
      <c r="A268" s="521"/>
      <c r="B268" s="348" t="s">
        <v>2274</v>
      </c>
      <c r="C268" s="522"/>
      <c r="D268" s="522"/>
      <c r="E268" s="522"/>
      <c r="F268" s="522"/>
      <c r="H268" s="523"/>
      <c r="I268" s="523"/>
      <c r="J268" s="523"/>
      <c r="K268" s="523"/>
      <c r="L268" s="523"/>
      <c r="M268" s="523"/>
      <c r="N268" s="523"/>
      <c r="O268" s="523"/>
      <c r="P268" s="523"/>
      <c r="Q268" s="523"/>
      <c r="R268" s="523"/>
      <c r="Y268" s="523"/>
      <c r="Z268" s="523"/>
      <c r="AA268" s="523"/>
      <c r="AB268" s="521"/>
      <c r="AC268" s="521"/>
      <c r="AD268" s="521"/>
      <c r="AE268" s="521"/>
      <c r="AG268" s="2353">
        <f>AD211*(1-AB266)</f>
        <v>5511155.2105519176</v>
      </c>
      <c r="AH268" s="2353"/>
      <c r="AI268" s="2353"/>
      <c r="AJ268" s="2353"/>
      <c r="AK268" s="2353"/>
    </row>
    <row r="269" spans="1:37">
      <c r="A269" s="521"/>
      <c r="B269" s="524" t="s">
        <v>2275</v>
      </c>
      <c r="C269" s="525"/>
      <c r="D269" s="523"/>
      <c r="E269" s="523"/>
      <c r="F269" s="525"/>
      <c r="G269" s="525"/>
      <c r="H269" s="525"/>
      <c r="I269" s="525"/>
      <c r="J269" s="525"/>
      <c r="K269" s="525"/>
      <c r="L269" s="525"/>
      <c r="M269" s="523"/>
      <c r="N269" s="525"/>
      <c r="O269" s="525"/>
      <c r="P269" s="525"/>
      <c r="Q269" s="525"/>
      <c r="R269" s="525"/>
      <c r="Y269" s="523"/>
      <c r="Z269" s="523"/>
      <c r="AA269" s="523"/>
      <c r="AB269" s="521"/>
      <c r="AC269" s="521"/>
      <c r="AD269" s="521"/>
      <c r="AE269" s="521"/>
      <c r="AG269" s="2353">
        <f>'Sources and Uses Budget'!C105</f>
        <v>56745149</v>
      </c>
      <c r="AH269" s="2353"/>
      <c r="AI269" s="2353"/>
      <c r="AJ269" s="2353"/>
      <c r="AK269" s="2353"/>
    </row>
    <row r="270" spans="1:37">
      <c r="A270" s="521"/>
      <c r="B270" s="523" t="s">
        <v>1638</v>
      </c>
      <c r="C270" s="523"/>
      <c r="D270" s="523"/>
      <c r="E270" s="523"/>
      <c r="F270" s="523"/>
      <c r="G270" s="523"/>
      <c r="H270" s="523"/>
      <c r="I270" s="523"/>
      <c r="J270" s="523"/>
      <c r="K270" s="523"/>
      <c r="L270" s="523"/>
      <c r="M270" s="523"/>
      <c r="N270" s="523"/>
      <c r="O270" s="523"/>
      <c r="P270" s="523"/>
      <c r="Q270" s="523"/>
      <c r="R270" s="523"/>
      <c r="Y270" s="523"/>
      <c r="Z270" s="523"/>
      <c r="AA270" s="523"/>
      <c r="AB270" s="521"/>
      <c r="AC270" s="521"/>
      <c r="AD270" s="521"/>
      <c r="AE270" s="521"/>
      <c r="AG270" s="2499">
        <f>ROUNDDOWN(IF(AND(C292="Yes",AK84=10),((AG268*2)/AG269),AG268/AG269),2)</f>
        <v>0.09</v>
      </c>
      <c r="AH270" s="2499"/>
      <c r="AI270" s="2499"/>
      <c r="AJ270" s="2499"/>
      <c r="AK270" s="2499"/>
    </row>
    <row r="271" spans="1:37" ht="13">
      <c r="A271" s="521"/>
      <c r="B271" s="871" t="s">
        <v>2276</v>
      </c>
      <c r="C271" s="523"/>
      <c r="D271" s="523"/>
      <c r="E271" s="523"/>
      <c r="F271" s="523"/>
      <c r="G271" s="523"/>
      <c r="H271" s="523"/>
      <c r="I271" s="523"/>
      <c r="J271" s="523"/>
      <c r="K271" s="523"/>
      <c r="L271" s="523"/>
      <c r="M271" s="523"/>
      <c r="N271" s="523"/>
      <c r="O271" s="523"/>
      <c r="P271" s="523"/>
      <c r="Q271" s="523"/>
      <c r="R271" s="523"/>
      <c r="Y271" s="523"/>
      <c r="Z271" s="523"/>
      <c r="AA271" s="523"/>
      <c r="AB271" s="521"/>
      <c r="AC271" s="521"/>
      <c r="AD271" s="521"/>
      <c r="AE271" s="521"/>
      <c r="AG271" s="870"/>
      <c r="AH271" s="870"/>
      <c r="AI271" s="870"/>
      <c r="AJ271" s="870"/>
      <c r="AK271" s="870"/>
    </row>
    <row r="272" spans="1:37">
      <c r="A272" s="526"/>
      <c r="B272" s="526"/>
      <c r="C272" s="526"/>
      <c r="D272" s="526"/>
      <c r="E272" s="526"/>
      <c r="F272" s="526"/>
      <c r="G272" s="526"/>
      <c r="H272" s="526"/>
      <c r="I272" s="526"/>
      <c r="J272" s="526"/>
      <c r="K272" s="526"/>
      <c r="L272" s="526"/>
      <c r="M272" s="526"/>
      <c r="N272" s="526"/>
      <c r="O272" s="526"/>
      <c r="P272" s="526"/>
      <c r="Q272" s="526"/>
      <c r="R272" s="526"/>
      <c r="S272" s="526"/>
      <c r="T272" s="526"/>
      <c r="U272" s="526"/>
      <c r="V272" s="526"/>
      <c r="W272" s="526"/>
      <c r="X272" s="526"/>
      <c r="Y272" s="526"/>
      <c r="Z272" s="526"/>
      <c r="AA272" s="526"/>
      <c r="AB272" s="526"/>
      <c r="AC272" s="526"/>
      <c r="AD272" s="526"/>
      <c r="AE272" s="526"/>
      <c r="AF272" s="526"/>
      <c r="AG272" s="526"/>
      <c r="AH272" s="526"/>
      <c r="AI272" s="526"/>
      <c r="AJ272" s="526"/>
    </row>
    <row r="273" spans="1:52" ht="13">
      <c r="A273" s="527"/>
      <c r="B273" s="527"/>
      <c r="C273" s="527"/>
      <c r="D273" s="527"/>
      <c r="E273" s="527"/>
      <c r="F273" s="527"/>
      <c r="G273" s="527"/>
      <c r="H273" s="527"/>
      <c r="I273" s="527"/>
      <c r="J273" s="527"/>
      <c r="K273" s="527"/>
      <c r="L273" s="527"/>
      <c r="M273" s="527"/>
      <c r="N273" s="527"/>
      <c r="O273" s="527"/>
      <c r="P273" s="527"/>
      <c r="Q273" s="527"/>
      <c r="R273" s="527"/>
      <c r="S273" s="527"/>
      <c r="T273" s="527"/>
      <c r="U273" s="527"/>
      <c r="V273" s="527"/>
      <c r="W273" s="527"/>
      <c r="X273" s="527"/>
      <c r="Y273" s="527"/>
      <c r="Z273" s="527"/>
      <c r="AA273" s="527"/>
      <c r="AB273" s="527"/>
      <c r="AC273" s="527"/>
      <c r="AD273" s="527"/>
      <c r="AE273" s="527"/>
      <c r="AF273" s="527"/>
      <c r="AG273" s="527"/>
      <c r="AH273" s="528"/>
      <c r="AI273" s="464"/>
      <c r="AJ273" s="464" t="s">
        <v>2277</v>
      </c>
      <c r="AK273" s="2488">
        <f>IFERROR(IF(AG270=0,0,IF((AG270*100)&gt;8,8,(AG270*100))),0)</f>
        <v>8</v>
      </c>
      <c r="AL273" s="2488"/>
      <c r="AM273" s="2489"/>
    </row>
    <row r="274" spans="1:52" ht="13" thickBot="1"/>
    <row r="275" spans="1:52" s="449" customFormat="1" ht="12.75" customHeight="1" thickTop="1">
      <c r="A275" s="511"/>
      <c r="B275" s="529"/>
      <c r="C275" s="529"/>
      <c r="D275" s="529"/>
      <c r="E275" s="529"/>
      <c r="F275" s="529"/>
      <c r="G275" s="529"/>
      <c r="H275" s="529"/>
      <c r="I275" s="529"/>
      <c r="J275" s="529"/>
      <c r="K275" s="529"/>
      <c r="L275" s="529"/>
      <c r="M275" s="529"/>
      <c r="N275" s="529"/>
      <c r="O275" s="529"/>
      <c r="P275" s="529"/>
      <c r="Q275" s="529"/>
      <c r="R275" s="529"/>
      <c r="S275" s="529"/>
      <c r="T275" s="529"/>
      <c r="U275" s="529"/>
      <c r="V275" s="529"/>
      <c r="W275" s="529"/>
      <c r="X275" s="529"/>
      <c r="Y275" s="529"/>
      <c r="Z275" s="529"/>
      <c r="AA275" s="529"/>
      <c r="AB275" s="529"/>
      <c r="AC275" s="530"/>
      <c r="AD275" s="529"/>
      <c r="AE275" s="529"/>
      <c r="AF275" s="529"/>
      <c r="AG275" s="529"/>
      <c r="AH275" s="511"/>
      <c r="AI275" s="531"/>
      <c r="AJ275" s="531"/>
      <c r="AK275" s="532"/>
      <c r="AL275" s="532"/>
      <c r="AM275" s="533"/>
      <c r="AN275" s="496"/>
      <c r="AP275" s="435"/>
      <c r="AQ275" s="435"/>
      <c r="AR275" s="435"/>
      <c r="AS275" s="435"/>
      <c r="AT275" s="435"/>
      <c r="AU275" s="435"/>
      <c r="AV275" s="435"/>
      <c r="AW275" s="435"/>
      <c r="AX275" s="435"/>
      <c r="AY275" s="435"/>
      <c r="AZ275" s="435"/>
    </row>
    <row r="276" spans="1:52" ht="13">
      <c r="A276" s="437" t="s">
        <v>2278</v>
      </c>
      <c r="B276" s="437" t="s">
        <v>2279</v>
      </c>
      <c r="C276" s="438"/>
      <c r="D276" s="449"/>
      <c r="E276" s="449"/>
      <c r="F276" s="449"/>
      <c r="G276" s="449"/>
      <c r="H276" s="449"/>
      <c r="I276" s="449"/>
      <c r="J276" s="449"/>
      <c r="K276" s="449"/>
      <c r="L276" s="449"/>
      <c r="M276" s="449"/>
      <c r="N276" s="449"/>
      <c r="O276" s="449"/>
      <c r="P276" s="449"/>
      <c r="Q276" s="449"/>
      <c r="R276" s="449"/>
      <c r="S276" s="449"/>
      <c r="T276" s="449"/>
      <c r="U276" s="449"/>
      <c r="V276" s="449"/>
      <c r="W276" s="449"/>
      <c r="X276" s="449"/>
      <c r="Y276" s="449"/>
      <c r="Z276" s="449"/>
      <c r="AA276" s="449"/>
      <c r="AB276" s="449"/>
      <c r="AC276" s="449"/>
      <c r="AD276" s="449"/>
      <c r="AE276" s="449"/>
      <c r="AF276" s="449"/>
      <c r="AG276" s="449"/>
      <c r="AH276" s="490" t="s">
        <v>2145</v>
      </c>
      <c r="AI276" s="449"/>
      <c r="AJ276" s="449"/>
      <c r="AK276" s="449"/>
      <c r="AL276" s="449"/>
      <c r="AM276" s="449"/>
      <c r="AO276" s="449"/>
    </row>
    <row r="277" spans="1:52" ht="14.25" customHeight="1">
      <c r="A277" s="490"/>
      <c r="AI277" s="450"/>
      <c r="AJ277" s="449"/>
      <c r="AK277" s="449"/>
      <c r="AL277" s="449"/>
      <c r="AM277" s="449"/>
      <c r="AO277" s="449"/>
    </row>
    <row r="278" spans="1:52" ht="13.75" customHeight="1">
      <c r="A278" s="449"/>
      <c r="B278" s="495"/>
      <c r="C278" s="2370" t="s">
        <v>842</v>
      </c>
      <c r="D278" s="2370"/>
      <c r="E278" s="446"/>
      <c r="F278" s="2322" t="s">
        <v>2280</v>
      </c>
      <c r="G278" s="2323"/>
      <c r="H278" s="2323"/>
      <c r="I278" s="2323"/>
      <c r="J278" s="2323"/>
      <c r="K278" s="2323"/>
      <c r="L278" s="2323"/>
      <c r="M278" s="2323"/>
      <c r="N278" s="2323"/>
      <c r="O278" s="2323"/>
      <c r="P278" s="2323"/>
      <c r="Q278" s="2323"/>
      <c r="R278" s="2323"/>
      <c r="S278" s="2323"/>
      <c r="T278" s="2323"/>
      <c r="U278" s="2323"/>
      <c r="V278" s="2323"/>
      <c r="W278" s="2323"/>
      <c r="X278" s="2323"/>
      <c r="Y278" s="2323"/>
      <c r="Z278" s="2323"/>
      <c r="AA278" s="2323"/>
      <c r="AB278" s="2323"/>
      <c r="AC278" s="2323"/>
      <c r="AD278" s="2324"/>
      <c r="AE278" s="449"/>
      <c r="AF278" s="534"/>
      <c r="AG278" s="2497" t="s">
        <v>2220</v>
      </c>
      <c r="AH278" s="2497"/>
      <c r="AI278" s="2497"/>
      <c r="AJ278" s="2497"/>
      <c r="AK278" s="449"/>
      <c r="AL278" s="449"/>
      <c r="AM278" s="449"/>
      <c r="AO278" s="449"/>
    </row>
    <row r="279" spans="1:52" ht="13.75" customHeight="1">
      <c r="A279" s="449"/>
      <c r="B279" s="495"/>
      <c r="C279" s="535"/>
      <c r="D279" s="449"/>
      <c r="E279" s="446"/>
      <c r="F279" s="2325"/>
      <c r="G279" s="2326"/>
      <c r="H279" s="2326"/>
      <c r="I279" s="2326"/>
      <c r="J279" s="2326"/>
      <c r="K279" s="2326"/>
      <c r="L279" s="2326"/>
      <c r="M279" s="2326"/>
      <c r="N279" s="2326"/>
      <c r="O279" s="2326"/>
      <c r="P279" s="2326"/>
      <c r="Q279" s="2326"/>
      <c r="R279" s="2326"/>
      <c r="S279" s="2326"/>
      <c r="T279" s="2326"/>
      <c r="U279" s="2326"/>
      <c r="V279" s="2326"/>
      <c r="W279" s="2326"/>
      <c r="X279" s="2326"/>
      <c r="Y279" s="2326"/>
      <c r="Z279" s="2326"/>
      <c r="AA279" s="2326"/>
      <c r="AB279" s="2326"/>
      <c r="AC279" s="2326"/>
      <c r="AD279" s="2327"/>
      <c r="AE279" s="449"/>
      <c r="AF279" s="534"/>
      <c r="AG279" s="534"/>
      <c r="AH279" s="534"/>
      <c r="AI279" s="534"/>
      <c r="AJ279" s="449"/>
      <c r="AK279" s="449"/>
      <c r="AL279" s="449"/>
      <c r="AM279" s="449"/>
      <c r="AO279" s="449"/>
    </row>
    <row r="280" spans="1:52">
      <c r="A280" s="449"/>
      <c r="B280" s="495"/>
      <c r="C280" s="535"/>
      <c r="D280" s="449"/>
      <c r="E280" s="446"/>
      <c r="F280" s="2325"/>
      <c r="G280" s="2326"/>
      <c r="H280" s="2326"/>
      <c r="I280" s="2326"/>
      <c r="J280" s="2326"/>
      <c r="K280" s="2326"/>
      <c r="L280" s="2326"/>
      <c r="M280" s="2326"/>
      <c r="N280" s="2326"/>
      <c r="O280" s="2326"/>
      <c r="P280" s="2326"/>
      <c r="Q280" s="2326"/>
      <c r="R280" s="2326"/>
      <c r="S280" s="2326"/>
      <c r="T280" s="2326"/>
      <c r="U280" s="2326"/>
      <c r="V280" s="2326"/>
      <c r="W280" s="2326"/>
      <c r="X280" s="2326"/>
      <c r="Y280" s="2326"/>
      <c r="Z280" s="2326"/>
      <c r="AA280" s="2326"/>
      <c r="AB280" s="2326"/>
      <c r="AC280" s="2326"/>
      <c r="AD280" s="2327"/>
      <c r="AE280" s="449"/>
      <c r="AF280" s="534"/>
      <c r="AG280" s="534"/>
      <c r="AH280" s="534"/>
      <c r="AI280" s="534"/>
      <c r="AJ280" s="449"/>
      <c r="AK280" s="449"/>
      <c r="AL280" s="449"/>
      <c r="AM280" s="449"/>
      <c r="AO280" s="449"/>
      <c r="AP280" s="536"/>
    </row>
    <row r="281" spans="1:52">
      <c r="A281" s="449"/>
      <c r="B281" s="495"/>
      <c r="C281" s="535"/>
      <c r="D281" s="449"/>
      <c r="E281" s="446"/>
      <c r="F281" s="2325"/>
      <c r="G281" s="2326"/>
      <c r="H281" s="2326"/>
      <c r="I281" s="2326"/>
      <c r="J281" s="2326"/>
      <c r="K281" s="2326"/>
      <c r="L281" s="2326"/>
      <c r="M281" s="2326"/>
      <c r="N281" s="2326"/>
      <c r="O281" s="2326"/>
      <c r="P281" s="2326"/>
      <c r="Q281" s="2326"/>
      <c r="R281" s="2326"/>
      <c r="S281" s="2326"/>
      <c r="T281" s="2326"/>
      <c r="U281" s="2326"/>
      <c r="V281" s="2326"/>
      <c r="W281" s="2326"/>
      <c r="X281" s="2326"/>
      <c r="Y281" s="2326"/>
      <c r="Z281" s="2326"/>
      <c r="AA281" s="2326"/>
      <c r="AB281" s="2326"/>
      <c r="AC281" s="2326"/>
      <c r="AD281" s="2327"/>
      <c r="AE281" s="449"/>
      <c r="AF281" s="534"/>
      <c r="AG281" s="534"/>
      <c r="AH281" s="534"/>
      <c r="AI281" s="534"/>
      <c r="AJ281" s="449"/>
      <c r="AK281" s="449"/>
      <c r="AL281" s="449"/>
      <c r="AM281" s="449"/>
      <c r="AO281" s="449"/>
      <c r="AP281" s="536"/>
    </row>
    <row r="282" spans="1:52" ht="13.75" customHeight="1">
      <c r="A282" s="449"/>
      <c r="B282" s="495"/>
      <c r="C282" s="2498"/>
      <c r="D282" s="2498"/>
      <c r="E282" s="446"/>
      <c r="F282" s="2328"/>
      <c r="G282" s="2329"/>
      <c r="H282" s="2329"/>
      <c r="I282" s="2329"/>
      <c r="J282" s="2329"/>
      <c r="K282" s="2329"/>
      <c r="L282" s="2329"/>
      <c r="M282" s="2329"/>
      <c r="N282" s="2329"/>
      <c r="O282" s="2329"/>
      <c r="P282" s="2329"/>
      <c r="Q282" s="2329"/>
      <c r="R282" s="2329"/>
      <c r="S282" s="2329"/>
      <c r="T282" s="2329"/>
      <c r="U282" s="2329"/>
      <c r="V282" s="2329"/>
      <c r="W282" s="2329"/>
      <c r="X282" s="2329"/>
      <c r="Y282" s="2329"/>
      <c r="Z282" s="2329"/>
      <c r="AA282" s="2329"/>
      <c r="AB282" s="2329"/>
      <c r="AC282" s="2329"/>
      <c r="AD282" s="2330"/>
      <c r="AE282" s="449"/>
      <c r="AF282" s="534"/>
      <c r="AG282" s="2497"/>
      <c r="AH282" s="2497"/>
      <c r="AI282" s="2497"/>
      <c r="AJ282" s="2497"/>
      <c r="AK282" s="449"/>
      <c r="AL282" s="449"/>
      <c r="AM282" s="449"/>
    </row>
    <row r="283" spans="1:52" ht="13.75" hidden="1" customHeight="1">
      <c r="A283" s="449"/>
      <c r="C283" s="502"/>
      <c r="D283" s="502"/>
      <c r="E283" s="502"/>
      <c r="F283" s="913"/>
      <c r="G283" s="914"/>
      <c r="H283" s="914"/>
      <c r="I283" s="914"/>
      <c r="J283" s="914"/>
      <c r="K283" s="914"/>
      <c r="L283" s="914"/>
      <c r="M283" s="914"/>
      <c r="N283" s="914"/>
      <c r="O283" s="914"/>
      <c r="P283" s="914"/>
      <c r="Q283" s="914"/>
      <c r="R283" s="914"/>
      <c r="S283" s="914"/>
      <c r="T283" s="914"/>
      <c r="U283" s="914"/>
      <c r="V283" s="914"/>
      <c r="W283" s="914"/>
      <c r="X283" s="914"/>
      <c r="Y283" s="914"/>
      <c r="Z283" s="914"/>
      <c r="AA283" s="914"/>
      <c r="AB283" s="914"/>
      <c r="AC283" s="914"/>
      <c r="AD283" s="915"/>
      <c r="AE283" s="502"/>
      <c r="AF283" s="502"/>
      <c r="AG283" s="502"/>
      <c r="AH283" s="502"/>
      <c r="AI283" s="534"/>
      <c r="AJ283" s="449"/>
      <c r="AK283" s="449"/>
      <c r="AL283" s="449"/>
      <c r="AM283" s="449"/>
    </row>
    <row r="284" spans="1:52">
      <c r="A284" s="449"/>
      <c r="B284" s="502"/>
      <c r="C284" s="502"/>
      <c r="D284" s="502"/>
      <c r="E284" s="502"/>
      <c r="F284" s="502"/>
      <c r="G284" s="502"/>
      <c r="H284" s="502"/>
      <c r="I284" s="502"/>
      <c r="J284" s="502"/>
      <c r="K284" s="502"/>
      <c r="L284" s="502"/>
      <c r="M284" s="502"/>
      <c r="N284" s="502"/>
      <c r="O284" s="502"/>
      <c r="P284" s="502"/>
      <c r="Q284" s="502"/>
      <c r="R284" s="502"/>
      <c r="S284" s="502"/>
      <c r="T284" s="502"/>
      <c r="U284" s="502"/>
      <c r="V284" s="502"/>
      <c r="W284" s="502"/>
      <c r="X284" s="502"/>
      <c r="Y284" s="502"/>
      <c r="Z284" s="502"/>
      <c r="AA284" s="502"/>
      <c r="AB284" s="502"/>
      <c r="AC284" s="502"/>
      <c r="AD284" s="502"/>
      <c r="AE284" s="502"/>
      <c r="AF284" s="502"/>
      <c r="AG284" s="502"/>
      <c r="AH284" s="502"/>
      <c r="AI284" s="502"/>
      <c r="AJ284" s="502"/>
      <c r="AK284" s="502"/>
      <c r="AL284" s="449"/>
      <c r="AM284" s="449"/>
      <c r="AN284" s="58"/>
    </row>
    <row r="285" spans="1:52" ht="13">
      <c r="A285" s="505"/>
      <c r="B285" s="463"/>
      <c r="C285" s="463"/>
      <c r="D285" s="463"/>
      <c r="E285" s="463"/>
      <c r="F285" s="463"/>
      <c r="G285" s="463"/>
      <c r="H285" s="463"/>
      <c r="I285" s="463"/>
      <c r="J285" s="463"/>
      <c r="K285" s="463"/>
      <c r="L285" s="463"/>
      <c r="M285" s="463"/>
      <c r="N285" s="463"/>
      <c r="O285" s="463"/>
      <c r="P285" s="463"/>
      <c r="Q285" s="463"/>
      <c r="R285" s="463"/>
      <c r="S285" s="463"/>
      <c r="T285" s="463"/>
      <c r="U285" s="463"/>
      <c r="V285" s="463"/>
      <c r="W285" s="463"/>
      <c r="X285" s="463"/>
      <c r="Y285" s="463"/>
      <c r="Z285" s="463"/>
      <c r="AA285" s="463"/>
      <c r="AB285" s="463"/>
      <c r="AC285" s="463"/>
      <c r="AD285" s="463"/>
      <c r="AE285" s="463"/>
      <c r="AF285" s="463"/>
      <c r="AG285" s="463"/>
      <c r="AH285" s="463"/>
      <c r="AI285" s="464"/>
      <c r="AJ285" s="464" t="s">
        <v>2281</v>
      </c>
      <c r="AK285" s="2488">
        <f>IF($C$278="yes",10,0)</f>
        <v>10</v>
      </c>
      <c r="AL285" s="2488"/>
      <c r="AM285" s="2489"/>
      <c r="AN285" s="58"/>
    </row>
    <row r="286" spans="1:52" ht="13" thickBot="1"/>
    <row r="287" spans="1:52" ht="13" thickTop="1">
      <c r="A287" s="537"/>
      <c r="B287" s="537"/>
      <c r="C287" s="537"/>
      <c r="D287" s="537"/>
      <c r="E287" s="537"/>
      <c r="F287" s="537"/>
      <c r="G287" s="537"/>
      <c r="H287" s="537"/>
      <c r="I287" s="537"/>
      <c r="J287" s="537"/>
      <c r="K287" s="537"/>
      <c r="L287" s="537"/>
      <c r="M287" s="537"/>
      <c r="N287" s="537"/>
      <c r="O287" s="537"/>
      <c r="P287" s="537"/>
      <c r="Q287" s="537"/>
      <c r="R287" s="537"/>
      <c r="S287" s="537"/>
      <c r="T287" s="537"/>
      <c r="U287" s="537"/>
      <c r="V287" s="537"/>
      <c r="W287" s="537"/>
      <c r="X287" s="537"/>
      <c r="Y287" s="537"/>
      <c r="Z287" s="537"/>
      <c r="AA287" s="537"/>
      <c r="AB287" s="537"/>
      <c r="AC287" s="537"/>
      <c r="AD287" s="537"/>
      <c r="AE287" s="537"/>
      <c r="AF287" s="537"/>
      <c r="AG287" s="537"/>
      <c r="AH287" s="537"/>
      <c r="AI287" s="537"/>
      <c r="AJ287" s="537"/>
      <c r="AK287" s="537"/>
      <c r="AL287" s="537"/>
      <c r="AM287" s="538"/>
    </row>
    <row r="288" spans="1:52" ht="13">
      <c r="A288" s="437" t="s">
        <v>2282</v>
      </c>
      <c r="B288" s="437" t="s">
        <v>2283</v>
      </c>
      <c r="AH288" s="490" t="s">
        <v>2145</v>
      </c>
    </row>
    <row r="289" spans="1:49" ht="15" customHeight="1">
      <c r="B289" s="438"/>
    </row>
    <row r="290" spans="1:49" ht="15" customHeight="1">
      <c r="B290" s="438" t="s">
        <v>2146</v>
      </c>
    </row>
    <row r="291" spans="1:49" ht="13">
      <c r="B291" s="449"/>
      <c r="C291" s="539"/>
      <c r="D291" s="449"/>
      <c r="E291" s="449"/>
      <c r="F291" s="449"/>
      <c r="G291" s="449"/>
      <c r="H291" s="449"/>
      <c r="I291" s="449"/>
      <c r="J291" s="449"/>
      <c r="K291" s="449"/>
      <c r="L291" s="449"/>
      <c r="M291" s="449"/>
      <c r="N291" s="449"/>
      <c r="O291" s="449"/>
      <c r="P291" s="449"/>
      <c r="Q291" s="449"/>
      <c r="R291" s="449"/>
      <c r="S291" s="449"/>
      <c r="T291" s="449"/>
      <c r="U291" s="449"/>
      <c r="V291" s="449"/>
      <c r="W291" s="449"/>
      <c r="X291" s="449"/>
      <c r="Y291" s="449"/>
      <c r="Z291" s="449"/>
      <c r="AA291" s="449"/>
      <c r="AB291" s="449"/>
      <c r="AC291" s="449"/>
      <c r="AD291" s="449"/>
      <c r="AG291" s="449"/>
      <c r="AI291" s="449"/>
      <c r="AJ291" s="449"/>
      <c r="AK291" s="449"/>
      <c r="AL291" s="449"/>
      <c r="AM291" s="449"/>
      <c r="AN291" s="58"/>
      <c r="AO291" s="13"/>
      <c r="AP291" s="469"/>
      <c r="AQ291" s="540"/>
      <c r="AR291" s="469"/>
      <c r="AS291" s="469"/>
      <c r="AT291" s="469"/>
      <c r="AU291" s="469"/>
      <c r="AV291" s="27"/>
      <c r="AW291" s="27"/>
    </row>
    <row r="292" spans="1:49" ht="12.75" customHeight="1">
      <c r="A292" s="1575" t="s">
        <v>2284</v>
      </c>
      <c r="B292" s="1575"/>
      <c r="C292" s="2321" t="s">
        <v>807</v>
      </c>
      <c r="D292" s="2370"/>
      <c r="E292" s="446"/>
      <c r="F292" s="2490" t="s">
        <v>2285</v>
      </c>
      <c r="G292" s="2491"/>
      <c r="H292" s="2491"/>
      <c r="I292" s="2491"/>
      <c r="J292" s="2491"/>
      <c r="K292" s="2491"/>
      <c r="L292" s="2491"/>
      <c r="M292" s="2491"/>
      <c r="N292" s="2491"/>
      <c r="O292" s="2491"/>
      <c r="P292" s="2491"/>
      <c r="Q292" s="2491"/>
      <c r="R292" s="2491"/>
      <c r="S292" s="2491"/>
      <c r="T292" s="2491"/>
      <c r="U292" s="2491"/>
      <c r="V292" s="2491"/>
      <c r="W292" s="2491"/>
      <c r="X292" s="2491"/>
      <c r="Y292" s="2491"/>
      <c r="Z292" s="2491"/>
      <c r="AA292" s="2491"/>
      <c r="AB292" s="2491"/>
      <c r="AC292" s="2491"/>
      <c r="AD292" s="2492"/>
      <c r="AE292" s="541"/>
      <c r="AF292" s="449"/>
      <c r="AG292" s="2493" t="s">
        <v>2286</v>
      </c>
      <c r="AH292" s="2493"/>
      <c r="AI292" s="2493"/>
      <c r="AJ292" s="2493"/>
      <c r="AK292" s="2493"/>
      <c r="AL292" s="449"/>
      <c r="AM292" s="449"/>
      <c r="AN292" s="58"/>
      <c r="AO292" s="13"/>
      <c r="AP292" s="25"/>
      <c r="AS292" s="469"/>
      <c r="AT292" s="469"/>
      <c r="AU292" s="469"/>
      <c r="AV292" s="27"/>
      <c r="AW292" s="27"/>
    </row>
    <row r="293" spans="1:49" ht="13">
      <c r="A293" s="539"/>
      <c r="B293" s="495"/>
      <c r="F293" s="2348"/>
      <c r="G293" s="2349"/>
      <c r="H293" s="2349"/>
      <c r="I293" s="2349"/>
      <c r="J293" s="2349"/>
      <c r="K293" s="2349"/>
      <c r="L293" s="2349"/>
      <c r="M293" s="2349"/>
      <c r="N293" s="2349"/>
      <c r="O293" s="2349"/>
      <c r="P293" s="2349"/>
      <c r="Q293" s="2349"/>
      <c r="R293" s="2349"/>
      <c r="S293" s="2349"/>
      <c r="T293" s="2349"/>
      <c r="U293" s="2349"/>
      <c r="V293" s="2349"/>
      <c r="W293" s="2349"/>
      <c r="X293" s="2349"/>
      <c r="Y293" s="2349"/>
      <c r="Z293" s="2349"/>
      <c r="AA293" s="2349"/>
      <c r="AB293" s="2349"/>
      <c r="AC293" s="2349"/>
      <c r="AD293" s="2350"/>
      <c r="AE293" s="541"/>
      <c r="AF293" s="450"/>
      <c r="AH293" s="450"/>
      <c r="AI293" s="450"/>
      <c r="AJ293" s="449"/>
      <c r="AK293" s="449"/>
      <c r="AL293" s="449"/>
      <c r="AM293" s="449"/>
      <c r="AN293" s="58"/>
      <c r="AO293" s="13"/>
      <c r="AP293" s="449">
        <f>IF($C$292="yes",10,IF(C292="50% Met",9,0))</f>
        <v>0</v>
      </c>
      <c r="AS293" s="469"/>
      <c r="AT293" s="469"/>
      <c r="AU293" s="469"/>
      <c r="AV293" s="27"/>
      <c r="AW293" s="27"/>
    </row>
    <row r="294" spans="1:49" ht="15" customHeight="1">
      <c r="A294" s="539"/>
      <c r="B294" s="495"/>
      <c r="F294" s="2348"/>
      <c r="G294" s="2349"/>
      <c r="H294" s="2349"/>
      <c r="I294" s="2349"/>
      <c r="J294" s="2349"/>
      <c r="K294" s="2349"/>
      <c r="L294" s="2349"/>
      <c r="M294" s="2349"/>
      <c r="N294" s="2349"/>
      <c r="O294" s="2349"/>
      <c r="P294" s="2349"/>
      <c r="Q294" s="2349"/>
      <c r="R294" s="2349"/>
      <c r="S294" s="2349"/>
      <c r="T294" s="2349"/>
      <c r="U294" s="2349"/>
      <c r="V294" s="2349"/>
      <c r="W294" s="2349"/>
      <c r="X294" s="2349"/>
      <c r="Y294" s="2349"/>
      <c r="Z294" s="2349"/>
      <c r="AA294" s="2349"/>
      <c r="AB294" s="2349"/>
      <c r="AC294" s="2349"/>
      <c r="AD294" s="2350"/>
      <c r="AE294" s="541"/>
      <c r="AF294" s="450"/>
      <c r="AH294" s="450"/>
      <c r="AI294" s="450"/>
      <c r="AJ294" s="449"/>
      <c r="AK294" s="449"/>
      <c r="AL294" s="449"/>
      <c r="AM294" s="449"/>
      <c r="AN294" s="58"/>
      <c r="AO294" s="13"/>
      <c r="AP294" s="449">
        <f>IF($C$302="yes",9,0)</f>
        <v>9</v>
      </c>
      <c r="AS294" s="469"/>
      <c r="AT294" s="469"/>
      <c r="AU294" s="469"/>
      <c r="AV294" s="27"/>
      <c r="AW294" s="27"/>
    </row>
    <row r="295" spans="1:49" ht="12.75" customHeight="1">
      <c r="A295" s="539"/>
      <c r="B295" s="495"/>
      <c r="F295" s="2348" t="s">
        <v>2287</v>
      </c>
      <c r="G295" s="2349"/>
      <c r="H295" s="2349"/>
      <c r="I295" s="2349"/>
      <c r="J295" s="2349"/>
      <c r="K295" s="2349"/>
      <c r="L295" s="2349"/>
      <c r="M295" s="2349"/>
      <c r="N295" s="2349"/>
      <c r="O295" s="2349"/>
      <c r="P295" s="2349"/>
      <c r="Q295" s="2349"/>
      <c r="R295" s="2349"/>
      <c r="S295" s="2349"/>
      <c r="T295" s="2349"/>
      <c r="U295" s="2349"/>
      <c r="V295" s="2349"/>
      <c r="W295" s="2349"/>
      <c r="X295" s="2349"/>
      <c r="Y295" s="2349"/>
      <c r="Z295" s="2349"/>
      <c r="AA295" s="2349"/>
      <c r="AB295" s="2349"/>
      <c r="AC295" s="2349"/>
      <c r="AD295" s="2350"/>
      <c r="AE295" s="541"/>
      <c r="AF295" s="450"/>
      <c r="AH295" s="450"/>
      <c r="AI295" s="450"/>
      <c r="AJ295" s="449"/>
      <c r="AK295" s="449"/>
      <c r="AL295" s="449"/>
      <c r="AM295" s="449"/>
      <c r="AN295" s="58"/>
      <c r="AO295" s="13"/>
      <c r="AP295" s="510">
        <f>MAX(AP293,AP294)</f>
        <v>9</v>
      </c>
      <c r="AQ295" s="473" t="s">
        <v>2149</v>
      </c>
      <c r="AS295" s="469"/>
      <c r="AT295" s="469"/>
      <c r="AU295" s="469"/>
      <c r="AV295" s="27"/>
      <c r="AW295" s="27"/>
    </row>
    <row r="296" spans="1:49" ht="13">
      <c r="A296" s="539"/>
      <c r="B296" s="495"/>
      <c r="F296" s="2348"/>
      <c r="G296" s="2349"/>
      <c r="H296" s="2349"/>
      <c r="I296" s="2349"/>
      <c r="J296" s="2349"/>
      <c r="K296" s="2349"/>
      <c r="L296" s="2349"/>
      <c r="M296" s="2349"/>
      <c r="N296" s="2349"/>
      <c r="O296" s="2349"/>
      <c r="P296" s="2349"/>
      <c r="Q296" s="2349"/>
      <c r="R296" s="2349"/>
      <c r="S296" s="2349"/>
      <c r="T296" s="2349"/>
      <c r="U296" s="2349"/>
      <c r="V296" s="2349"/>
      <c r="W296" s="2349"/>
      <c r="X296" s="2349"/>
      <c r="Y296" s="2349"/>
      <c r="Z296" s="2349"/>
      <c r="AA296" s="2349"/>
      <c r="AB296" s="2349"/>
      <c r="AC296" s="2349"/>
      <c r="AD296" s="2350"/>
      <c r="AE296" s="541"/>
      <c r="AF296" s="450"/>
      <c r="AH296" s="450"/>
      <c r="AI296" s="450"/>
      <c r="AJ296" s="449"/>
      <c r="AK296" s="449"/>
      <c r="AL296" s="449"/>
      <c r="AM296" s="449"/>
      <c r="AN296" s="58"/>
      <c r="AO296" s="13"/>
      <c r="AP296" s="449"/>
      <c r="AS296" s="469"/>
      <c r="AT296" s="469"/>
      <c r="AU296" s="469"/>
      <c r="AV296" s="27"/>
      <c r="AW296" s="27"/>
    </row>
    <row r="297" spans="1:49" ht="12.75" customHeight="1">
      <c r="A297" s="449"/>
      <c r="B297" s="450"/>
      <c r="C297" s="449"/>
      <c r="D297" s="450"/>
      <c r="E297" s="449"/>
      <c r="F297" s="2348" t="s">
        <v>2288</v>
      </c>
      <c r="G297" s="2349"/>
      <c r="H297" s="2349"/>
      <c r="I297" s="2349"/>
      <c r="J297" s="2349"/>
      <c r="K297" s="2349"/>
      <c r="L297" s="2349"/>
      <c r="M297" s="2349"/>
      <c r="N297" s="2349"/>
      <c r="O297" s="2349"/>
      <c r="P297" s="2349"/>
      <c r="Q297" s="2349"/>
      <c r="R297" s="2349"/>
      <c r="S297" s="2349"/>
      <c r="T297" s="2349"/>
      <c r="U297" s="2349"/>
      <c r="V297" s="2349"/>
      <c r="W297" s="2349"/>
      <c r="X297" s="2349"/>
      <c r="Y297" s="2349"/>
      <c r="Z297" s="2349"/>
      <c r="AA297" s="2349"/>
      <c r="AB297" s="2349"/>
      <c r="AC297" s="2349"/>
      <c r="AD297" s="2350"/>
      <c r="AE297" s="541"/>
      <c r="AF297" s="450"/>
      <c r="AG297" s="450"/>
      <c r="AH297" s="450"/>
      <c r="AI297" s="450"/>
      <c r="AJ297" s="449"/>
      <c r="AK297" s="449"/>
      <c r="AL297" s="449"/>
      <c r="AM297" s="449"/>
      <c r="AN297" s="58"/>
      <c r="AO297" s="13"/>
      <c r="AS297" s="469"/>
      <c r="AT297" s="469"/>
      <c r="AU297" s="469"/>
      <c r="AV297" s="27"/>
      <c r="AW297" s="27"/>
    </row>
    <row r="298" spans="1:49" ht="15" customHeight="1">
      <c r="A298" s="449"/>
      <c r="B298" s="450"/>
      <c r="C298" s="450"/>
      <c r="D298" s="450"/>
      <c r="E298" s="450"/>
      <c r="F298" s="2348"/>
      <c r="G298" s="2349"/>
      <c r="H298" s="2349"/>
      <c r="I298" s="2349"/>
      <c r="J298" s="2349"/>
      <c r="K298" s="2349"/>
      <c r="L298" s="2349"/>
      <c r="M298" s="2349"/>
      <c r="N298" s="2349"/>
      <c r="O298" s="2349"/>
      <c r="P298" s="2349"/>
      <c r="Q298" s="2349"/>
      <c r="R298" s="2349"/>
      <c r="S298" s="2349"/>
      <c r="T298" s="2349"/>
      <c r="U298" s="2349"/>
      <c r="V298" s="2349"/>
      <c r="W298" s="2349"/>
      <c r="X298" s="2349"/>
      <c r="Y298" s="2349"/>
      <c r="Z298" s="2349"/>
      <c r="AA298" s="2349"/>
      <c r="AB298" s="2349"/>
      <c r="AC298" s="2349"/>
      <c r="AD298" s="2350"/>
      <c r="AE298" s="541"/>
      <c r="AF298" s="450"/>
      <c r="AG298" s="450"/>
      <c r="AH298" s="450"/>
      <c r="AI298" s="450"/>
      <c r="AJ298" s="449"/>
      <c r="AK298" s="449"/>
      <c r="AL298" s="449"/>
      <c r="AM298" s="449"/>
      <c r="AN298" s="58"/>
      <c r="AO298" s="13"/>
      <c r="AS298" s="469"/>
      <c r="AT298" s="469"/>
      <c r="AU298" s="469"/>
      <c r="AV298" s="27"/>
      <c r="AW298" s="27"/>
    </row>
    <row r="299" spans="1:49" ht="12.75" customHeight="1">
      <c r="A299" s="449"/>
      <c r="B299" s="450"/>
      <c r="C299" s="450"/>
      <c r="D299" s="450"/>
      <c r="E299" s="450"/>
      <c r="F299" s="2348" t="s">
        <v>2289</v>
      </c>
      <c r="G299" s="2349"/>
      <c r="H299" s="2349"/>
      <c r="I299" s="2349"/>
      <c r="J299" s="2349"/>
      <c r="K299" s="2349"/>
      <c r="L299" s="2349"/>
      <c r="M299" s="2349"/>
      <c r="N299" s="2349"/>
      <c r="O299" s="2349"/>
      <c r="P299" s="2349"/>
      <c r="Q299" s="2349"/>
      <c r="R299" s="2349"/>
      <c r="S299" s="2349"/>
      <c r="T299" s="2349"/>
      <c r="U299" s="2349"/>
      <c r="V299" s="2349"/>
      <c r="W299" s="2349"/>
      <c r="X299" s="2349"/>
      <c r="Y299" s="2349"/>
      <c r="Z299" s="2349"/>
      <c r="AA299" s="2349"/>
      <c r="AB299" s="2349"/>
      <c r="AC299" s="2349"/>
      <c r="AD299" s="2350"/>
      <c r="AE299" s="542"/>
      <c r="AF299" s="450"/>
      <c r="AG299" s="450"/>
      <c r="AH299" s="450"/>
      <c r="AI299" s="450"/>
      <c r="AJ299" s="449"/>
      <c r="AK299" s="449"/>
      <c r="AL299" s="449"/>
      <c r="AM299" s="449"/>
      <c r="AN299" s="58"/>
      <c r="AO299" s="13"/>
      <c r="AP299" s="449"/>
      <c r="AS299" s="469"/>
      <c r="AT299" s="469"/>
      <c r="AU299" s="469"/>
      <c r="AV299" s="27"/>
      <c r="AW299" s="27"/>
    </row>
    <row r="300" spans="1:49">
      <c r="A300" s="449"/>
      <c r="B300" s="450"/>
      <c r="C300" s="450"/>
      <c r="D300" s="450"/>
      <c r="E300" s="450"/>
      <c r="F300" s="2351"/>
      <c r="G300" s="2352"/>
      <c r="H300" s="2352"/>
      <c r="I300" s="2352"/>
      <c r="J300" s="2352"/>
      <c r="K300" s="2352"/>
      <c r="L300" s="2352"/>
      <c r="M300" s="2352"/>
      <c r="N300" s="2352"/>
      <c r="O300" s="2352"/>
      <c r="P300" s="2352"/>
      <c r="Q300" s="2352"/>
      <c r="R300" s="2352"/>
      <c r="S300" s="2352"/>
      <c r="T300" s="2352"/>
      <c r="U300" s="2352"/>
      <c r="V300" s="2352"/>
      <c r="W300" s="2352"/>
      <c r="X300" s="2352"/>
      <c r="Y300" s="2352"/>
      <c r="Z300" s="2352"/>
      <c r="AA300" s="2352"/>
      <c r="AB300" s="2352"/>
      <c r="AC300" s="2352"/>
      <c r="AD300" s="2487"/>
      <c r="AE300" s="542"/>
      <c r="AF300" s="450"/>
      <c r="AG300" s="450"/>
      <c r="AH300" s="450"/>
      <c r="AI300" s="450"/>
      <c r="AJ300" s="449"/>
      <c r="AK300" s="449"/>
      <c r="AL300" s="449"/>
      <c r="AM300" s="449"/>
      <c r="AN300" s="58"/>
      <c r="AO300" s="13"/>
      <c r="AP300" s="449"/>
      <c r="AS300" s="469"/>
      <c r="AT300" s="469"/>
      <c r="AU300" s="469"/>
      <c r="AV300" s="27"/>
      <c r="AW300" s="27"/>
    </row>
    <row r="301" spans="1:49">
      <c r="A301" s="449"/>
      <c r="B301" s="450"/>
      <c r="C301" s="450"/>
      <c r="D301" s="450"/>
      <c r="E301" s="450"/>
      <c r="F301" s="542"/>
      <c r="G301" s="542"/>
      <c r="H301" s="542"/>
      <c r="I301" s="542"/>
      <c r="J301" s="542"/>
      <c r="K301" s="542"/>
      <c r="L301" s="542"/>
      <c r="M301" s="542"/>
      <c r="N301" s="542"/>
      <c r="O301" s="542"/>
      <c r="P301" s="542"/>
      <c r="Q301" s="542"/>
      <c r="R301" s="542"/>
      <c r="S301" s="542"/>
      <c r="T301" s="542"/>
      <c r="U301" s="542"/>
      <c r="V301" s="542"/>
      <c r="W301" s="542"/>
      <c r="X301" s="542"/>
      <c r="Y301" s="542"/>
      <c r="Z301" s="542"/>
      <c r="AA301" s="542"/>
      <c r="AB301" s="542"/>
      <c r="AC301" s="542"/>
      <c r="AD301" s="542"/>
      <c r="AE301" s="450"/>
      <c r="AF301" s="450"/>
      <c r="AG301" s="450"/>
      <c r="AH301" s="450"/>
      <c r="AI301" s="450"/>
      <c r="AJ301" s="449"/>
      <c r="AK301" s="449"/>
      <c r="AL301" s="449"/>
      <c r="AM301" s="449"/>
      <c r="AN301" s="58"/>
      <c r="AO301" s="13"/>
      <c r="AS301" s="469"/>
      <c r="AT301" s="469"/>
      <c r="AU301" s="469"/>
      <c r="AV301" s="27"/>
      <c r="AW301" s="27"/>
    </row>
    <row r="302" spans="1:49" ht="15" customHeight="1">
      <c r="A302" s="1575" t="s">
        <v>2290</v>
      </c>
      <c r="B302" s="1575"/>
      <c r="C302" s="2370" t="s">
        <v>842</v>
      </c>
      <c r="D302" s="2370"/>
      <c r="E302" s="446"/>
      <c r="F302" s="543" t="s">
        <v>2291</v>
      </c>
      <c r="G302" s="544"/>
      <c r="H302" s="544"/>
      <c r="I302" s="544"/>
      <c r="J302" s="544"/>
      <c r="K302" s="544"/>
      <c r="L302" s="544"/>
      <c r="M302" s="544"/>
      <c r="N302" s="544"/>
      <c r="O302" s="544"/>
      <c r="P302" s="544"/>
      <c r="Q302" s="544"/>
      <c r="R302" s="544"/>
      <c r="S302" s="544"/>
      <c r="T302" s="544"/>
      <c r="U302" s="544"/>
      <c r="V302" s="544"/>
      <c r="W302" s="544"/>
      <c r="X302" s="544"/>
      <c r="Y302" s="544"/>
      <c r="Z302" s="544"/>
      <c r="AA302" s="544"/>
      <c r="AB302" s="544"/>
      <c r="AC302" s="544"/>
      <c r="AD302" s="545"/>
      <c r="AE302" s="450"/>
      <c r="AF302" s="450"/>
      <c r="AG302" s="438" t="s">
        <v>2292</v>
      </c>
      <c r="AH302" s="450"/>
      <c r="AI302" s="450"/>
      <c r="AJ302" s="449"/>
      <c r="AK302" s="449"/>
      <c r="AL302" s="449"/>
      <c r="AM302" s="449"/>
      <c r="AN302" s="546"/>
      <c r="AO302" s="13"/>
    </row>
    <row r="303" spans="1:49">
      <c r="A303" s="449"/>
      <c r="B303" s="450"/>
      <c r="C303" s="449"/>
      <c r="D303" s="450"/>
      <c r="E303" s="449"/>
      <c r="F303" s="2472" t="s">
        <v>2293</v>
      </c>
      <c r="G303" s="2473"/>
      <c r="H303" s="2473"/>
      <c r="I303" s="2473"/>
      <c r="J303" s="2473"/>
      <c r="K303" s="2473"/>
      <c r="L303" s="2473"/>
      <c r="M303" s="2473"/>
      <c r="N303" s="2473"/>
      <c r="O303" s="2473"/>
      <c r="P303" s="2473"/>
      <c r="Q303" s="2473"/>
      <c r="R303" s="2473"/>
      <c r="S303" s="2473"/>
      <c r="T303" s="2473"/>
      <c r="U303" s="2473"/>
      <c r="V303" s="2473"/>
      <c r="W303" s="2473"/>
      <c r="X303" s="2473"/>
      <c r="Y303" s="2473"/>
      <c r="Z303" s="2473"/>
      <c r="AA303" s="2473"/>
      <c r="AB303" s="2473"/>
      <c r="AC303" s="2473"/>
      <c r="AD303" s="2474"/>
      <c r="AE303" s="450"/>
      <c r="AF303" s="450"/>
      <c r="AG303" s="450"/>
      <c r="AH303" s="450"/>
      <c r="AI303" s="450"/>
      <c r="AJ303" s="449"/>
      <c r="AK303" s="449"/>
      <c r="AL303" s="449"/>
      <c r="AM303" s="449"/>
      <c r="AR303" s="547"/>
    </row>
    <row r="304" spans="1:49" ht="15" customHeight="1">
      <c r="A304" s="449"/>
      <c r="B304" s="450"/>
      <c r="C304" s="449"/>
      <c r="D304" s="450"/>
      <c r="E304" s="449"/>
      <c r="F304" s="2472"/>
      <c r="G304" s="2473"/>
      <c r="H304" s="2473"/>
      <c r="I304" s="2473"/>
      <c r="J304" s="2473"/>
      <c r="K304" s="2473"/>
      <c r="L304" s="2473"/>
      <c r="M304" s="2473"/>
      <c r="N304" s="2473"/>
      <c r="O304" s="2473"/>
      <c r="P304" s="2473"/>
      <c r="Q304" s="2473"/>
      <c r="R304" s="2473"/>
      <c r="S304" s="2473"/>
      <c r="T304" s="2473"/>
      <c r="U304" s="2473"/>
      <c r="V304" s="2473"/>
      <c r="W304" s="2473"/>
      <c r="X304" s="2473"/>
      <c r="Y304" s="2473"/>
      <c r="Z304" s="2473"/>
      <c r="AA304" s="2473"/>
      <c r="AB304" s="2473"/>
      <c r="AC304" s="2473"/>
      <c r="AD304" s="2474"/>
      <c r="AE304" s="450"/>
      <c r="AF304" s="450"/>
      <c r="AG304" s="450"/>
      <c r="AH304" s="450"/>
      <c r="AI304" s="450"/>
      <c r="AJ304" s="449"/>
      <c r="AK304" s="449"/>
      <c r="AL304" s="449"/>
      <c r="AM304" s="449"/>
      <c r="AR304" s="547"/>
    </row>
    <row r="305" spans="1:44">
      <c r="A305" s="449"/>
      <c r="B305" s="450"/>
      <c r="C305" s="449"/>
      <c r="D305" s="450"/>
      <c r="E305" s="449"/>
      <c r="F305" s="2472"/>
      <c r="G305" s="2473"/>
      <c r="H305" s="2473"/>
      <c r="I305" s="2473"/>
      <c r="J305" s="2473"/>
      <c r="K305" s="2473"/>
      <c r="L305" s="2473"/>
      <c r="M305" s="2473"/>
      <c r="N305" s="2473"/>
      <c r="O305" s="2473"/>
      <c r="P305" s="2473"/>
      <c r="Q305" s="2473"/>
      <c r="R305" s="2473"/>
      <c r="S305" s="2473"/>
      <c r="T305" s="2473"/>
      <c r="U305" s="2473"/>
      <c r="V305" s="2473"/>
      <c r="W305" s="2473"/>
      <c r="X305" s="2473"/>
      <c r="Y305" s="2473"/>
      <c r="Z305" s="2473"/>
      <c r="AA305" s="2473"/>
      <c r="AB305" s="2473"/>
      <c r="AC305" s="2473"/>
      <c r="AD305" s="2474"/>
      <c r="AE305" s="450"/>
      <c r="AF305" s="450"/>
      <c r="AG305" s="450"/>
      <c r="AH305" s="450"/>
      <c r="AI305" s="450"/>
      <c r="AJ305" s="449"/>
      <c r="AK305" s="449"/>
      <c r="AL305" s="449"/>
      <c r="AM305" s="449"/>
      <c r="AP305" s="510"/>
      <c r="AQ305" s="473"/>
      <c r="AR305" s="547"/>
    </row>
    <row r="306" spans="1:44" ht="15" customHeight="1">
      <c r="A306" s="449"/>
      <c r="B306" s="450"/>
      <c r="C306" s="449"/>
      <c r="D306" s="450"/>
      <c r="E306" s="449"/>
      <c r="F306" s="2494"/>
      <c r="G306" s="2495"/>
      <c r="H306" s="2495"/>
      <c r="I306" s="2495"/>
      <c r="J306" s="2495"/>
      <c r="K306" s="2495"/>
      <c r="L306" s="2495"/>
      <c r="M306" s="2495"/>
      <c r="N306" s="2495"/>
      <c r="O306" s="2495"/>
      <c r="P306" s="2495"/>
      <c r="Q306" s="2495"/>
      <c r="R306" s="2495"/>
      <c r="S306" s="2495"/>
      <c r="T306" s="2495"/>
      <c r="U306" s="2495"/>
      <c r="V306" s="2495"/>
      <c r="W306" s="2495"/>
      <c r="X306" s="2495"/>
      <c r="Y306" s="2495"/>
      <c r="Z306" s="2495"/>
      <c r="AA306" s="2495"/>
      <c r="AB306" s="2495"/>
      <c r="AC306" s="2495"/>
      <c r="AD306" s="2496"/>
      <c r="AE306" s="450"/>
      <c r="AF306" s="450"/>
      <c r="AG306" s="450"/>
      <c r="AH306" s="450"/>
      <c r="AI306" s="450"/>
      <c r="AJ306" s="449"/>
      <c r="AK306" s="449"/>
      <c r="AL306" s="449"/>
      <c r="AM306" s="449"/>
      <c r="AP306" s="510"/>
      <c r="AQ306" s="473"/>
      <c r="AR306" s="547"/>
    </row>
    <row r="307" spans="1:44">
      <c r="A307" s="449"/>
      <c r="B307" s="450"/>
      <c r="C307" s="450"/>
      <c r="D307" s="450"/>
      <c r="E307" s="450"/>
      <c r="F307" s="450"/>
      <c r="G307" s="450"/>
      <c r="H307" s="450"/>
      <c r="I307" s="450"/>
      <c r="J307" s="450"/>
      <c r="K307" s="450"/>
      <c r="L307" s="450"/>
      <c r="M307" s="450"/>
      <c r="N307" s="450"/>
      <c r="O307" s="450"/>
      <c r="P307" s="450"/>
      <c r="Q307" s="450"/>
      <c r="R307" s="450"/>
      <c r="S307" s="450"/>
      <c r="T307" s="450"/>
      <c r="U307" s="450"/>
      <c r="V307" s="450"/>
      <c r="W307" s="450"/>
      <c r="X307" s="450"/>
      <c r="Y307" s="450"/>
      <c r="Z307" s="450"/>
      <c r="AA307" s="450"/>
      <c r="AB307" s="450"/>
      <c r="AC307" s="450"/>
      <c r="AD307" s="450"/>
      <c r="AE307" s="450"/>
      <c r="AF307" s="450"/>
      <c r="AG307" s="450"/>
      <c r="AH307" s="450"/>
      <c r="AI307" s="450"/>
      <c r="AJ307" s="449"/>
      <c r="AK307" s="449"/>
      <c r="AL307" s="449"/>
      <c r="AM307" s="449"/>
      <c r="AP307" s="510"/>
      <c r="AQ307" s="473"/>
      <c r="AR307" s="547"/>
    </row>
    <row r="308" spans="1:44" hidden="1">
      <c r="A308" s="449"/>
      <c r="B308" s="450"/>
      <c r="C308" s="450"/>
      <c r="D308" s="450"/>
      <c r="E308" s="450"/>
      <c r="F308" s="450"/>
      <c r="G308" s="450"/>
      <c r="H308" s="450"/>
      <c r="I308" s="450"/>
      <c r="J308" s="450"/>
      <c r="K308" s="450"/>
      <c r="L308" s="450"/>
      <c r="M308" s="450"/>
      <c r="N308" s="450"/>
      <c r="O308" s="450"/>
      <c r="P308" s="450"/>
      <c r="Q308" s="450"/>
      <c r="R308" s="450"/>
      <c r="S308" s="450"/>
      <c r="T308" s="450"/>
      <c r="U308" s="450"/>
      <c r="V308" s="450"/>
      <c r="W308" s="450"/>
      <c r="X308" s="450"/>
      <c r="Y308" s="450"/>
      <c r="Z308" s="450"/>
      <c r="AA308" s="450"/>
      <c r="AB308" s="450"/>
      <c r="AC308" s="450"/>
      <c r="AD308" s="450"/>
      <c r="AE308" s="450"/>
      <c r="AF308" s="450"/>
      <c r="AG308" s="450"/>
      <c r="AH308" s="450"/>
      <c r="AI308" s="450"/>
      <c r="AJ308" s="449"/>
      <c r="AK308" s="449"/>
      <c r="AL308" s="449"/>
      <c r="AM308" s="449"/>
      <c r="AP308" s="510"/>
      <c r="AQ308" s="473"/>
      <c r="AR308" s="547"/>
    </row>
    <row r="309" spans="1:44" hidden="1">
      <c r="A309" s="449"/>
      <c r="B309" s="450"/>
      <c r="C309" s="450"/>
      <c r="D309" s="450"/>
      <c r="E309" s="450"/>
      <c r="F309" s="450"/>
      <c r="G309" s="450"/>
      <c r="H309" s="450"/>
      <c r="I309" s="450"/>
      <c r="J309" s="450"/>
      <c r="K309" s="450"/>
      <c r="L309" s="450"/>
      <c r="M309" s="450"/>
      <c r="N309" s="450"/>
      <c r="O309" s="450"/>
      <c r="P309" s="450"/>
      <c r="Q309" s="450"/>
      <c r="R309" s="450"/>
      <c r="S309" s="450"/>
      <c r="T309" s="450"/>
      <c r="U309" s="450"/>
      <c r="V309" s="450"/>
      <c r="W309" s="450"/>
      <c r="X309" s="450"/>
      <c r="Y309" s="450"/>
      <c r="Z309" s="450"/>
      <c r="AA309" s="450"/>
      <c r="AB309" s="450"/>
      <c r="AC309" s="450"/>
      <c r="AD309" s="450"/>
      <c r="AE309" s="450"/>
      <c r="AF309" s="450"/>
      <c r="AG309" s="450"/>
      <c r="AH309" s="450"/>
      <c r="AI309" s="450"/>
      <c r="AJ309" s="449"/>
      <c r="AK309" s="449"/>
      <c r="AL309" s="449"/>
      <c r="AM309" s="449"/>
      <c r="AN309" s="58"/>
      <c r="AO309" s="13"/>
    </row>
    <row r="310" spans="1:44" ht="13" hidden="1">
      <c r="A310" s="1575" t="s">
        <v>2294</v>
      </c>
      <c r="B310" s="1575"/>
      <c r="C310" s="2370" t="s">
        <v>807</v>
      </c>
      <c r="D310" s="2370"/>
      <c r="E310" s="446"/>
      <c r="F310" s="543" t="s">
        <v>2295</v>
      </c>
      <c r="G310" s="548"/>
      <c r="H310" s="548"/>
      <c r="I310" s="548"/>
      <c r="J310" s="548"/>
      <c r="K310" s="548"/>
      <c r="L310" s="548"/>
      <c r="M310" s="548"/>
      <c r="N310" s="548"/>
      <c r="O310" s="548"/>
      <c r="P310" s="548"/>
      <c r="Q310" s="548"/>
      <c r="R310" s="548"/>
      <c r="S310" s="548"/>
      <c r="T310" s="548"/>
      <c r="U310" s="548"/>
      <c r="V310" s="548"/>
      <c r="W310" s="548"/>
      <c r="X310" s="548"/>
      <c r="Y310" s="548"/>
      <c r="Z310" s="548"/>
      <c r="AA310" s="548"/>
      <c r="AB310" s="548"/>
      <c r="AC310" s="548"/>
      <c r="AD310" s="549"/>
      <c r="AE310" s="450"/>
      <c r="AF310" s="450"/>
      <c r="AG310" s="438" t="s">
        <v>2292</v>
      </c>
      <c r="AH310" s="450"/>
      <c r="AI310" s="450"/>
      <c r="AJ310" s="449"/>
      <c r="AK310" s="449"/>
      <c r="AL310" s="449"/>
      <c r="AM310" s="449"/>
      <c r="AN310" s="58"/>
      <c r="AO310" s="13"/>
    </row>
    <row r="311" spans="1:44" ht="13" hidden="1">
      <c r="A311" s="65"/>
      <c r="B311" s="65"/>
      <c r="C311" s="629"/>
      <c r="D311" s="629"/>
      <c r="E311" s="446"/>
      <c r="F311" s="2348" t="s">
        <v>2296</v>
      </c>
      <c r="G311" s="2349"/>
      <c r="H311" s="2349"/>
      <c r="I311" s="2349"/>
      <c r="J311" s="2349"/>
      <c r="K311" s="2349"/>
      <c r="L311" s="2349"/>
      <c r="M311" s="2349"/>
      <c r="N311" s="2349"/>
      <c r="O311" s="2349"/>
      <c r="P311" s="2349"/>
      <c r="Q311" s="2349"/>
      <c r="R311" s="2349"/>
      <c r="S311" s="2349"/>
      <c r="T311" s="2349"/>
      <c r="U311" s="2349"/>
      <c r="V311" s="2349"/>
      <c r="W311" s="2349"/>
      <c r="X311" s="2349"/>
      <c r="Y311" s="2349"/>
      <c r="Z311" s="2349"/>
      <c r="AA311" s="2349"/>
      <c r="AB311" s="2349"/>
      <c r="AC311" s="2349"/>
      <c r="AD311" s="2350"/>
      <c r="AE311" s="450"/>
      <c r="AF311" s="450"/>
      <c r="AG311" s="438"/>
      <c r="AH311" s="450"/>
      <c r="AI311" s="450"/>
      <c r="AJ311" s="449"/>
      <c r="AK311" s="449"/>
      <c r="AL311" s="449"/>
      <c r="AM311" s="449"/>
      <c r="AN311" s="58"/>
      <c r="AO311" s="13"/>
      <c r="AP311" s="456" t="s">
        <v>998</v>
      </c>
    </row>
    <row r="312" spans="1:44" hidden="1">
      <c r="F312" s="2348"/>
      <c r="G312" s="2349"/>
      <c r="H312" s="2349"/>
      <c r="I312" s="2349"/>
      <c r="J312" s="2349"/>
      <c r="K312" s="2349"/>
      <c r="L312" s="2349"/>
      <c r="M312" s="2349"/>
      <c r="N312" s="2349"/>
      <c r="O312" s="2349"/>
      <c r="P312" s="2349"/>
      <c r="Q312" s="2349"/>
      <c r="R312" s="2349"/>
      <c r="S312" s="2349"/>
      <c r="T312" s="2349"/>
      <c r="U312" s="2349"/>
      <c r="V312" s="2349"/>
      <c r="W312" s="2349"/>
      <c r="X312" s="2349"/>
      <c r="Y312" s="2349"/>
      <c r="Z312" s="2349"/>
      <c r="AA312" s="2349"/>
      <c r="AB312" s="2349"/>
      <c r="AC312" s="2349"/>
      <c r="AD312" s="2350"/>
      <c r="AE312" s="450"/>
      <c r="AF312" s="450"/>
      <c r="AH312" s="450"/>
      <c r="AI312" s="450"/>
      <c r="AJ312" s="449"/>
      <c r="AK312" s="449"/>
      <c r="AL312" s="449"/>
      <c r="AM312" s="449"/>
      <c r="AN312" s="58"/>
      <c r="AO312" s="13"/>
      <c r="AP312" s="456" t="s">
        <v>2297</v>
      </c>
    </row>
    <row r="313" spans="1:44" ht="13" hidden="1">
      <c r="A313" s="449"/>
      <c r="B313" s="450"/>
      <c r="C313" s="629"/>
      <c r="D313" s="629"/>
      <c r="E313" s="446"/>
      <c r="F313" s="551" t="s">
        <v>2298</v>
      </c>
      <c r="G313" s="562"/>
      <c r="H313" s="562"/>
      <c r="I313" s="562"/>
      <c r="J313" s="562"/>
      <c r="K313" s="562"/>
      <c r="L313" s="562"/>
      <c r="M313" s="562"/>
      <c r="N313" s="562"/>
      <c r="O313" s="562"/>
      <c r="P313" s="562"/>
      <c r="Q313" s="562"/>
      <c r="R313" s="562"/>
      <c r="S313" s="562"/>
      <c r="T313" s="562"/>
      <c r="U313" s="562"/>
      <c r="V313" s="562"/>
      <c r="W313" s="562"/>
      <c r="X313" s="562"/>
      <c r="Y313" s="562"/>
      <c r="Z313" s="562"/>
      <c r="AA313" s="562"/>
      <c r="AB313" s="562"/>
      <c r="AC313" s="562"/>
      <c r="AD313" s="911"/>
      <c r="AE313" s="450"/>
      <c r="AF313" s="450"/>
      <c r="AG313" s="438"/>
      <c r="AH313" s="450"/>
      <c r="AI313" s="450"/>
      <c r="AJ313" s="449"/>
      <c r="AK313" s="449"/>
      <c r="AL313" s="449"/>
      <c r="AM313" s="449"/>
      <c r="AN313" s="58"/>
      <c r="AO313" s="13"/>
      <c r="AP313" s="456" t="s">
        <v>2299</v>
      </c>
    </row>
    <row r="314" spans="1:44" ht="13" hidden="1">
      <c r="A314" s="449"/>
      <c r="B314" s="450"/>
      <c r="C314" s="629"/>
      <c r="D314" s="629"/>
      <c r="E314" s="446"/>
      <c r="F314" s="551"/>
      <c r="G314" s="562"/>
      <c r="H314" s="562"/>
      <c r="I314" s="562"/>
      <c r="J314" s="562"/>
      <c r="K314" s="562"/>
      <c r="L314" s="562"/>
      <c r="M314" s="562"/>
      <c r="N314" s="562"/>
      <c r="O314" s="562"/>
      <c r="P314" s="562"/>
      <c r="Q314" s="562"/>
      <c r="R314" s="562"/>
      <c r="S314" s="562"/>
      <c r="T314" s="562"/>
      <c r="U314" s="562"/>
      <c r="V314" s="562"/>
      <c r="W314" s="562"/>
      <c r="X314" s="562"/>
      <c r="Y314" s="562"/>
      <c r="Z314" s="562"/>
      <c r="AA314" s="562"/>
      <c r="AB314" s="562"/>
      <c r="AC314" s="562"/>
      <c r="AD314" s="911"/>
      <c r="AE314" s="450"/>
      <c r="AF314" s="450"/>
      <c r="AG314" s="438"/>
      <c r="AH314" s="450"/>
      <c r="AI314" s="450"/>
      <c r="AJ314" s="449"/>
      <c r="AK314" s="449"/>
      <c r="AL314" s="449"/>
      <c r="AM314" s="449"/>
      <c r="AN314" s="58"/>
      <c r="AO314" s="13"/>
      <c r="AP314" s="456" t="s">
        <v>2300</v>
      </c>
    </row>
    <row r="315" spans="1:44" ht="12.75" hidden="1" customHeight="1">
      <c r="A315" s="449"/>
      <c r="B315" s="450"/>
      <c r="C315" s="629"/>
      <c r="D315" s="629"/>
      <c r="E315" s="446"/>
      <c r="F315" s="551"/>
      <c r="G315" s="541"/>
      <c r="H315" s="541"/>
      <c r="I315" s="541"/>
      <c r="J315" s="541"/>
      <c r="K315" s="541"/>
      <c r="L315" s="541"/>
      <c r="M315" s="541"/>
      <c r="N315" s="541"/>
      <c r="O315" s="541"/>
      <c r="P315" s="541"/>
      <c r="Q315" s="541"/>
      <c r="R315" s="541"/>
      <c r="S315" s="541"/>
      <c r="T315" s="541"/>
      <c r="U315" s="541"/>
      <c r="V315" s="541"/>
      <c r="W315" s="541"/>
      <c r="X315" s="541"/>
      <c r="Y315" s="541"/>
      <c r="Z315" s="541"/>
      <c r="AA315" s="541"/>
      <c r="AB315" s="541"/>
      <c r="AC315" s="541"/>
      <c r="AD315" s="552"/>
      <c r="AE315" s="450"/>
      <c r="AF315" s="450"/>
      <c r="AG315" s="438"/>
      <c r="AH315" s="450"/>
      <c r="AI315" s="450"/>
      <c r="AJ315" s="449"/>
      <c r="AK315" s="449"/>
      <c r="AL315" s="449"/>
      <c r="AM315" s="449"/>
      <c r="AN315" s="58"/>
      <c r="AO315" s="13"/>
      <c r="AP315" s="25"/>
    </row>
    <row r="316" spans="1:44" ht="12.75" hidden="1" customHeight="1">
      <c r="A316" s="449"/>
      <c r="B316" s="450"/>
      <c r="C316" s="629"/>
      <c r="D316" s="629"/>
      <c r="E316" s="446"/>
      <c r="F316" s="2475" t="s">
        <v>998</v>
      </c>
      <c r="G316" s="2476"/>
      <c r="H316" s="2476"/>
      <c r="I316" s="2476"/>
      <c r="J316" s="2476"/>
      <c r="K316" s="2476"/>
      <c r="L316" s="2476"/>
      <c r="M316" s="2476"/>
      <c r="N316" s="2476"/>
      <c r="O316" s="2476"/>
      <c r="P316" s="2476"/>
      <c r="Q316" s="2476"/>
      <c r="R316" s="2476"/>
      <c r="S316" s="2476"/>
      <c r="T316" s="2476"/>
      <c r="U316" s="2476"/>
      <c r="V316" s="2476"/>
      <c r="W316" s="2476"/>
      <c r="X316" s="2476"/>
      <c r="Y316" s="2476"/>
      <c r="Z316" s="2476"/>
      <c r="AA316" s="2476"/>
      <c r="AB316" s="2476"/>
      <c r="AC316" s="2476"/>
      <c r="AD316" s="2477"/>
      <c r="AE316" s="541"/>
      <c r="AF316" s="541"/>
      <c r="AG316" s="541"/>
      <c r="AH316" s="541"/>
      <c r="AI316" s="541"/>
      <c r="AJ316" s="541"/>
      <c r="AK316" s="541"/>
      <c r="AL316" s="449"/>
      <c r="AM316" s="449"/>
      <c r="AN316" s="58"/>
      <c r="AO316" s="13"/>
      <c r="AP316" s="25"/>
    </row>
    <row r="317" spans="1:44" ht="13" hidden="1">
      <c r="A317" s="449"/>
      <c r="B317" s="450"/>
      <c r="C317" s="629"/>
      <c r="D317" s="629"/>
      <c r="E317" s="446"/>
      <c r="F317" s="2475"/>
      <c r="G317" s="2476"/>
      <c r="H317" s="2476"/>
      <c r="I317" s="2476"/>
      <c r="J317" s="2476"/>
      <c r="K317" s="2476"/>
      <c r="L317" s="2476"/>
      <c r="M317" s="2476"/>
      <c r="N317" s="2476"/>
      <c r="O317" s="2476"/>
      <c r="P317" s="2476"/>
      <c r="Q317" s="2476"/>
      <c r="R317" s="2476"/>
      <c r="S317" s="2476"/>
      <c r="T317" s="2476"/>
      <c r="U317" s="2476"/>
      <c r="V317" s="2476"/>
      <c r="W317" s="2476"/>
      <c r="X317" s="2476"/>
      <c r="Y317" s="2476"/>
      <c r="Z317" s="2476"/>
      <c r="AA317" s="2476"/>
      <c r="AB317" s="2476"/>
      <c r="AC317" s="2476"/>
      <c r="AD317" s="2477"/>
      <c r="AE317" s="450"/>
      <c r="AF317" s="450"/>
      <c r="AG317" s="438"/>
      <c r="AH317" s="450"/>
      <c r="AI317" s="450"/>
      <c r="AJ317" s="449"/>
      <c r="AK317" s="449"/>
      <c r="AL317" s="449"/>
      <c r="AM317" s="449"/>
      <c r="AN317" s="58"/>
      <c r="AO317" s="13"/>
      <c r="AP317" s="25"/>
    </row>
    <row r="318" spans="1:44" ht="13" hidden="1">
      <c r="A318" s="449"/>
      <c r="B318" s="450"/>
      <c r="C318" s="629"/>
      <c r="D318" s="629"/>
      <c r="E318" s="446"/>
      <c r="F318" s="2475"/>
      <c r="G318" s="2476"/>
      <c r="H318" s="2476"/>
      <c r="I318" s="2476"/>
      <c r="J318" s="2476"/>
      <c r="K318" s="2476"/>
      <c r="L318" s="2476"/>
      <c r="M318" s="2476"/>
      <c r="N318" s="2476"/>
      <c r="O318" s="2476"/>
      <c r="P318" s="2476"/>
      <c r="Q318" s="2476"/>
      <c r="R318" s="2476"/>
      <c r="S318" s="2476"/>
      <c r="T318" s="2476"/>
      <c r="U318" s="2476"/>
      <c r="V318" s="2476"/>
      <c r="W318" s="2476"/>
      <c r="X318" s="2476"/>
      <c r="Y318" s="2476"/>
      <c r="Z318" s="2476"/>
      <c r="AA318" s="2476"/>
      <c r="AB318" s="2476"/>
      <c r="AC318" s="2476"/>
      <c r="AD318" s="2477"/>
      <c r="AE318" s="450"/>
      <c r="AF318" s="450"/>
      <c r="AG318" s="438"/>
      <c r="AH318" s="450"/>
      <c r="AI318" s="450"/>
      <c r="AJ318" s="449"/>
      <c r="AK318" s="449"/>
      <c r="AL318" s="449"/>
      <c r="AM318" s="449"/>
      <c r="AN318" s="58"/>
      <c r="AO318" s="13"/>
      <c r="AP318" s="25"/>
    </row>
    <row r="319" spans="1:44" ht="13" hidden="1">
      <c r="A319" s="449"/>
      <c r="B319" s="450"/>
      <c r="C319" s="629"/>
      <c r="D319" s="629"/>
      <c r="E319" s="446"/>
      <c r="F319" s="2475"/>
      <c r="G319" s="2476"/>
      <c r="H319" s="2476"/>
      <c r="I319" s="2476"/>
      <c r="J319" s="2476"/>
      <c r="K319" s="2476"/>
      <c r="L319" s="2476"/>
      <c r="M319" s="2476"/>
      <c r="N319" s="2476"/>
      <c r="O319" s="2476"/>
      <c r="P319" s="2476"/>
      <c r="Q319" s="2476"/>
      <c r="R319" s="2476"/>
      <c r="S319" s="2476"/>
      <c r="T319" s="2476"/>
      <c r="U319" s="2476"/>
      <c r="V319" s="2476"/>
      <c r="W319" s="2476"/>
      <c r="X319" s="2476"/>
      <c r="Y319" s="2476"/>
      <c r="Z319" s="2476"/>
      <c r="AA319" s="2476"/>
      <c r="AB319" s="2476"/>
      <c r="AC319" s="2476"/>
      <c r="AD319" s="2477"/>
      <c r="AE319" s="450"/>
      <c r="AF319" s="450"/>
      <c r="AG319" s="438"/>
      <c r="AH319" s="450"/>
      <c r="AI319" s="450"/>
      <c r="AJ319" s="449"/>
      <c r="AK319" s="449"/>
      <c r="AL319" s="449"/>
      <c r="AM319" s="449"/>
      <c r="AN319" s="58"/>
      <c r="AO319" s="13"/>
      <c r="AP319" s="25"/>
    </row>
    <row r="320" spans="1:44" ht="13" hidden="1">
      <c r="A320" s="449"/>
      <c r="B320" s="450"/>
      <c r="C320" s="629"/>
      <c r="D320" s="629"/>
      <c r="E320" s="446"/>
      <c r="F320" s="2478"/>
      <c r="G320" s="2479"/>
      <c r="H320" s="2479"/>
      <c r="I320" s="2479"/>
      <c r="J320" s="2479"/>
      <c r="K320" s="2479"/>
      <c r="L320" s="2479"/>
      <c r="M320" s="2479"/>
      <c r="N320" s="2479"/>
      <c r="O320" s="2479"/>
      <c r="P320" s="2479"/>
      <c r="Q320" s="2479"/>
      <c r="R320" s="2479"/>
      <c r="S320" s="2479"/>
      <c r="T320" s="2479"/>
      <c r="U320" s="2479"/>
      <c r="V320" s="2479"/>
      <c r="W320" s="2479"/>
      <c r="X320" s="2479"/>
      <c r="Y320" s="2479"/>
      <c r="Z320" s="2479"/>
      <c r="AA320" s="2479"/>
      <c r="AB320" s="2479"/>
      <c r="AC320" s="2479"/>
      <c r="AD320" s="2480"/>
      <c r="AE320" s="450"/>
      <c r="AF320" s="450"/>
      <c r="AG320" s="438"/>
      <c r="AH320" s="450"/>
      <c r="AI320" s="450"/>
      <c r="AJ320" s="449"/>
      <c r="AK320" s="449"/>
      <c r="AL320" s="449"/>
      <c r="AM320" s="449"/>
      <c r="AN320" s="58"/>
      <c r="AO320" s="13"/>
      <c r="AP320" s="25"/>
    </row>
    <row r="321" spans="1:42" ht="13" hidden="1">
      <c r="A321" s="449"/>
      <c r="B321" s="450"/>
      <c r="C321" s="629"/>
      <c r="D321" s="629"/>
      <c r="E321" s="446"/>
      <c r="F321" s="868"/>
      <c r="G321" s="541"/>
      <c r="H321" s="541"/>
      <c r="I321" s="541"/>
      <c r="J321" s="541"/>
      <c r="K321" s="541"/>
      <c r="L321" s="541"/>
      <c r="M321" s="541"/>
      <c r="N321" s="541"/>
      <c r="O321" s="541"/>
      <c r="P321" s="541"/>
      <c r="Q321" s="541"/>
      <c r="R321" s="541"/>
      <c r="S321" s="541"/>
      <c r="T321" s="541"/>
      <c r="U321" s="541"/>
      <c r="V321" s="541"/>
      <c r="W321" s="541"/>
      <c r="X321" s="541"/>
      <c r="Y321" s="541"/>
      <c r="Z321" s="541"/>
      <c r="AA321" s="541"/>
      <c r="AB321" s="541"/>
      <c r="AC321" s="541"/>
      <c r="AD321" s="552"/>
      <c r="AE321" s="450"/>
      <c r="AF321" s="450"/>
      <c r="AG321" s="438"/>
      <c r="AH321" s="450"/>
      <c r="AI321" s="450"/>
      <c r="AJ321" s="449"/>
      <c r="AK321" s="449"/>
      <c r="AL321" s="449"/>
      <c r="AM321" s="449"/>
      <c r="AN321" s="58"/>
      <c r="AO321" s="13"/>
      <c r="AP321" s="25"/>
    </row>
    <row r="322" spans="1:42" ht="13" hidden="1">
      <c r="A322" s="449"/>
      <c r="B322" s="450"/>
      <c r="C322" s="629"/>
      <c r="D322" s="629"/>
      <c r="E322" s="446"/>
      <c r="F322" s="553" t="s">
        <v>2301</v>
      </c>
      <c r="G322" s="450"/>
      <c r="H322" s="450"/>
      <c r="I322" s="450"/>
      <c r="J322" s="450"/>
      <c r="K322" s="450"/>
      <c r="L322" s="450"/>
      <c r="M322" s="450"/>
      <c r="N322" s="450"/>
      <c r="O322" s="450"/>
      <c r="P322" s="450"/>
      <c r="Q322" s="450"/>
      <c r="R322" s="450"/>
      <c r="S322" s="450"/>
      <c r="T322" s="450"/>
      <c r="U322" s="450"/>
      <c r="V322" s="450"/>
      <c r="W322" s="450"/>
      <c r="X322" s="450"/>
      <c r="Y322" s="450"/>
      <c r="Z322" s="450"/>
      <c r="AA322" s="450"/>
      <c r="AB322" s="450"/>
      <c r="AC322" s="450"/>
      <c r="AD322" s="554"/>
      <c r="AE322" s="450"/>
      <c r="AF322" s="450"/>
      <c r="AG322" s="438"/>
      <c r="AH322" s="450"/>
      <c r="AI322" s="450"/>
      <c r="AJ322" s="449"/>
      <c r="AK322" s="449"/>
      <c r="AL322" s="449"/>
      <c r="AM322" s="449"/>
      <c r="AN322" s="58"/>
      <c r="AO322" s="13"/>
      <c r="AP322" s="25"/>
    </row>
    <row r="323" spans="1:42" ht="13" hidden="1">
      <c r="A323" s="449"/>
      <c r="B323" s="450"/>
      <c r="C323" s="629"/>
      <c r="D323" s="629"/>
      <c r="E323" s="446"/>
      <c r="F323" s="553"/>
      <c r="G323" s="450"/>
      <c r="H323" s="450"/>
      <c r="I323" s="450"/>
      <c r="J323" s="450"/>
      <c r="K323" s="450"/>
      <c r="L323" s="450"/>
      <c r="M323" s="450"/>
      <c r="N323" s="450"/>
      <c r="O323" s="450"/>
      <c r="P323" s="450"/>
      <c r="Q323" s="450"/>
      <c r="R323" s="450"/>
      <c r="S323" s="450"/>
      <c r="T323" s="450"/>
      <c r="U323" s="450"/>
      <c r="V323" s="450"/>
      <c r="W323" s="450"/>
      <c r="X323" s="450"/>
      <c r="Y323" s="450"/>
      <c r="Z323" s="450"/>
      <c r="AA323" s="450"/>
      <c r="AB323" s="450"/>
      <c r="AC323" s="450"/>
      <c r="AD323" s="554"/>
      <c r="AE323" s="450"/>
      <c r="AF323" s="450"/>
      <c r="AG323" s="438"/>
      <c r="AH323" s="450"/>
      <c r="AI323" s="450"/>
      <c r="AJ323" s="449"/>
      <c r="AK323" s="449"/>
      <c r="AL323" s="449"/>
      <c r="AM323" s="449"/>
      <c r="AN323" s="58"/>
      <c r="AO323" s="13"/>
      <c r="AP323" s="456" t="s">
        <v>998</v>
      </c>
    </row>
    <row r="324" spans="1:42" ht="12.75" hidden="1" customHeight="1">
      <c r="A324" s="449"/>
      <c r="B324" s="450"/>
      <c r="C324" s="629"/>
      <c r="D324" s="629"/>
      <c r="E324" s="446"/>
      <c r="F324" s="555"/>
      <c r="G324" s="474" t="s">
        <v>22</v>
      </c>
      <c r="H324" s="474"/>
      <c r="I324" s="2481" t="s">
        <v>998</v>
      </c>
      <c r="J324" s="2481"/>
      <c r="K324" s="2481"/>
      <c r="L324" s="2481"/>
      <c r="M324" s="2481"/>
      <c r="N324" s="2481"/>
      <c r="O324" s="2481"/>
      <c r="P324" s="2481"/>
      <c r="Q324" s="2481"/>
      <c r="R324" s="2481"/>
      <c r="S324" s="2481"/>
      <c r="T324" s="2481"/>
      <c r="U324" s="2481"/>
      <c r="V324" s="2481"/>
      <c r="W324" s="2481"/>
      <c r="X324" s="2481"/>
      <c r="Y324" s="2481"/>
      <c r="Z324" s="2481"/>
      <c r="AA324" s="2481"/>
      <c r="AB324" s="2481"/>
      <c r="AC324" s="2481"/>
      <c r="AD324" s="2482"/>
      <c r="AE324" s="450"/>
      <c r="AF324" s="450"/>
      <c r="AG324" s="438"/>
      <c r="AH324" s="450"/>
      <c r="AI324" s="450"/>
      <c r="AJ324" s="449"/>
      <c r="AK324" s="449"/>
      <c r="AL324" s="449"/>
      <c r="AM324" s="449"/>
      <c r="AN324" s="58"/>
      <c r="AO324" s="13"/>
      <c r="AP324" s="456" t="s">
        <v>2302</v>
      </c>
    </row>
    <row r="325" spans="1:42" ht="13" hidden="1">
      <c r="A325" s="449"/>
      <c r="B325" s="450"/>
      <c r="C325" s="629"/>
      <c r="D325" s="629"/>
      <c r="E325" s="446"/>
      <c r="F325" s="555"/>
      <c r="G325" s="474"/>
      <c r="H325" s="474"/>
      <c r="I325" s="2481"/>
      <c r="J325" s="2481"/>
      <c r="K325" s="2481"/>
      <c r="L325" s="2481"/>
      <c r="M325" s="2481"/>
      <c r="N325" s="2481"/>
      <c r="O325" s="2481"/>
      <c r="P325" s="2481"/>
      <c r="Q325" s="2481"/>
      <c r="R325" s="2481"/>
      <c r="S325" s="2481"/>
      <c r="T325" s="2481"/>
      <c r="U325" s="2481"/>
      <c r="V325" s="2481"/>
      <c r="W325" s="2481"/>
      <c r="X325" s="2481"/>
      <c r="Y325" s="2481"/>
      <c r="Z325" s="2481"/>
      <c r="AA325" s="2481"/>
      <c r="AB325" s="2481"/>
      <c r="AC325" s="2481"/>
      <c r="AD325" s="2482"/>
      <c r="AE325" s="450"/>
      <c r="AF325" s="450"/>
      <c r="AG325" s="438"/>
      <c r="AH325" s="450"/>
      <c r="AI325" s="450"/>
      <c r="AJ325" s="449"/>
      <c r="AK325" s="449"/>
      <c r="AL325" s="449"/>
      <c r="AM325" s="449"/>
      <c r="AN325" s="58"/>
      <c r="AO325" s="13"/>
      <c r="AP325" s="456" t="s">
        <v>2303</v>
      </c>
    </row>
    <row r="326" spans="1:42" ht="13" hidden="1">
      <c r="A326" s="449"/>
      <c r="B326" s="450"/>
      <c r="C326" s="550"/>
      <c r="D326" s="550"/>
      <c r="E326" s="446"/>
      <c r="F326" s="555"/>
      <c r="G326" s="474"/>
      <c r="H326" s="474"/>
      <c r="I326" s="2481"/>
      <c r="J326" s="2481"/>
      <c r="K326" s="2481"/>
      <c r="L326" s="2481"/>
      <c r="M326" s="2481"/>
      <c r="N326" s="2481"/>
      <c r="O326" s="2481"/>
      <c r="P326" s="2481"/>
      <c r="Q326" s="2481"/>
      <c r="R326" s="2481"/>
      <c r="S326" s="2481"/>
      <c r="T326" s="2481"/>
      <c r="U326" s="2481"/>
      <c r="V326" s="2481"/>
      <c r="W326" s="2481"/>
      <c r="X326" s="2481"/>
      <c r="Y326" s="2481"/>
      <c r="Z326" s="2481"/>
      <c r="AA326" s="2481"/>
      <c r="AB326" s="2481"/>
      <c r="AC326" s="2481"/>
      <c r="AD326" s="2482"/>
      <c r="AE326" s="450"/>
      <c r="AF326" s="450"/>
      <c r="AG326" s="438"/>
      <c r="AH326" s="450"/>
      <c r="AI326" s="450"/>
      <c r="AJ326" s="449"/>
      <c r="AK326" s="449"/>
      <c r="AL326" s="449"/>
      <c r="AM326" s="449"/>
      <c r="AN326" s="58"/>
      <c r="AO326" s="13"/>
      <c r="AP326" s="456" t="s">
        <v>2304</v>
      </c>
    </row>
    <row r="327" spans="1:42" ht="13" hidden="1">
      <c r="A327" s="449"/>
      <c r="B327" s="450"/>
      <c r="C327" s="550"/>
      <c r="D327" s="550"/>
      <c r="E327" s="446"/>
      <c r="F327" s="553"/>
      <c r="G327" s="450"/>
      <c r="H327" s="450"/>
      <c r="I327" s="2483"/>
      <c r="J327" s="2483"/>
      <c r="K327" s="2483"/>
      <c r="L327" s="2483"/>
      <c r="M327" s="2483"/>
      <c r="N327" s="2483"/>
      <c r="O327" s="2483"/>
      <c r="P327" s="2483"/>
      <c r="Q327" s="2483"/>
      <c r="R327" s="2483"/>
      <c r="S327" s="2483"/>
      <c r="T327" s="2483"/>
      <c r="U327" s="2483"/>
      <c r="V327" s="2483"/>
      <c r="W327" s="2483"/>
      <c r="X327" s="2483"/>
      <c r="Y327" s="2483"/>
      <c r="Z327" s="2483"/>
      <c r="AA327" s="2483"/>
      <c r="AB327" s="2483"/>
      <c r="AC327" s="2483"/>
      <c r="AD327" s="2484"/>
      <c r="AE327" s="450"/>
      <c r="AF327" s="450"/>
      <c r="AG327" s="438"/>
      <c r="AH327" s="450"/>
      <c r="AI327" s="450"/>
      <c r="AJ327" s="449"/>
      <c r="AK327" s="449"/>
      <c r="AL327" s="449"/>
      <c r="AM327" s="449"/>
      <c r="AN327" s="58"/>
      <c r="AO327" s="13"/>
      <c r="AP327" s="456" t="s">
        <v>2305</v>
      </c>
    </row>
    <row r="328" spans="1:42" ht="13" hidden="1">
      <c r="A328" s="449"/>
      <c r="B328" s="450"/>
      <c r="C328" s="550"/>
      <c r="D328" s="550"/>
      <c r="E328" s="446"/>
      <c r="F328" s="553"/>
      <c r="G328" s="450"/>
      <c r="H328" s="450"/>
      <c r="I328" s="450"/>
      <c r="J328" s="450"/>
      <c r="K328" s="450"/>
      <c r="L328" s="450"/>
      <c r="M328" s="450"/>
      <c r="N328" s="450"/>
      <c r="O328" s="450"/>
      <c r="P328" s="450"/>
      <c r="Q328" s="450"/>
      <c r="R328" s="450"/>
      <c r="S328" s="450"/>
      <c r="T328" s="450"/>
      <c r="U328" s="450"/>
      <c r="V328" s="450"/>
      <c r="W328" s="450"/>
      <c r="X328" s="450"/>
      <c r="Y328" s="450"/>
      <c r="Z328" s="450"/>
      <c r="AA328" s="450"/>
      <c r="AB328" s="450"/>
      <c r="AC328" s="450"/>
      <c r="AD328" s="554"/>
      <c r="AE328" s="450"/>
      <c r="AF328" s="450"/>
      <c r="AG328" s="438"/>
      <c r="AH328" s="450"/>
      <c r="AI328" s="450"/>
      <c r="AJ328" s="449"/>
      <c r="AK328" s="449"/>
      <c r="AL328" s="449"/>
      <c r="AM328" s="449"/>
      <c r="AN328" s="58"/>
      <c r="AO328" s="13"/>
      <c r="AP328" s="25"/>
    </row>
    <row r="329" spans="1:42" ht="13" hidden="1">
      <c r="A329" s="449"/>
      <c r="B329" s="450"/>
      <c r="C329" s="550"/>
      <c r="D329" s="550"/>
      <c r="E329" s="446"/>
      <c r="F329" s="553"/>
      <c r="G329" s="450" t="s">
        <v>27</v>
      </c>
      <c r="H329" s="450"/>
      <c r="I329" s="2481" t="s">
        <v>998</v>
      </c>
      <c r="J329" s="2481"/>
      <c r="K329" s="2481"/>
      <c r="L329" s="2481"/>
      <c r="M329" s="2481"/>
      <c r="N329" s="2481"/>
      <c r="O329" s="2481"/>
      <c r="P329" s="2481"/>
      <c r="Q329" s="2481"/>
      <c r="R329" s="2481"/>
      <c r="S329" s="2481"/>
      <c r="T329" s="2481"/>
      <c r="U329" s="2481"/>
      <c r="V329" s="2481"/>
      <c r="W329" s="2481"/>
      <c r="X329" s="2481"/>
      <c r="Y329" s="2481"/>
      <c r="Z329" s="2481"/>
      <c r="AA329" s="2481"/>
      <c r="AB329" s="2481"/>
      <c r="AC329" s="2481"/>
      <c r="AD329" s="2482"/>
      <c r="AE329" s="450"/>
      <c r="AF329" s="450"/>
      <c r="AG329" s="438"/>
      <c r="AH329" s="450"/>
      <c r="AI329" s="450"/>
      <c r="AJ329" s="449"/>
      <c r="AK329" s="449"/>
      <c r="AL329" s="449"/>
      <c r="AM329" s="449"/>
      <c r="AN329" s="58"/>
      <c r="AO329" s="13"/>
    </row>
    <row r="330" spans="1:42" ht="13" hidden="1">
      <c r="A330" s="449"/>
      <c r="B330" s="450"/>
      <c r="C330" s="550"/>
      <c r="D330" s="550"/>
      <c r="E330" s="446"/>
      <c r="F330" s="553"/>
      <c r="G330" s="450"/>
      <c r="H330" s="450"/>
      <c r="I330" s="2481"/>
      <c r="J330" s="2481"/>
      <c r="K330" s="2481"/>
      <c r="L330" s="2481"/>
      <c r="M330" s="2481"/>
      <c r="N330" s="2481"/>
      <c r="O330" s="2481"/>
      <c r="P330" s="2481"/>
      <c r="Q330" s="2481"/>
      <c r="R330" s="2481"/>
      <c r="S330" s="2481"/>
      <c r="T330" s="2481"/>
      <c r="U330" s="2481"/>
      <c r="V330" s="2481"/>
      <c r="W330" s="2481"/>
      <c r="X330" s="2481"/>
      <c r="Y330" s="2481"/>
      <c r="Z330" s="2481"/>
      <c r="AA330" s="2481"/>
      <c r="AB330" s="2481"/>
      <c r="AC330" s="2481"/>
      <c r="AD330" s="2482"/>
      <c r="AE330" s="450"/>
      <c r="AF330" s="450"/>
      <c r="AG330" s="438"/>
      <c r="AH330" s="450"/>
      <c r="AI330" s="450"/>
      <c r="AJ330" s="449"/>
      <c r="AK330" s="449"/>
      <c r="AL330" s="449"/>
      <c r="AM330" s="449"/>
      <c r="AN330" s="58"/>
      <c r="AO330" s="13"/>
      <c r="AP330" s="456" t="s">
        <v>998</v>
      </c>
    </row>
    <row r="331" spans="1:42" ht="13" hidden="1">
      <c r="A331" s="449"/>
      <c r="B331" s="450"/>
      <c r="C331" s="550"/>
      <c r="D331" s="550"/>
      <c r="E331" s="446"/>
      <c r="F331" s="556"/>
      <c r="G331" s="557"/>
      <c r="H331" s="557"/>
      <c r="I331" s="2483"/>
      <c r="J331" s="2483"/>
      <c r="K331" s="2483"/>
      <c r="L331" s="2483"/>
      <c r="M331" s="2483"/>
      <c r="N331" s="2483"/>
      <c r="O331" s="2483"/>
      <c r="P331" s="2483"/>
      <c r="Q331" s="2483"/>
      <c r="R331" s="2483"/>
      <c r="S331" s="2483"/>
      <c r="T331" s="2483"/>
      <c r="U331" s="2483"/>
      <c r="V331" s="2483"/>
      <c r="W331" s="2483"/>
      <c r="X331" s="2483"/>
      <c r="Y331" s="2483"/>
      <c r="Z331" s="2483"/>
      <c r="AA331" s="2483"/>
      <c r="AB331" s="2483"/>
      <c r="AC331" s="2483"/>
      <c r="AD331" s="2484"/>
      <c r="AE331" s="450"/>
      <c r="AF331" s="450"/>
      <c r="AG331" s="438"/>
      <c r="AH331" s="450"/>
      <c r="AI331" s="450"/>
      <c r="AJ331" s="449"/>
      <c r="AK331" s="449"/>
      <c r="AL331" s="449"/>
      <c r="AM331" s="449"/>
      <c r="AN331" s="58"/>
      <c r="AO331" s="13"/>
      <c r="AP331" s="456" t="s">
        <v>2306</v>
      </c>
    </row>
    <row r="332" spans="1:42" hidden="1">
      <c r="A332" s="449"/>
      <c r="B332" s="450"/>
      <c r="C332" s="449"/>
      <c r="D332" s="450"/>
      <c r="E332" s="449"/>
      <c r="F332" s="515"/>
      <c r="G332" s="450"/>
      <c r="H332" s="450"/>
      <c r="I332" s="450"/>
      <c r="J332" s="450"/>
      <c r="K332" s="450"/>
      <c r="L332" s="450"/>
      <c r="M332" s="450"/>
      <c r="N332" s="450"/>
      <c r="O332" s="450"/>
      <c r="P332" s="450"/>
      <c r="Q332" s="450"/>
      <c r="R332" s="450"/>
      <c r="S332" s="450"/>
      <c r="T332" s="450"/>
      <c r="U332" s="450"/>
      <c r="V332" s="450"/>
      <c r="W332" s="450"/>
      <c r="X332" s="450"/>
      <c r="Y332" s="450"/>
      <c r="Z332" s="450"/>
      <c r="AA332" s="450"/>
      <c r="AB332" s="450"/>
      <c r="AC332" s="450"/>
      <c r="AD332" s="450"/>
      <c r="AE332" s="450"/>
      <c r="AF332" s="450"/>
      <c r="AG332" s="450"/>
      <c r="AH332" s="450"/>
      <c r="AI332" s="450"/>
      <c r="AJ332" s="449"/>
      <c r="AK332" s="449"/>
      <c r="AL332" s="449"/>
      <c r="AM332" s="449"/>
      <c r="AN332" s="58"/>
      <c r="AO332" s="13"/>
      <c r="AP332" s="456" t="s">
        <v>2307</v>
      </c>
    </row>
    <row r="333" spans="1:42" ht="12.75" hidden="1" customHeight="1">
      <c r="A333" s="1575" t="s">
        <v>2308</v>
      </c>
      <c r="B333" s="1575"/>
      <c r="C333" s="2370" t="s">
        <v>807</v>
      </c>
      <c r="D333" s="2370"/>
      <c r="E333" s="446"/>
      <c r="F333" s="2469" t="s">
        <v>2309</v>
      </c>
      <c r="G333" s="2470"/>
      <c r="H333" s="2470"/>
      <c r="I333" s="2470"/>
      <c r="J333" s="2470"/>
      <c r="K333" s="2470"/>
      <c r="L333" s="2470"/>
      <c r="M333" s="2470"/>
      <c r="N333" s="2470"/>
      <c r="O333" s="2470"/>
      <c r="P333" s="2470"/>
      <c r="Q333" s="2470"/>
      <c r="R333" s="2470"/>
      <c r="S333" s="2470"/>
      <c r="T333" s="2470"/>
      <c r="U333" s="2470"/>
      <c r="V333" s="2470"/>
      <c r="W333" s="2470"/>
      <c r="X333" s="2470"/>
      <c r="Y333" s="2470"/>
      <c r="Z333" s="2470"/>
      <c r="AA333" s="2470"/>
      <c r="AB333" s="2470"/>
      <c r="AC333" s="2470"/>
      <c r="AD333" s="2471"/>
      <c r="AE333" s="450"/>
      <c r="AF333" s="450"/>
      <c r="AG333" s="438" t="s">
        <v>2292</v>
      </c>
      <c r="AH333" s="450"/>
      <c r="AI333" s="450"/>
      <c r="AJ333" s="449"/>
      <c r="AK333" s="449"/>
      <c r="AL333" s="449"/>
      <c r="AM333" s="449"/>
      <c r="AN333" s="58"/>
      <c r="AO333" s="13"/>
    </row>
    <row r="334" spans="1:42" ht="15" hidden="1" customHeight="1">
      <c r="A334" s="449"/>
      <c r="B334" s="450"/>
      <c r="C334" s="450"/>
      <c r="D334" s="450"/>
      <c r="E334" s="450"/>
      <c r="F334" s="2472"/>
      <c r="G334" s="2473"/>
      <c r="H334" s="2473"/>
      <c r="I334" s="2473"/>
      <c r="J334" s="2473"/>
      <c r="K334" s="2473"/>
      <c r="L334" s="2473"/>
      <c r="M334" s="2473"/>
      <c r="N334" s="2473"/>
      <c r="O334" s="2473"/>
      <c r="P334" s="2473"/>
      <c r="Q334" s="2473"/>
      <c r="R334" s="2473"/>
      <c r="S334" s="2473"/>
      <c r="T334" s="2473"/>
      <c r="U334" s="2473"/>
      <c r="V334" s="2473"/>
      <c r="W334" s="2473"/>
      <c r="X334" s="2473"/>
      <c r="Y334" s="2473"/>
      <c r="Z334" s="2473"/>
      <c r="AA334" s="2473"/>
      <c r="AB334" s="2473"/>
      <c r="AC334" s="2473"/>
      <c r="AD334" s="2474"/>
      <c r="AE334" s="450"/>
      <c r="AF334" s="450"/>
      <c r="AG334" s="450"/>
      <c r="AH334" s="450"/>
      <c r="AI334" s="450"/>
      <c r="AJ334" s="449"/>
      <c r="AK334" s="449"/>
      <c r="AL334" s="449"/>
      <c r="AM334" s="449"/>
      <c r="AN334" s="58"/>
      <c r="AO334" s="13"/>
    </row>
    <row r="335" spans="1:42" ht="15" hidden="1" customHeight="1">
      <c r="A335" s="449"/>
      <c r="B335" s="450"/>
      <c r="C335" s="450"/>
      <c r="D335" s="450"/>
      <c r="E335" s="450"/>
      <c r="F335" s="2472"/>
      <c r="G335" s="2473"/>
      <c r="H335" s="2473"/>
      <c r="I335" s="2473"/>
      <c r="J335" s="2473"/>
      <c r="K335" s="2473"/>
      <c r="L335" s="2473"/>
      <c r="M335" s="2473"/>
      <c r="N335" s="2473"/>
      <c r="O335" s="2473"/>
      <c r="P335" s="2473"/>
      <c r="Q335" s="2473"/>
      <c r="R335" s="2473"/>
      <c r="S335" s="2473"/>
      <c r="T335" s="2473"/>
      <c r="U335" s="2473"/>
      <c r="V335" s="2473"/>
      <c r="W335" s="2473"/>
      <c r="X335" s="2473"/>
      <c r="Y335" s="2473"/>
      <c r="Z335" s="2473"/>
      <c r="AA335" s="2473"/>
      <c r="AB335" s="2473"/>
      <c r="AC335" s="2473"/>
      <c r="AD335" s="2474"/>
      <c r="AE335" s="450"/>
      <c r="AF335" s="450"/>
      <c r="AG335" s="450"/>
      <c r="AH335" s="450"/>
      <c r="AI335" s="450"/>
      <c r="AJ335" s="449"/>
      <c r="AK335" s="449"/>
      <c r="AL335" s="449"/>
      <c r="AM335" s="558"/>
      <c r="AN335" s="13"/>
      <c r="AO335" s="13"/>
    </row>
    <row r="336" spans="1:42" hidden="1">
      <c r="A336" s="449"/>
      <c r="B336" s="450"/>
      <c r="C336" s="449"/>
      <c r="D336" s="450"/>
      <c r="E336" s="449"/>
      <c r="F336" s="559" t="s">
        <v>2310</v>
      </c>
      <c r="G336" s="560"/>
      <c r="H336" s="560"/>
      <c r="I336" s="560"/>
      <c r="J336" s="560"/>
      <c r="K336" s="560"/>
      <c r="L336" s="560"/>
      <c r="M336" s="560"/>
      <c r="N336" s="560"/>
      <c r="O336" s="560"/>
      <c r="P336" s="560"/>
      <c r="Q336" s="560"/>
      <c r="R336" s="560"/>
      <c r="S336" s="560"/>
      <c r="T336" s="560"/>
      <c r="U336" s="560"/>
      <c r="V336" s="560"/>
      <c r="W336" s="560"/>
      <c r="X336" s="560"/>
      <c r="Y336" s="560"/>
      <c r="Z336" s="560"/>
      <c r="AA336" s="560"/>
      <c r="AB336" s="560"/>
      <c r="AC336" s="560"/>
      <c r="AD336" s="561"/>
      <c r="AE336" s="450"/>
      <c r="AF336" s="450"/>
      <c r="AG336" s="450"/>
      <c r="AH336" s="450"/>
      <c r="AI336" s="450"/>
      <c r="AJ336" s="449"/>
      <c r="AK336" s="449"/>
      <c r="AL336" s="449"/>
      <c r="AM336" s="558"/>
      <c r="AN336" s="25"/>
    </row>
    <row r="337" spans="1:44" hidden="1">
      <c r="A337" s="449"/>
      <c r="B337" s="450"/>
      <c r="C337" s="449"/>
      <c r="D337" s="450"/>
      <c r="E337" s="449"/>
      <c r="F337" s="562"/>
      <c r="G337" s="562"/>
      <c r="H337" s="562"/>
      <c r="I337" s="562"/>
      <c r="J337" s="562"/>
      <c r="K337" s="562"/>
      <c r="L337" s="562"/>
      <c r="M337" s="562"/>
      <c r="N337" s="562"/>
      <c r="O337" s="562"/>
      <c r="P337" s="562"/>
      <c r="Q337" s="562"/>
      <c r="R337" s="562"/>
      <c r="S337" s="562"/>
      <c r="T337" s="562"/>
      <c r="U337" s="562"/>
      <c r="V337" s="562"/>
      <c r="W337" s="562"/>
      <c r="X337" s="562"/>
      <c r="Y337" s="562"/>
      <c r="Z337" s="562"/>
      <c r="AA337" s="562"/>
      <c r="AB337" s="562"/>
      <c r="AC337" s="562"/>
      <c r="AD337" s="562"/>
      <c r="AE337" s="450"/>
      <c r="AF337" s="450"/>
      <c r="AG337" s="450"/>
      <c r="AH337" s="450"/>
      <c r="AI337" s="450"/>
      <c r="AJ337" s="449"/>
      <c r="AK337" s="449"/>
      <c r="AL337" s="449"/>
      <c r="AM337" s="558"/>
      <c r="AN337" s="25"/>
    </row>
    <row r="338" spans="1:44" ht="13">
      <c r="A338" s="505"/>
      <c r="B338" s="563"/>
      <c r="C338" s="563"/>
      <c r="D338" s="563"/>
      <c r="E338" s="563"/>
      <c r="F338" s="563"/>
      <c r="G338" s="563"/>
      <c r="H338" s="563"/>
      <c r="I338" s="563"/>
      <c r="J338" s="563"/>
      <c r="K338" s="563"/>
      <c r="L338" s="563"/>
      <c r="M338" s="563"/>
      <c r="N338" s="563"/>
      <c r="O338" s="563"/>
      <c r="P338" s="563"/>
      <c r="Q338" s="563"/>
      <c r="R338" s="563"/>
      <c r="S338" s="563"/>
      <c r="T338" s="563"/>
      <c r="U338" s="563"/>
      <c r="V338" s="563"/>
      <c r="W338" s="563"/>
      <c r="X338" s="563"/>
      <c r="Y338" s="563"/>
      <c r="Z338" s="563"/>
      <c r="AA338" s="563"/>
      <c r="AB338" s="563"/>
      <c r="AC338" s="564"/>
      <c r="AD338" s="563"/>
      <c r="AE338" s="463"/>
      <c r="AF338" s="463"/>
      <c r="AG338" s="463"/>
      <c r="AH338" s="463"/>
      <c r="AI338" s="464"/>
      <c r="AJ338" s="464" t="s">
        <v>2311</v>
      </c>
      <c r="AK338" s="2356">
        <f>IF(NOT(OR(Application!M355="Yes",Application!M356="Yes")),0,AP295)</f>
        <v>0</v>
      </c>
      <c r="AL338" s="2357"/>
      <c r="AM338" s="2358"/>
      <c r="AN338" s="25"/>
    </row>
    <row r="339" spans="1:44" s="449" customFormat="1" ht="12.75" customHeight="1" thickBot="1">
      <c r="A339" s="520"/>
      <c r="B339" s="520"/>
      <c r="C339" s="520"/>
      <c r="D339" s="520"/>
      <c r="E339" s="520"/>
      <c r="F339" s="520"/>
      <c r="G339" s="520"/>
      <c r="H339" s="520"/>
      <c r="I339" s="520"/>
      <c r="J339" s="520"/>
      <c r="K339" s="520"/>
      <c r="L339" s="520"/>
      <c r="M339" s="520"/>
      <c r="N339" s="520"/>
      <c r="O339" s="520"/>
      <c r="P339" s="520"/>
      <c r="Q339" s="520"/>
      <c r="R339" s="520"/>
      <c r="S339" s="520"/>
      <c r="T339" s="520"/>
      <c r="U339" s="520"/>
      <c r="V339" s="520"/>
      <c r="W339" s="520"/>
      <c r="X339" s="520"/>
      <c r="Y339" s="520"/>
      <c r="Z339" s="520"/>
      <c r="AA339" s="520"/>
      <c r="AB339" s="520"/>
      <c r="AC339" s="520"/>
      <c r="AD339" s="520"/>
      <c r="AE339" s="520"/>
      <c r="AF339" s="520"/>
      <c r="AG339" s="520"/>
      <c r="AH339" s="520"/>
      <c r="AI339" s="520"/>
      <c r="AJ339" s="520"/>
      <c r="AK339" s="520"/>
      <c r="AL339" s="520"/>
      <c r="AM339" s="520"/>
      <c r="AN339" s="496"/>
    </row>
    <row r="340" spans="1:44" s="449"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6"/>
    </row>
    <row r="341" spans="1:44" s="449" customFormat="1" ht="12.75" customHeight="1">
      <c r="A341" s="438" t="s">
        <v>2312</v>
      </c>
      <c r="B341" s="438" t="s">
        <v>2313</v>
      </c>
      <c r="C341" s="435"/>
      <c r="AC341" s="438"/>
      <c r="AE341" s="2389" t="s">
        <v>2145</v>
      </c>
      <c r="AF341" s="2389"/>
      <c r="AG341" s="2389"/>
      <c r="AH341" s="2389"/>
      <c r="AI341" s="2389"/>
      <c r="AJ341" s="2389"/>
      <c r="AK341" s="2389"/>
      <c r="AL341" s="438"/>
      <c r="AM341" s="438"/>
      <c r="AN341" s="491"/>
    </row>
    <row r="342" spans="1:44" s="449" customFormat="1" ht="12.75" customHeight="1">
      <c r="A342" s="438"/>
      <c r="B342" s="438"/>
      <c r="C342" s="435"/>
      <c r="AC342" s="438"/>
      <c r="AE342" s="442"/>
      <c r="AF342" s="442"/>
      <c r="AG342" s="442"/>
      <c r="AH342" s="442"/>
      <c r="AI342" s="442"/>
      <c r="AJ342" s="442"/>
      <c r="AK342" s="442"/>
      <c r="AL342" s="438"/>
      <c r="AM342" s="438"/>
      <c r="AN342" s="491"/>
    </row>
    <row r="343" spans="1:44" s="449" customFormat="1" ht="12.75" customHeight="1">
      <c r="A343" s="502"/>
      <c r="B343" s="510"/>
      <c r="C343" s="2365" t="s">
        <v>2314</v>
      </c>
      <c r="D343" s="2365"/>
      <c r="E343" s="2365"/>
      <c r="F343" s="2365"/>
      <c r="G343" s="2365"/>
      <c r="H343" s="2365"/>
      <c r="I343" s="2365"/>
      <c r="J343" s="2365"/>
      <c r="K343" s="2365"/>
      <c r="L343" s="2365"/>
      <c r="M343" s="2365"/>
      <c r="N343" s="2365"/>
      <c r="O343" s="2365"/>
      <c r="P343" s="2365"/>
      <c r="Q343" s="2365"/>
      <c r="R343" s="2365"/>
      <c r="S343" s="2365"/>
      <c r="T343" s="2365"/>
      <c r="U343" s="2365"/>
      <c r="V343" s="2365"/>
      <c r="W343" s="2365"/>
      <c r="X343" s="2365"/>
      <c r="Y343" s="2365"/>
      <c r="Z343" s="2365"/>
      <c r="AA343" s="2365"/>
      <c r="AB343" s="2365"/>
      <c r="AC343" s="2365"/>
      <c r="AD343" s="2365"/>
      <c r="AE343" s="2365"/>
      <c r="AF343" s="2365"/>
      <c r="AG343" s="2365"/>
      <c r="AH343" s="2365"/>
      <c r="AI343" s="2365"/>
      <c r="AJ343" s="2365"/>
      <c r="AK343" s="502"/>
      <c r="AL343" s="502"/>
      <c r="AM343" s="502"/>
      <c r="AN343" s="496"/>
    </row>
    <row r="344" spans="1:44" s="449" customFormat="1" ht="12.75" customHeight="1">
      <c r="A344" s="502"/>
      <c r="B344" s="510"/>
      <c r="C344" s="2365"/>
      <c r="D344" s="2365"/>
      <c r="E344" s="2365"/>
      <c r="F344" s="2365"/>
      <c r="G344" s="2365"/>
      <c r="H344" s="2365"/>
      <c r="I344" s="2365"/>
      <c r="J344" s="2365"/>
      <c r="K344" s="2365"/>
      <c r="L344" s="2365"/>
      <c r="M344" s="2365"/>
      <c r="N344" s="2365"/>
      <c r="O344" s="2365"/>
      <c r="P344" s="2365"/>
      <c r="Q344" s="2365"/>
      <c r="R344" s="2365"/>
      <c r="S344" s="2365"/>
      <c r="T344" s="2365"/>
      <c r="U344" s="2365"/>
      <c r="V344" s="2365"/>
      <c r="W344" s="2365"/>
      <c r="X344" s="2365"/>
      <c r="Y344" s="2365"/>
      <c r="Z344" s="2365"/>
      <c r="AA344" s="2365"/>
      <c r="AB344" s="2365"/>
      <c r="AC344" s="2365"/>
      <c r="AD344" s="2365"/>
      <c r="AE344" s="2365"/>
      <c r="AF344" s="2365"/>
      <c r="AG344" s="2365"/>
      <c r="AH344" s="2365"/>
      <c r="AI344" s="2365"/>
      <c r="AJ344" s="2365"/>
      <c r="AK344" s="502"/>
      <c r="AL344" s="502"/>
      <c r="AM344" s="502"/>
      <c r="AN344" s="496"/>
    </row>
    <row r="345" spans="1:44" s="449" customFormat="1" ht="12.75" customHeight="1">
      <c r="A345" s="502"/>
      <c r="B345" s="510"/>
      <c r="C345" s="2365"/>
      <c r="D345" s="2365"/>
      <c r="E345" s="2365"/>
      <c r="F345" s="2365"/>
      <c r="G345" s="2365"/>
      <c r="H345" s="2365"/>
      <c r="I345" s="2365"/>
      <c r="J345" s="2365"/>
      <c r="K345" s="2365"/>
      <c r="L345" s="2365"/>
      <c r="M345" s="2365"/>
      <c r="N345" s="2365"/>
      <c r="O345" s="2365"/>
      <c r="P345" s="2365"/>
      <c r="Q345" s="2365"/>
      <c r="R345" s="2365"/>
      <c r="S345" s="2365"/>
      <c r="T345" s="2365"/>
      <c r="U345" s="2365"/>
      <c r="V345" s="2365"/>
      <c r="W345" s="2365"/>
      <c r="X345" s="2365"/>
      <c r="Y345" s="2365"/>
      <c r="Z345" s="2365"/>
      <c r="AA345" s="2365"/>
      <c r="AB345" s="2365"/>
      <c r="AC345" s="2365"/>
      <c r="AD345" s="2365"/>
      <c r="AE345" s="2365"/>
      <c r="AF345" s="2365"/>
      <c r="AG345" s="2365"/>
      <c r="AH345" s="2365"/>
      <c r="AI345" s="2365"/>
      <c r="AJ345" s="2365"/>
      <c r="AK345" s="502"/>
      <c r="AL345" s="502"/>
      <c r="AM345" s="502"/>
      <c r="AN345" s="496"/>
      <c r="AQ345" s="469"/>
    </row>
    <row r="346" spans="1:44" s="449" customFormat="1" ht="12.75" customHeight="1">
      <c r="A346" s="502"/>
      <c r="B346" s="510"/>
      <c r="C346" s="2365"/>
      <c r="D346" s="2365"/>
      <c r="E346" s="2365"/>
      <c r="F346" s="2365"/>
      <c r="G346" s="2365"/>
      <c r="H346" s="2365"/>
      <c r="I346" s="2365"/>
      <c r="J346" s="2365"/>
      <c r="K346" s="2365"/>
      <c r="L346" s="2365"/>
      <c r="M346" s="2365"/>
      <c r="N346" s="2365"/>
      <c r="O346" s="2365"/>
      <c r="P346" s="2365"/>
      <c r="Q346" s="2365"/>
      <c r="R346" s="2365"/>
      <c r="S346" s="2365"/>
      <c r="T346" s="2365"/>
      <c r="U346" s="2365"/>
      <c r="V346" s="2365"/>
      <c r="W346" s="2365"/>
      <c r="X346" s="2365"/>
      <c r="Y346" s="2365"/>
      <c r="Z346" s="2365"/>
      <c r="AA346" s="2365"/>
      <c r="AB346" s="2365"/>
      <c r="AC346" s="2365"/>
      <c r="AD346" s="2365"/>
      <c r="AE346" s="2365"/>
      <c r="AF346" s="2365"/>
      <c r="AG346" s="2365"/>
      <c r="AH346" s="2365"/>
      <c r="AI346" s="2365"/>
      <c r="AJ346" s="2365"/>
      <c r="AK346" s="502"/>
      <c r="AL346" s="502"/>
      <c r="AM346" s="502"/>
      <c r="AN346" s="496"/>
      <c r="AQ346" s="469"/>
    </row>
    <row r="347" spans="1:44" s="449" customFormat="1" ht="12.5" customHeight="1">
      <c r="A347" s="502"/>
      <c r="B347" s="510"/>
      <c r="C347" s="2365"/>
      <c r="D347" s="2365"/>
      <c r="E347" s="2365"/>
      <c r="F347" s="2365"/>
      <c r="G347" s="2365"/>
      <c r="H347" s="2365"/>
      <c r="I347" s="2365"/>
      <c r="J347" s="2365"/>
      <c r="K347" s="2365"/>
      <c r="L347" s="2365"/>
      <c r="M347" s="2365"/>
      <c r="N347" s="2365"/>
      <c r="O347" s="2365"/>
      <c r="P347" s="2365"/>
      <c r="Q347" s="2365"/>
      <c r="R347" s="2365"/>
      <c r="S347" s="2365"/>
      <c r="T347" s="2365"/>
      <c r="U347" s="2365"/>
      <c r="V347" s="2365"/>
      <c r="W347" s="2365"/>
      <c r="X347" s="2365"/>
      <c r="Y347" s="2365"/>
      <c r="Z347" s="2365"/>
      <c r="AA347" s="2365"/>
      <c r="AB347" s="2365"/>
      <c r="AC347" s="2365"/>
      <c r="AD347" s="2365"/>
      <c r="AE347" s="2365"/>
      <c r="AF347" s="2365"/>
      <c r="AG347" s="2365"/>
      <c r="AH347" s="2365"/>
      <c r="AI347" s="2365"/>
      <c r="AJ347" s="2365"/>
      <c r="AK347" s="502"/>
      <c r="AL347" s="502"/>
      <c r="AM347" s="502"/>
      <c r="AN347" s="496"/>
      <c r="AQ347" s="469"/>
      <c r="AR347" s="469"/>
    </row>
    <row r="348" spans="1:44" s="449" customFormat="1" ht="45.75" customHeight="1">
      <c r="A348" s="502"/>
      <c r="B348" s="510"/>
      <c r="C348" s="2365" t="s">
        <v>2315</v>
      </c>
      <c r="D348" s="2365"/>
      <c r="E348" s="2365"/>
      <c r="F348" s="2365"/>
      <c r="G348" s="2365"/>
      <c r="H348" s="2365"/>
      <c r="I348" s="2365"/>
      <c r="J348" s="2365"/>
      <c r="K348" s="2365"/>
      <c r="L348" s="2365"/>
      <c r="M348" s="2365"/>
      <c r="N348" s="2365"/>
      <c r="O348" s="2365"/>
      <c r="P348" s="2365"/>
      <c r="Q348" s="2365"/>
      <c r="R348" s="2365"/>
      <c r="S348" s="2365"/>
      <c r="T348" s="2365"/>
      <c r="U348" s="2365"/>
      <c r="V348" s="2365"/>
      <c r="W348" s="2365"/>
      <c r="X348" s="2365"/>
      <c r="Y348" s="2365"/>
      <c r="Z348" s="2365"/>
      <c r="AA348" s="2365"/>
      <c r="AB348" s="2365"/>
      <c r="AC348" s="2365"/>
      <c r="AD348" s="2365"/>
      <c r="AE348" s="2365"/>
      <c r="AF348" s="2365"/>
      <c r="AG348" s="2365"/>
      <c r="AH348" s="2365"/>
      <c r="AI348" s="2365"/>
      <c r="AJ348" s="2365"/>
      <c r="AK348" s="502"/>
      <c r="AL348" s="502"/>
      <c r="AM348" s="502"/>
      <c r="AN348" s="496"/>
      <c r="AQ348" s="469"/>
      <c r="AR348" s="469"/>
    </row>
    <row r="349" spans="1:44" s="449" customFormat="1" ht="12.5" customHeight="1">
      <c r="A349" s="502"/>
      <c r="B349" s="510"/>
      <c r="C349" s="592"/>
      <c r="D349" s="592"/>
      <c r="E349" s="592"/>
      <c r="F349" s="592"/>
      <c r="G349" s="592"/>
      <c r="H349" s="592"/>
      <c r="I349" s="592"/>
      <c r="J349" s="592"/>
      <c r="K349" s="592"/>
      <c r="L349" s="592"/>
      <c r="M349" s="592"/>
      <c r="N349" s="592"/>
      <c r="O349" s="592"/>
      <c r="P349" s="592"/>
      <c r="Q349" s="592"/>
      <c r="R349" s="592"/>
      <c r="S349" s="592"/>
      <c r="T349" s="592"/>
      <c r="U349" s="592"/>
      <c r="V349" s="592"/>
      <c r="W349" s="592"/>
      <c r="X349" s="592"/>
      <c r="Y349" s="592"/>
      <c r="Z349" s="592"/>
      <c r="AA349" s="592"/>
      <c r="AB349" s="592"/>
      <c r="AC349" s="592"/>
      <c r="AD349" s="592"/>
      <c r="AE349" s="592"/>
      <c r="AF349" s="592"/>
      <c r="AG349" s="592"/>
      <c r="AH349" s="592"/>
      <c r="AI349" s="592"/>
      <c r="AJ349" s="592"/>
      <c r="AK349" s="502"/>
      <c r="AL349" s="502"/>
      <c r="AM349" s="502"/>
      <c r="AN349" s="496"/>
      <c r="AQ349" s="469"/>
      <c r="AR349" s="469"/>
    </row>
    <row r="350" spans="1:44" s="449" customFormat="1" ht="12.75" customHeight="1">
      <c r="A350" s="502"/>
      <c r="B350" s="510"/>
      <c r="C350" s="2365" t="s">
        <v>2316</v>
      </c>
      <c r="D350" s="2365"/>
      <c r="E350" s="2365"/>
      <c r="F350" s="2365"/>
      <c r="G350" s="2365"/>
      <c r="H350" s="2365"/>
      <c r="I350" s="2365"/>
      <c r="J350" s="2365"/>
      <c r="K350" s="2365"/>
      <c r="L350" s="2365"/>
      <c r="M350" s="2365"/>
      <c r="N350" s="2365"/>
      <c r="O350" s="2365"/>
      <c r="P350" s="2365"/>
      <c r="Q350" s="2365"/>
      <c r="R350" s="2365"/>
      <c r="S350" s="2365"/>
      <c r="T350" s="2365"/>
      <c r="U350" s="2365"/>
      <c r="V350" s="2365"/>
      <c r="W350" s="2365"/>
      <c r="X350" s="2365"/>
      <c r="Y350" s="2365"/>
      <c r="Z350" s="2365"/>
      <c r="AA350" s="2365"/>
      <c r="AB350" s="2365"/>
      <c r="AC350" s="2365"/>
      <c r="AD350" s="2365"/>
      <c r="AE350" s="2365"/>
      <c r="AF350" s="2365"/>
      <c r="AG350" s="2365"/>
      <c r="AH350" s="2365"/>
      <c r="AI350" s="2365"/>
      <c r="AJ350" s="2365"/>
      <c r="AK350" s="502"/>
      <c r="AL350" s="502"/>
      <c r="AM350" s="502"/>
      <c r="AN350" s="496"/>
      <c r="AQ350" s="469"/>
      <c r="AR350" s="469"/>
    </row>
    <row r="351" spans="1:44" s="449" customFormat="1" ht="30" customHeight="1">
      <c r="A351" s="502"/>
      <c r="B351" s="510"/>
      <c r="C351" s="2365"/>
      <c r="D351" s="2365"/>
      <c r="E351" s="2365"/>
      <c r="F351" s="2365"/>
      <c r="G351" s="2365"/>
      <c r="H351" s="2365"/>
      <c r="I351" s="2365"/>
      <c r="J351" s="2365"/>
      <c r="K351" s="2365"/>
      <c r="L351" s="2365"/>
      <c r="M351" s="2365"/>
      <c r="N351" s="2365"/>
      <c r="O351" s="2365"/>
      <c r="P351" s="2365"/>
      <c r="Q351" s="2365"/>
      <c r="R351" s="2365"/>
      <c r="S351" s="2365"/>
      <c r="T351" s="2365"/>
      <c r="U351" s="2365"/>
      <c r="V351" s="2365"/>
      <c r="W351" s="2365"/>
      <c r="X351" s="2365"/>
      <c r="Y351" s="2365"/>
      <c r="Z351" s="2365"/>
      <c r="AA351" s="2365"/>
      <c r="AB351" s="2365"/>
      <c r="AC351" s="2365"/>
      <c r="AD351" s="2365"/>
      <c r="AE351" s="2365"/>
      <c r="AF351" s="2365"/>
      <c r="AG351" s="2365"/>
      <c r="AH351" s="2365"/>
      <c r="AI351" s="2365"/>
      <c r="AJ351" s="2365"/>
      <c r="AK351" s="502"/>
      <c r="AL351" s="502"/>
      <c r="AM351" s="502"/>
      <c r="AN351" s="496"/>
      <c r="AR351" s="469"/>
    </row>
    <row r="352" spans="1:44" s="449" customFormat="1" ht="12.75" customHeight="1">
      <c r="A352" s="502"/>
      <c r="B352" s="510"/>
      <c r="C352" s="2365"/>
      <c r="D352" s="2365"/>
      <c r="E352" s="2365"/>
      <c r="F352" s="2365"/>
      <c r="G352" s="2365"/>
      <c r="H352" s="2365"/>
      <c r="I352" s="2365"/>
      <c r="J352" s="2365"/>
      <c r="K352" s="2365"/>
      <c r="L352" s="2365"/>
      <c r="M352" s="2365"/>
      <c r="N352" s="2365"/>
      <c r="O352" s="2365"/>
      <c r="P352" s="2365"/>
      <c r="Q352" s="2365"/>
      <c r="R352" s="2365"/>
      <c r="S352" s="2365"/>
      <c r="T352" s="2365"/>
      <c r="U352" s="2365"/>
      <c r="V352" s="2365"/>
      <c r="W352" s="2365"/>
      <c r="X352" s="2365"/>
      <c r="Y352" s="2365"/>
      <c r="Z352" s="2365"/>
      <c r="AA352" s="2365"/>
      <c r="AB352" s="2365"/>
      <c r="AC352" s="2365"/>
      <c r="AD352" s="2365"/>
      <c r="AE352" s="2365"/>
      <c r="AF352" s="2365"/>
      <c r="AG352" s="2365"/>
      <c r="AH352" s="2365"/>
      <c r="AI352" s="2365"/>
      <c r="AJ352" s="2365"/>
      <c r="AK352" s="502"/>
      <c r="AL352" s="502"/>
      <c r="AM352" s="502"/>
      <c r="AN352" s="496"/>
      <c r="AR352" s="469"/>
    </row>
    <row r="353" spans="1:46" s="449" customFormat="1" ht="12.75" customHeight="1">
      <c r="A353" s="502"/>
      <c r="B353" s="510"/>
      <c r="C353" s="2365" t="s">
        <v>2317</v>
      </c>
      <c r="D353" s="2365"/>
      <c r="E353" s="2365"/>
      <c r="F353" s="2365"/>
      <c r="G353" s="2365"/>
      <c r="H353" s="2365"/>
      <c r="I353" s="2365"/>
      <c r="J353" s="2365"/>
      <c r="K353" s="2365"/>
      <c r="L353" s="2365"/>
      <c r="M353" s="2365"/>
      <c r="N353" s="2365"/>
      <c r="O353" s="2365"/>
      <c r="P353" s="2365"/>
      <c r="Q353" s="2365"/>
      <c r="R353" s="2365"/>
      <c r="S353" s="2365"/>
      <c r="T353" s="2365"/>
      <c r="U353" s="2365"/>
      <c r="V353" s="2365"/>
      <c r="W353" s="2365"/>
      <c r="X353" s="2365"/>
      <c r="Y353" s="2365"/>
      <c r="Z353" s="2365"/>
      <c r="AA353" s="2365"/>
      <c r="AB353" s="2365"/>
      <c r="AC353" s="2365"/>
      <c r="AD353" s="2365"/>
      <c r="AE353" s="2365"/>
      <c r="AF353" s="2365"/>
      <c r="AG353" s="2365"/>
      <c r="AH353" s="2365"/>
      <c r="AI353" s="2365"/>
      <c r="AJ353" s="2365"/>
      <c r="AK353" s="502"/>
      <c r="AL353" s="502"/>
      <c r="AM353" s="502"/>
      <c r="AN353" s="496"/>
      <c r="AQ353" s="469"/>
      <c r="AR353" s="469"/>
    </row>
    <row r="354" spans="1:46" s="449" customFormat="1" ht="12.75" customHeight="1">
      <c r="A354" s="502"/>
      <c r="B354" s="510"/>
      <c r="C354" s="2365"/>
      <c r="D354" s="2365"/>
      <c r="E354" s="2365"/>
      <c r="F354" s="2365"/>
      <c r="G354" s="2365"/>
      <c r="H354" s="2365"/>
      <c r="I354" s="2365"/>
      <c r="J354" s="2365"/>
      <c r="K354" s="2365"/>
      <c r="L354" s="2365"/>
      <c r="M354" s="2365"/>
      <c r="N354" s="2365"/>
      <c r="O354" s="2365"/>
      <c r="P354" s="2365"/>
      <c r="Q354" s="2365"/>
      <c r="R354" s="2365"/>
      <c r="S354" s="2365"/>
      <c r="T354" s="2365"/>
      <c r="U354" s="2365"/>
      <c r="V354" s="2365"/>
      <c r="W354" s="2365"/>
      <c r="X354" s="2365"/>
      <c r="Y354" s="2365"/>
      <c r="Z354" s="2365"/>
      <c r="AA354" s="2365"/>
      <c r="AB354" s="2365"/>
      <c r="AC354" s="2365"/>
      <c r="AD354" s="2365"/>
      <c r="AE354" s="2365"/>
      <c r="AF354" s="2365"/>
      <c r="AG354" s="2365"/>
      <c r="AH354" s="2365"/>
      <c r="AI354" s="2365"/>
      <c r="AJ354" s="2365"/>
      <c r="AK354" s="502"/>
      <c r="AL354" s="502"/>
      <c r="AM354" s="502"/>
      <c r="AN354" s="496"/>
      <c r="AQ354" s="469"/>
      <c r="AR354" s="469"/>
    </row>
    <row r="355" spans="1:46" s="449" customFormat="1" ht="13.25" customHeight="1">
      <c r="A355" s="502"/>
      <c r="B355" s="510"/>
      <c r="C355" s="2365"/>
      <c r="D355" s="2365"/>
      <c r="E355" s="2365"/>
      <c r="F355" s="2365"/>
      <c r="G355" s="2365"/>
      <c r="H355" s="2365"/>
      <c r="I355" s="2365"/>
      <c r="J355" s="2365"/>
      <c r="K355" s="2365"/>
      <c r="L355" s="2365"/>
      <c r="M355" s="2365"/>
      <c r="N355" s="2365"/>
      <c r="O355" s="2365"/>
      <c r="P355" s="2365"/>
      <c r="Q355" s="2365"/>
      <c r="R355" s="2365"/>
      <c r="S355" s="2365"/>
      <c r="T355" s="2365"/>
      <c r="U355" s="2365"/>
      <c r="V355" s="2365"/>
      <c r="W355" s="2365"/>
      <c r="X355" s="2365"/>
      <c r="Y355" s="2365"/>
      <c r="Z355" s="2365"/>
      <c r="AA355" s="2365"/>
      <c r="AB355" s="2365"/>
      <c r="AC355" s="2365"/>
      <c r="AD355" s="2365"/>
      <c r="AE355" s="2365"/>
      <c r="AF355" s="2365"/>
      <c r="AG355" s="2365"/>
      <c r="AH355" s="2365"/>
      <c r="AI355" s="2365"/>
      <c r="AJ355" s="2365"/>
      <c r="AK355" s="502"/>
      <c r="AL355" s="502"/>
      <c r="AM355" s="502"/>
      <c r="AN355" s="496"/>
      <c r="AQ355" s="469"/>
      <c r="AR355" s="469"/>
    </row>
    <row r="356" spans="1:46" s="449" customFormat="1" ht="12.75" customHeight="1">
      <c r="A356" s="502"/>
      <c r="B356" s="510"/>
      <c r="C356" s="2365"/>
      <c r="D356" s="2365"/>
      <c r="E356" s="2365"/>
      <c r="F356" s="2365"/>
      <c r="G356" s="2365"/>
      <c r="H356" s="2365"/>
      <c r="I356" s="2365"/>
      <c r="J356" s="2365"/>
      <c r="K356" s="2365"/>
      <c r="L356" s="2365"/>
      <c r="M356" s="2365"/>
      <c r="N356" s="2365"/>
      <c r="O356" s="2365"/>
      <c r="P356" s="2365"/>
      <c r="Q356" s="2365"/>
      <c r="R356" s="2365"/>
      <c r="S356" s="2365"/>
      <c r="T356" s="2365"/>
      <c r="U356" s="2365"/>
      <c r="V356" s="2365"/>
      <c r="W356" s="2365"/>
      <c r="X356" s="2365"/>
      <c r="Y356" s="2365"/>
      <c r="Z356" s="2365"/>
      <c r="AA356" s="2365"/>
      <c r="AB356" s="2365"/>
      <c r="AC356" s="2365"/>
      <c r="AD356" s="2365"/>
      <c r="AE356" s="2365"/>
      <c r="AF356" s="2365"/>
      <c r="AG356" s="2365"/>
      <c r="AH356" s="2365"/>
      <c r="AI356" s="2365"/>
      <c r="AJ356" s="2365"/>
      <c r="AK356" s="502"/>
      <c r="AL356" s="502"/>
      <c r="AM356" s="502"/>
      <c r="AN356" s="496"/>
      <c r="AO356" s="593"/>
      <c r="AP356" s="593"/>
      <c r="AQ356" s="469"/>
    </row>
    <row r="357" spans="1:46" s="449" customFormat="1" ht="12" customHeight="1">
      <c r="A357" s="502"/>
      <c r="B357" s="510"/>
      <c r="C357" s="2365"/>
      <c r="D357" s="2365"/>
      <c r="E357" s="2365"/>
      <c r="F357" s="2365"/>
      <c r="G357" s="2365"/>
      <c r="H357" s="2365"/>
      <c r="I357" s="2365"/>
      <c r="J357" s="2365"/>
      <c r="K357" s="2365"/>
      <c r="L357" s="2365"/>
      <c r="M357" s="2365"/>
      <c r="N357" s="2365"/>
      <c r="O357" s="2365"/>
      <c r="P357" s="2365"/>
      <c r="Q357" s="2365"/>
      <c r="R357" s="2365"/>
      <c r="S357" s="2365"/>
      <c r="T357" s="2365"/>
      <c r="U357" s="2365"/>
      <c r="V357" s="2365"/>
      <c r="W357" s="2365"/>
      <c r="X357" s="2365"/>
      <c r="Y357" s="2365"/>
      <c r="Z357" s="2365"/>
      <c r="AA357" s="2365"/>
      <c r="AB357" s="2365"/>
      <c r="AC357" s="2365"/>
      <c r="AD357" s="2365"/>
      <c r="AE357" s="2365"/>
      <c r="AF357" s="2365"/>
      <c r="AG357" s="2365"/>
      <c r="AH357" s="2365"/>
      <c r="AI357" s="2365"/>
      <c r="AJ357" s="2365"/>
      <c r="AK357" s="502"/>
      <c r="AL357" s="502"/>
      <c r="AM357" s="502"/>
      <c r="AN357" s="496"/>
      <c r="AO357" s="594" t="s">
        <v>18</v>
      </c>
      <c r="AP357" s="595">
        <f>IF(C381="Yes",5,0)</f>
        <v>5</v>
      </c>
      <c r="AS357" s="438" t="s">
        <v>2318</v>
      </c>
    </row>
    <row r="358" spans="1:46" s="449" customFormat="1" ht="12.75" customHeight="1">
      <c r="A358" s="502"/>
      <c r="B358" s="510"/>
      <c r="C358" s="2365"/>
      <c r="D358" s="2365"/>
      <c r="E358" s="2365"/>
      <c r="F358" s="2365"/>
      <c r="G358" s="2365"/>
      <c r="H358" s="2365"/>
      <c r="I358" s="2365"/>
      <c r="J358" s="2365"/>
      <c r="K358" s="2365"/>
      <c r="L358" s="2365"/>
      <c r="M358" s="2365"/>
      <c r="N358" s="2365"/>
      <c r="O358" s="2365"/>
      <c r="P358" s="2365"/>
      <c r="Q358" s="2365"/>
      <c r="R358" s="2365"/>
      <c r="S358" s="2365"/>
      <c r="T358" s="2365"/>
      <c r="U358" s="2365"/>
      <c r="V358" s="2365"/>
      <c r="W358" s="2365"/>
      <c r="X358" s="2365"/>
      <c r="Y358" s="2365"/>
      <c r="Z358" s="2365"/>
      <c r="AA358" s="2365"/>
      <c r="AB358" s="2365"/>
      <c r="AC358" s="2365"/>
      <c r="AD358" s="2365"/>
      <c r="AE358" s="2365"/>
      <c r="AF358" s="2365"/>
      <c r="AG358" s="2365"/>
      <c r="AH358" s="2365"/>
      <c r="AI358" s="2365"/>
      <c r="AJ358" s="2365"/>
      <c r="AK358" s="502"/>
      <c r="AL358" s="502"/>
      <c r="AM358" s="502"/>
      <c r="AN358" s="496"/>
      <c r="AO358" s="594" t="s">
        <v>31</v>
      </c>
      <c r="AP358" s="595">
        <f>IF(C389="Yes",5,0)</f>
        <v>0</v>
      </c>
      <c r="AS358" s="2331">
        <f>IF(Application!D211="Non-Targeted",(SUM(AQ366+AQ375)),AS362)</f>
        <v>10</v>
      </c>
      <c r="AT358" s="2331"/>
    </row>
    <row r="359" spans="1:46" s="449" customFormat="1" ht="12.75" customHeight="1">
      <c r="A359" s="502"/>
      <c r="B359" s="510"/>
      <c r="C359" s="2365"/>
      <c r="D359" s="2365"/>
      <c r="E359" s="2365"/>
      <c r="F359" s="2365"/>
      <c r="G359" s="2365"/>
      <c r="H359" s="2365"/>
      <c r="I359" s="2365"/>
      <c r="J359" s="2365"/>
      <c r="K359" s="2365"/>
      <c r="L359" s="2365"/>
      <c r="M359" s="2365"/>
      <c r="N359" s="2365"/>
      <c r="O359" s="2365"/>
      <c r="P359" s="2365"/>
      <c r="Q359" s="2365"/>
      <c r="R359" s="2365"/>
      <c r="S359" s="2365"/>
      <c r="T359" s="2365"/>
      <c r="U359" s="2365"/>
      <c r="V359" s="2365"/>
      <c r="W359" s="2365"/>
      <c r="X359" s="2365"/>
      <c r="Y359" s="2365"/>
      <c r="Z359" s="2365"/>
      <c r="AA359" s="2365"/>
      <c r="AB359" s="2365"/>
      <c r="AC359" s="2365"/>
      <c r="AD359" s="2365"/>
      <c r="AE359" s="2365"/>
      <c r="AF359" s="2365"/>
      <c r="AG359" s="2365"/>
      <c r="AH359" s="2365"/>
      <c r="AI359" s="2365"/>
      <c r="AJ359" s="2365"/>
      <c r="AK359" s="502"/>
      <c r="AL359" s="502"/>
      <c r="AM359" s="502"/>
      <c r="AN359" s="496"/>
      <c r="AO359" s="594" t="s">
        <v>39</v>
      </c>
      <c r="AP359" s="595">
        <f>IF(C397="Yes",7,0)</f>
        <v>0</v>
      </c>
      <c r="AS359" s="438" t="s">
        <v>2319</v>
      </c>
    </row>
    <row r="360" spans="1:46" s="449" customFormat="1" ht="12.75" customHeight="1">
      <c r="A360" s="502"/>
      <c r="B360" s="510"/>
      <c r="C360" s="2365"/>
      <c r="D360" s="2365"/>
      <c r="E360" s="2365"/>
      <c r="F360" s="2365"/>
      <c r="G360" s="2365"/>
      <c r="H360" s="2365"/>
      <c r="I360" s="2365"/>
      <c r="J360" s="2365"/>
      <c r="K360" s="2365"/>
      <c r="L360" s="2365"/>
      <c r="M360" s="2365"/>
      <c r="N360" s="2365"/>
      <c r="O360" s="2365"/>
      <c r="P360" s="2365"/>
      <c r="Q360" s="2365"/>
      <c r="R360" s="2365"/>
      <c r="S360" s="2365"/>
      <c r="T360" s="2365"/>
      <c r="U360" s="2365"/>
      <c r="V360" s="2365"/>
      <c r="W360" s="2365"/>
      <c r="X360" s="2365"/>
      <c r="Y360" s="2365"/>
      <c r="Z360" s="2365"/>
      <c r="AA360" s="2365"/>
      <c r="AB360" s="2365"/>
      <c r="AC360" s="2365"/>
      <c r="AD360" s="2365"/>
      <c r="AE360" s="2365"/>
      <c r="AF360" s="2365"/>
      <c r="AG360" s="2365"/>
      <c r="AH360" s="2365"/>
      <c r="AI360" s="2365"/>
      <c r="AJ360" s="2365"/>
      <c r="AK360" s="502"/>
      <c r="AL360" s="502"/>
      <c r="AM360" s="502"/>
      <c r="AN360" s="496"/>
      <c r="AO360" s="496"/>
      <c r="AP360" s="595">
        <f>IF(C399="Yes",5,0)</f>
        <v>5</v>
      </c>
      <c r="AS360" s="2331">
        <f>IF(AND(AQ366&gt;0,AQ375&gt;0),(AQ366+AQ375)/2,0)</f>
        <v>0</v>
      </c>
      <c r="AT360" s="2331"/>
    </row>
    <row r="361" spans="1:46" s="449" customFormat="1" ht="12.75" customHeight="1">
      <c r="A361" s="502"/>
      <c r="B361" s="510"/>
      <c r="C361" s="2365"/>
      <c r="D361" s="2365"/>
      <c r="E361" s="2365"/>
      <c r="F361" s="2365"/>
      <c r="G361" s="2365"/>
      <c r="H361" s="2365"/>
      <c r="I361" s="2365"/>
      <c r="J361" s="2365"/>
      <c r="K361" s="2365"/>
      <c r="L361" s="2365"/>
      <c r="M361" s="2365"/>
      <c r="N361" s="2365"/>
      <c r="O361" s="2365"/>
      <c r="P361" s="2365"/>
      <c r="Q361" s="2365"/>
      <c r="R361" s="2365"/>
      <c r="S361" s="2365"/>
      <c r="T361" s="2365"/>
      <c r="U361" s="2365"/>
      <c r="V361" s="2365"/>
      <c r="W361" s="2365"/>
      <c r="X361" s="2365"/>
      <c r="Y361" s="2365"/>
      <c r="Z361" s="2365"/>
      <c r="AA361" s="2365"/>
      <c r="AB361" s="2365"/>
      <c r="AC361" s="2365"/>
      <c r="AD361" s="2365"/>
      <c r="AE361" s="2365"/>
      <c r="AF361" s="2365"/>
      <c r="AG361" s="2365"/>
      <c r="AH361" s="2365"/>
      <c r="AI361" s="2365"/>
      <c r="AJ361" s="2365"/>
      <c r="AK361" s="502"/>
      <c r="AL361" s="502"/>
      <c r="AM361" s="502"/>
      <c r="AN361" s="496"/>
      <c r="AO361" s="594" t="s">
        <v>82</v>
      </c>
      <c r="AP361" s="595">
        <f>IF(C407="Yes",5,0)</f>
        <v>0</v>
      </c>
      <c r="AS361" s="438" t="s">
        <v>2320</v>
      </c>
    </row>
    <row r="362" spans="1:46" s="449" customFormat="1" ht="12.75" customHeight="1">
      <c r="A362" s="502"/>
      <c r="B362" s="510"/>
      <c r="C362" s="2459" t="s">
        <v>2321</v>
      </c>
      <c r="D362" s="2459"/>
      <c r="E362" s="2459"/>
      <c r="F362" s="2459"/>
      <c r="G362" s="2459"/>
      <c r="H362" s="2459"/>
      <c r="I362" s="2459"/>
      <c r="J362" s="2459"/>
      <c r="K362" s="2459"/>
      <c r="L362" s="2459"/>
      <c r="M362" s="2459"/>
      <c r="N362" s="2459"/>
      <c r="O362" s="2459"/>
      <c r="P362" s="2459"/>
      <c r="Q362" s="2459"/>
      <c r="R362" s="2459"/>
      <c r="S362" s="2459"/>
      <c r="T362" s="2459"/>
      <c r="U362" s="2459"/>
      <c r="V362" s="2459"/>
      <c r="W362" s="2459"/>
      <c r="X362" s="2459"/>
      <c r="Y362" s="2459"/>
      <c r="Z362" s="2459"/>
      <c r="AA362" s="2459"/>
      <c r="AB362" s="2459"/>
      <c r="AC362" s="2459"/>
      <c r="AD362" s="2459"/>
      <c r="AE362" s="2459"/>
      <c r="AF362" s="2459"/>
      <c r="AG362" s="2459"/>
      <c r="AH362" s="2459"/>
      <c r="AI362" s="2459"/>
      <c r="AJ362" s="2459"/>
      <c r="AK362" s="502"/>
      <c r="AL362" s="502"/>
      <c r="AM362" s="502"/>
      <c r="AN362" s="496"/>
      <c r="AO362" s="496"/>
      <c r="AP362" s="595">
        <f>IF(C409="Yes",3,0)</f>
        <v>0</v>
      </c>
      <c r="AS362" s="2331">
        <f>IF(AQ366=0,AQ375,AQ366)</f>
        <v>10</v>
      </c>
      <c r="AT362" s="2331"/>
    </row>
    <row r="363" spans="1:46" s="449" customFormat="1" ht="12.75" customHeight="1">
      <c r="A363" s="502"/>
      <c r="B363" s="510"/>
      <c r="C363" s="2459"/>
      <c r="D363" s="2459"/>
      <c r="E363" s="2459"/>
      <c r="F363" s="2459"/>
      <c r="G363" s="2459"/>
      <c r="H363" s="2459"/>
      <c r="I363" s="2459"/>
      <c r="J363" s="2459"/>
      <c r="K363" s="2459"/>
      <c r="L363" s="2459"/>
      <c r="M363" s="2459"/>
      <c r="N363" s="2459"/>
      <c r="O363" s="2459"/>
      <c r="P363" s="2459"/>
      <c r="Q363" s="2459"/>
      <c r="R363" s="2459"/>
      <c r="S363" s="2459"/>
      <c r="T363" s="2459"/>
      <c r="U363" s="2459"/>
      <c r="V363" s="2459"/>
      <c r="W363" s="2459"/>
      <c r="X363" s="2459"/>
      <c r="Y363" s="2459"/>
      <c r="Z363" s="2459"/>
      <c r="AA363" s="2459"/>
      <c r="AB363" s="2459"/>
      <c r="AC363" s="2459"/>
      <c r="AD363" s="2459"/>
      <c r="AE363" s="2459"/>
      <c r="AF363" s="2459"/>
      <c r="AG363" s="2459"/>
      <c r="AH363" s="2459"/>
      <c r="AI363" s="2459"/>
      <c r="AJ363" s="2459"/>
      <c r="AK363" s="502"/>
      <c r="AL363" s="502"/>
      <c r="AM363" s="502"/>
      <c r="AN363" s="496"/>
      <c r="AO363" s="594" t="s">
        <v>86</v>
      </c>
      <c r="AP363" s="595">
        <f>IF(C412="Yes",5,0)</f>
        <v>0</v>
      </c>
    </row>
    <row r="364" spans="1:46" s="449" customFormat="1" ht="12.75" customHeight="1">
      <c r="A364" s="502"/>
      <c r="B364" s="510"/>
      <c r="C364" s="2459"/>
      <c r="D364" s="2459"/>
      <c r="E364" s="2459"/>
      <c r="F364" s="2459"/>
      <c r="G364" s="2459"/>
      <c r="H364" s="2459"/>
      <c r="I364" s="2459"/>
      <c r="J364" s="2459"/>
      <c r="K364" s="2459"/>
      <c r="L364" s="2459"/>
      <c r="M364" s="2459"/>
      <c r="N364" s="2459"/>
      <c r="O364" s="2459"/>
      <c r="P364" s="2459"/>
      <c r="Q364" s="2459"/>
      <c r="R364" s="2459"/>
      <c r="S364" s="2459"/>
      <c r="T364" s="2459"/>
      <c r="U364" s="2459"/>
      <c r="V364" s="2459"/>
      <c r="W364" s="2459"/>
      <c r="X364" s="2459"/>
      <c r="Y364" s="2459"/>
      <c r="Z364" s="2459"/>
      <c r="AA364" s="2459"/>
      <c r="AB364" s="2459"/>
      <c r="AC364" s="2459"/>
      <c r="AD364" s="2459"/>
      <c r="AE364" s="2459"/>
      <c r="AF364" s="2459"/>
      <c r="AG364" s="2459"/>
      <c r="AH364" s="2459"/>
      <c r="AI364" s="2459"/>
      <c r="AJ364" s="2459"/>
      <c r="AK364" s="502"/>
      <c r="AL364" s="502"/>
      <c r="AM364" s="502"/>
      <c r="AN364" s="496"/>
      <c r="AO364" s="594" t="s">
        <v>1402</v>
      </c>
      <c r="AP364" s="595">
        <f>IF(C421="Yes",5,0)</f>
        <v>0</v>
      </c>
    </row>
    <row r="365" spans="1:46" s="449" customFormat="1" ht="12" customHeight="1">
      <c r="A365" s="502"/>
      <c r="B365" s="510"/>
      <c r="C365" s="2459"/>
      <c r="D365" s="2459"/>
      <c r="E365" s="2459"/>
      <c r="F365" s="2459"/>
      <c r="G365" s="2459"/>
      <c r="H365" s="2459"/>
      <c r="I365" s="2459"/>
      <c r="J365" s="2459"/>
      <c r="K365" s="2459"/>
      <c r="L365" s="2459"/>
      <c r="M365" s="2459"/>
      <c r="N365" s="2459"/>
      <c r="O365" s="2459"/>
      <c r="P365" s="2459"/>
      <c r="Q365" s="2459"/>
      <c r="R365" s="2459"/>
      <c r="S365" s="2459"/>
      <c r="T365" s="2459"/>
      <c r="U365" s="2459"/>
      <c r="V365" s="2459"/>
      <c r="W365" s="2459"/>
      <c r="X365" s="2459"/>
      <c r="Y365" s="2459"/>
      <c r="Z365" s="2459"/>
      <c r="AA365" s="2459"/>
      <c r="AB365" s="2459"/>
      <c r="AC365" s="2459"/>
      <c r="AD365" s="2459"/>
      <c r="AE365" s="2459"/>
      <c r="AF365" s="2459"/>
      <c r="AG365" s="2459"/>
      <c r="AH365" s="2459"/>
      <c r="AI365" s="2459"/>
      <c r="AJ365" s="2459"/>
      <c r="AK365" s="502"/>
      <c r="AL365" s="502"/>
      <c r="AM365" s="502"/>
      <c r="AN365" s="496"/>
      <c r="AO365" s="596"/>
      <c r="AP365" s="597">
        <f>IF(C423="Yes",3,0)</f>
        <v>0</v>
      </c>
    </row>
    <row r="366" spans="1:46" s="449" customFormat="1" ht="12.5" customHeight="1">
      <c r="A366" s="502"/>
      <c r="B366" s="510"/>
      <c r="C366" s="2459"/>
      <c r="D366" s="2459"/>
      <c r="E366" s="2459"/>
      <c r="F366" s="2459"/>
      <c r="G366" s="2459"/>
      <c r="H366" s="2459"/>
      <c r="I366" s="2459"/>
      <c r="J366" s="2459"/>
      <c r="K366" s="2459"/>
      <c r="L366" s="2459"/>
      <c r="M366" s="2459"/>
      <c r="N366" s="2459"/>
      <c r="O366" s="2459"/>
      <c r="P366" s="2459"/>
      <c r="Q366" s="2459"/>
      <c r="R366" s="2459"/>
      <c r="S366" s="2459"/>
      <c r="T366" s="2459"/>
      <c r="U366" s="2459"/>
      <c r="V366" s="2459"/>
      <c r="W366" s="2459"/>
      <c r="X366" s="2459"/>
      <c r="Y366" s="2459"/>
      <c r="Z366" s="2459"/>
      <c r="AA366" s="2459"/>
      <c r="AB366" s="2459"/>
      <c r="AC366" s="2459"/>
      <c r="AD366" s="2459"/>
      <c r="AE366" s="2459"/>
      <c r="AF366" s="2459"/>
      <c r="AG366" s="2459"/>
      <c r="AH366" s="2459"/>
      <c r="AI366" s="2459"/>
      <c r="AJ366" s="2459"/>
      <c r="AK366" s="502"/>
      <c r="AL366" s="502"/>
      <c r="AM366" s="502"/>
      <c r="AN366" s="496"/>
      <c r="AO366" s="598" t="s">
        <v>2322</v>
      </c>
      <c r="AP366" s="599">
        <f>SUM(AP357:AP365)</f>
        <v>10</v>
      </c>
      <c r="AQ366" s="2368">
        <f>IF(AP366&gt;0,AP366,0)</f>
        <v>10</v>
      </c>
      <c r="AR366" s="2368"/>
    </row>
    <row r="367" spans="1:46" s="449" customFormat="1" ht="12.75" customHeight="1">
      <c r="A367" s="502"/>
      <c r="B367" s="510"/>
      <c r="C367" s="2459"/>
      <c r="D367" s="2459"/>
      <c r="E367" s="2459"/>
      <c r="F367" s="2459"/>
      <c r="G367" s="2459"/>
      <c r="H367" s="2459"/>
      <c r="I367" s="2459"/>
      <c r="J367" s="2459"/>
      <c r="K367" s="2459"/>
      <c r="L367" s="2459"/>
      <c r="M367" s="2459"/>
      <c r="N367" s="2459"/>
      <c r="O367" s="2459"/>
      <c r="P367" s="2459"/>
      <c r="Q367" s="2459"/>
      <c r="R367" s="2459"/>
      <c r="S367" s="2459"/>
      <c r="T367" s="2459"/>
      <c r="U367" s="2459"/>
      <c r="V367" s="2459"/>
      <c r="W367" s="2459"/>
      <c r="X367" s="2459"/>
      <c r="Y367" s="2459"/>
      <c r="Z367" s="2459"/>
      <c r="AA367" s="2459"/>
      <c r="AB367" s="2459"/>
      <c r="AC367" s="2459"/>
      <c r="AD367" s="2459"/>
      <c r="AE367" s="2459"/>
      <c r="AF367" s="2459"/>
      <c r="AG367" s="2459"/>
      <c r="AH367" s="2459"/>
      <c r="AI367" s="2459"/>
      <c r="AJ367" s="2459"/>
      <c r="AK367" s="502"/>
      <c r="AL367" s="502"/>
      <c r="AM367" s="502"/>
      <c r="AN367" s="496"/>
      <c r="AP367" s="469"/>
    </row>
    <row r="368" spans="1:46" s="449" customFormat="1" ht="12.75" customHeight="1">
      <c r="A368" s="502"/>
      <c r="B368" s="510"/>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02"/>
      <c r="AL368" s="502"/>
      <c r="AM368" s="502"/>
      <c r="AN368" s="496"/>
      <c r="AO368" s="594" t="s">
        <v>1403</v>
      </c>
      <c r="AP368" s="595">
        <f>IF(C430="Yes",5,0)</f>
        <v>0</v>
      </c>
    </row>
    <row r="369" spans="1:81" s="449" customFormat="1" ht="12.75" customHeight="1">
      <c r="A369" s="502"/>
      <c r="B369" s="510"/>
      <c r="C369" s="2365" t="s">
        <v>2323</v>
      </c>
      <c r="D369" s="2365"/>
      <c r="E369" s="2365"/>
      <c r="F369" s="2365"/>
      <c r="G369" s="2365"/>
      <c r="H369" s="2365"/>
      <c r="I369" s="2365"/>
      <c r="J369" s="2365"/>
      <c r="K369" s="2365"/>
      <c r="L369" s="2365"/>
      <c r="M369" s="2365"/>
      <c r="N369" s="2365"/>
      <c r="O369" s="2365"/>
      <c r="P369" s="2365"/>
      <c r="Q369" s="2365"/>
      <c r="R369" s="2365"/>
      <c r="S369" s="2365"/>
      <c r="T369" s="2365"/>
      <c r="U369" s="2365"/>
      <c r="V369" s="2365"/>
      <c r="W369" s="2365"/>
      <c r="X369" s="2365"/>
      <c r="Y369" s="2365"/>
      <c r="Z369" s="2365"/>
      <c r="AA369" s="2365"/>
      <c r="AB369" s="2365"/>
      <c r="AC369" s="2365"/>
      <c r="AD369" s="2365"/>
      <c r="AE369" s="2365"/>
      <c r="AF369" s="2365"/>
      <c r="AG369" s="2365"/>
      <c r="AH369" s="2365"/>
      <c r="AI369" s="2365"/>
      <c r="AJ369" s="2365"/>
      <c r="AK369" s="502"/>
      <c r="AL369" s="502"/>
      <c r="AM369" s="502"/>
      <c r="AN369" s="496"/>
      <c r="AO369" s="594" t="s">
        <v>1405</v>
      </c>
      <c r="AP369" s="595">
        <f>IF(C442="Yes",5,0)</f>
        <v>0</v>
      </c>
    </row>
    <row r="370" spans="1:81" s="449" customFormat="1" ht="12.75" customHeight="1">
      <c r="A370" s="502"/>
      <c r="B370" s="510"/>
      <c r="C370" s="2365"/>
      <c r="D370" s="2365"/>
      <c r="E370" s="2365"/>
      <c r="F370" s="2365"/>
      <c r="G370" s="2365"/>
      <c r="H370" s="2365"/>
      <c r="I370" s="2365"/>
      <c r="J370" s="2365"/>
      <c r="K370" s="2365"/>
      <c r="L370" s="2365"/>
      <c r="M370" s="2365"/>
      <c r="N370" s="2365"/>
      <c r="O370" s="2365"/>
      <c r="P370" s="2365"/>
      <c r="Q370" s="2365"/>
      <c r="R370" s="2365"/>
      <c r="S370" s="2365"/>
      <c r="T370" s="2365"/>
      <c r="U370" s="2365"/>
      <c r="V370" s="2365"/>
      <c r="W370" s="2365"/>
      <c r="X370" s="2365"/>
      <c r="Y370" s="2365"/>
      <c r="Z370" s="2365"/>
      <c r="AA370" s="2365"/>
      <c r="AB370" s="2365"/>
      <c r="AC370" s="2365"/>
      <c r="AD370" s="2365"/>
      <c r="AE370" s="2365"/>
      <c r="AF370" s="2365"/>
      <c r="AG370" s="2365"/>
      <c r="AH370" s="2365"/>
      <c r="AI370" s="2365"/>
      <c r="AJ370" s="2365"/>
      <c r="AK370" s="502"/>
      <c r="AL370" s="502"/>
      <c r="AM370" s="502"/>
      <c r="AN370" s="496"/>
      <c r="AO370" s="594" t="s">
        <v>1406</v>
      </c>
      <c r="AP370" s="595">
        <f>IF(C449="Yes",5,0)</f>
        <v>0</v>
      </c>
    </row>
    <row r="371" spans="1:81" s="449" customFormat="1" ht="68.25" customHeight="1">
      <c r="A371" s="502"/>
      <c r="B371" s="510"/>
      <c r="C371" s="2365"/>
      <c r="D371" s="2365"/>
      <c r="E371" s="2365"/>
      <c r="F371" s="2365"/>
      <c r="G371" s="2365"/>
      <c r="H371" s="2365"/>
      <c r="I371" s="2365"/>
      <c r="J371" s="2365"/>
      <c r="K371" s="2365"/>
      <c r="L371" s="2365"/>
      <c r="M371" s="2365"/>
      <c r="N371" s="2365"/>
      <c r="O371" s="2365"/>
      <c r="P371" s="2365"/>
      <c r="Q371" s="2365"/>
      <c r="R371" s="2365"/>
      <c r="S371" s="2365"/>
      <c r="T371" s="2365"/>
      <c r="U371" s="2365"/>
      <c r="V371" s="2365"/>
      <c r="W371" s="2365"/>
      <c r="X371" s="2365"/>
      <c r="Y371" s="2365"/>
      <c r="Z371" s="2365"/>
      <c r="AA371" s="2365"/>
      <c r="AB371" s="2365"/>
      <c r="AC371" s="2365"/>
      <c r="AD371" s="2365"/>
      <c r="AE371" s="2365"/>
      <c r="AF371" s="2365"/>
      <c r="AG371" s="2365"/>
      <c r="AH371" s="2365"/>
      <c r="AI371" s="2365"/>
      <c r="AJ371" s="2365"/>
      <c r="AK371" s="502"/>
      <c r="AL371" s="502"/>
      <c r="AM371" s="502"/>
      <c r="AN371" s="496"/>
      <c r="AO371" s="594" t="s">
        <v>1408</v>
      </c>
      <c r="AP371" s="600">
        <f>IF(C453="Yes",5,0)</f>
        <v>0</v>
      </c>
    </row>
    <row r="372" spans="1:81" s="449" customFormat="1" ht="12.5" customHeight="1">
      <c r="A372" s="502"/>
      <c r="B372" s="510"/>
      <c r="C372" s="449" t="s">
        <v>2324</v>
      </c>
      <c r="AF372" s="502"/>
      <c r="AG372" s="502"/>
      <c r="AH372" s="502"/>
      <c r="AI372" s="502"/>
      <c r="AJ372" s="502"/>
      <c r="AK372" s="502"/>
      <c r="AL372" s="502"/>
      <c r="AM372" s="502"/>
      <c r="AN372" s="496"/>
      <c r="AO372" s="594" t="s">
        <v>1410</v>
      </c>
      <c r="AP372" s="595">
        <f>IF(C457="Yes",5,0)</f>
        <v>0</v>
      </c>
    </row>
    <row r="373" spans="1:81" s="449" customFormat="1" ht="12.75" customHeight="1">
      <c r="A373" s="502"/>
      <c r="B373" s="510"/>
      <c r="C373" s="601" t="s">
        <v>2325</v>
      </c>
      <c r="D373" s="602"/>
      <c r="E373" s="602"/>
      <c r="F373" s="602"/>
      <c r="G373" s="602"/>
      <c r="H373" s="602"/>
      <c r="I373" s="602"/>
      <c r="J373" s="602"/>
      <c r="K373" s="602"/>
      <c r="L373" s="602"/>
      <c r="M373" s="566"/>
      <c r="N373" s="566"/>
      <c r="O373" s="603"/>
      <c r="P373" s="602"/>
      <c r="Q373" s="602"/>
      <c r="R373" s="566"/>
      <c r="S373" s="566"/>
      <c r="T373" s="602"/>
      <c r="U373" s="2366">
        <f>Application!DU802-U374</f>
        <v>141</v>
      </c>
      <c r="V373" s="2366"/>
      <c r="W373" s="2366"/>
      <c r="X373" s="602"/>
      <c r="Y373" s="602"/>
      <c r="Z373" s="602"/>
      <c r="AA373" s="604"/>
      <c r="AB373" s="605"/>
      <c r="AC373" s="605"/>
      <c r="AD373" s="605"/>
      <c r="AE373" s="502"/>
      <c r="AF373" s="502"/>
      <c r="AG373" s="502"/>
      <c r="AH373" s="502"/>
      <c r="AI373" s="502"/>
      <c r="AJ373" s="502"/>
      <c r="AK373" s="502"/>
      <c r="AL373" s="502"/>
      <c r="AM373" s="502"/>
      <c r="AN373" s="496"/>
      <c r="AO373" s="594" t="s">
        <v>1412</v>
      </c>
      <c r="AP373" s="595">
        <f>IF(C466="Yes",5,0)</f>
        <v>0</v>
      </c>
    </row>
    <row r="374" spans="1:81" s="449" customFormat="1" ht="12.75" customHeight="1">
      <c r="A374" s="502"/>
      <c r="B374" s="510"/>
      <c r="C374" s="606" t="s">
        <v>2326</v>
      </c>
      <c r="D374" s="593"/>
      <c r="E374" s="593"/>
      <c r="F374" s="593"/>
      <c r="G374" s="593"/>
      <c r="H374" s="593"/>
      <c r="I374" s="593"/>
      <c r="J374" s="593"/>
      <c r="K374" s="593"/>
      <c r="L374" s="593"/>
      <c r="M374" s="593"/>
      <c r="N374" s="593"/>
      <c r="O374" s="593"/>
      <c r="P374" s="593"/>
      <c r="Q374" s="593"/>
      <c r="R374" s="593"/>
      <c r="S374" s="593"/>
      <c r="T374" s="593"/>
      <c r="U374" s="2367">
        <f>IF(Application!D211="SRO",Application!DU755,Application!AG756)</f>
        <v>18</v>
      </c>
      <c r="V374" s="2367"/>
      <c r="W374" s="2367"/>
      <c r="X374" s="593"/>
      <c r="Y374" s="593"/>
      <c r="Z374" s="593"/>
      <c r="AA374" s="607"/>
      <c r="AC374" s="608"/>
      <c r="AD374" s="608"/>
      <c r="AE374" s="502"/>
      <c r="AF374" s="502"/>
      <c r="AG374" s="502"/>
      <c r="AH374" s="502"/>
      <c r="AI374" s="502"/>
      <c r="AJ374" s="502"/>
      <c r="AK374" s="502"/>
      <c r="AL374" s="502"/>
      <c r="AM374" s="502"/>
      <c r="AN374" s="496"/>
      <c r="AO374" s="596"/>
      <c r="AP374" s="597"/>
    </row>
    <row r="375" spans="1:81" s="449" customFormat="1" ht="12.75" customHeight="1">
      <c r="A375" s="502"/>
      <c r="B375" s="510"/>
      <c r="C375" s="495"/>
      <c r="U375" s="686"/>
      <c r="V375" s="686"/>
      <c r="W375" s="686"/>
      <c r="AC375" s="608"/>
      <c r="AD375" s="608"/>
      <c r="AE375" s="502"/>
      <c r="AF375" s="502"/>
      <c r="AG375" s="502"/>
      <c r="AH375" s="502"/>
      <c r="AI375" s="502"/>
      <c r="AJ375" s="502"/>
      <c r="AK375" s="502"/>
      <c r="AL375" s="502"/>
      <c r="AM375" s="502"/>
      <c r="AN375" s="496"/>
      <c r="AO375" s="609" t="s">
        <v>2322</v>
      </c>
      <c r="AP375" s="610">
        <f>SUM(AP368:AP373)</f>
        <v>0</v>
      </c>
      <c r="AQ375" s="2368">
        <f>IF(AP375&gt;0,AP375,0)</f>
        <v>0</v>
      </c>
      <c r="AR375" s="2368"/>
    </row>
    <row r="376" spans="1:81" s="449" customFormat="1" ht="12.75" customHeight="1">
      <c r="A376" s="502"/>
      <c r="B376" s="13"/>
      <c r="C376" s="611" t="s">
        <v>2327</v>
      </c>
      <c r="D376" s="502"/>
      <c r="E376" s="502"/>
      <c r="F376" s="502"/>
      <c r="G376" s="502"/>
      <c r="H376" s="502"/>
      <c r="I376" s="502"/>
      <c r="J376" s="502"/>
      <c r="K376" s="502"/>
      <c r="L376" s="502"/>
      <c r="M376" s="502"/>
      <c r="N376" s="502"/>
      <c r="O376" s="502"/>
      <c r="P376" s="502"/>
      <c r="Q376" s="502"/>
      <c r="R376" s="502"/>
      <c r="S376" s="502"/>
      <c r="T376" s="502"/>
      <c r="U376" s="502"/>
      <c r="V376" s="502"/>
      <c r="W376" s="502"/>
      <c r="X376" s="502"/>
      <c r="Y376" s="502"/>
      <c r="Z376" s="502"/>
      <c r="AA376" s="502"/>
      <c r="AB376" s="502"/>
      <c r="AC376" s="502"/>
      <c r="AD376" s="502"/>
      <c r="AE376" s="502"/>
      <c r="AF376" s="502"/>
      <c r="AG376" s="502"/>
      <c r="AH376" s="502"/>
      <c r="AI376" s="502"/>
      <c r="AJ376" s="502"/>
      <c r="AK376" s="502"/>
      <c r="AL376" s="502"/>
      <c r="AM376" s="502"/>
      <c r="AN376" s="496"/>
      <c r="BS376" s="25"/>
      <c r="BT376" s="25"/>
      <c r="BU376" s="13"/>
      <c r="BV376" s="13"/>
      <c r="BW376" s="13"/>
    </row>
    <row r="377" spans="1:81" s="449" customFormat="1" ht="12.75" customHeight="1">
      <c r="A377" s="435"/>
      <c r="B377" s="13"/>
      <c r="C377" s="612"/>
      <c r="D377" s="613"/>
      <c r="E377" s="614" t="s">
        <v>2147</v>
      </c>
      <c r="F377" s="2359" t="s">
        <v>2328</v>
      </c>
      <c r="G377" s="2359"/>
      <c r="H377" s="2359"/>
      <c r="I377" s="2359"/>
      <c r="J377" s="2359"/>
      <c r="K377" s="2359"/>
      <c r="L377" s="2359"/>
      <c r="M377" s="2359"/>
      <c r="N377" s="2359"/>
      <c r="O377" s="2359"/>
      <c r="P377" s="2359"/>
      <c r="Q377" s="2359"/>
      <c r="R377" s="2359"/>
      <c r="S377" s="2359"/>
      <c r="T377" s="2359"/>
      <c r="U377" s="2359"/>
      <c r="V377" s="2359"/>
      <c r="W377" s="2359"/>
      <c r="X377" s="2359"/>
      <c r="Y377" s="2359"/>
      <c r="Z377" s="2359"/>
      <c r="AA377" s="2359"/>
      <c r="AB377" s="2359"/>
      <c r="AC377" s="2359"/>
      <c r="AD377" s="2359"/>
      <c r="AE377" s="2359"/>
      <c r="AF377" s="2359"/>
      <c r="AG377" s="615"/>
      <c r="AH377" s="615"/>
      <c r="AI377" s="615"/>
      <c r="AJ377" s="615"/>
      <c r="AK377" s="615"/>
      <c r="AL377" s="616"/>
      <c r="AM377" s="469"/>
      <c r="AN377" s="496"/>
      <c r="AP377" s="469"/>
      <c r="BS377" s="25"/>
      <c r="BT377" s="25"/>
      <c r="BU377" s="13"/>
      <c r="BV377" s="13"/>
      <c r="BW377" s="13"/>
      <c r="BX377" s="13"/>
      <c r="BY377" s="13"/>
      <c r="BZ377" s="13"/>
      <c r="CA377" s="13"/>
      <c r="CB377" s="13"/>
      <c r="CC377" s="13"/>
    </row>
    <row r="378" spans="1:81" s="449" customFormat="1" ht="12.75" customHeight="1">
      <c r="A378" s="435"/>
      <c r="B378" s="13"/>
      <c r="C378" s="617"/>
      <c r="D378" s="435"/>
      <c r="E378" s="618"/>
      <c r="F378" s="2360"/>
      <c r="G378" s="2360"/>
      <c r="H378" s="2360"/>
      <c r="I378" s="2360"/>
      <c r="J378" s="2360"/>
      <c r="K378" s="2360"/>
      <c r="L378" s="2360"/>
      <c r="M378" s="2360"/>
      <c r="N378" s="2360"/>
      <c r="O378" s="2360"/>
      <c r="P378" s="2360"/>
      <c r="Q378" s="2360"/>
      <c r="R378" s="2360"/>
      <c r="S378" s="2360"/>
      <c r="T378" s="2360"/>
      <c r="U378" s="2360"/>
      <c r="V378" s="2360"/>
      <c r="W378" s="2360"/>
      <c r="X378" s="2360"/>
      <c r="Y378" s="2360"/>
      <c r="Z378" s="2360"/>
      <c r="AA378" s="2360"/>
      <c r="AB378" s="2360"/>
      <c r="AC378" s="2360"/>
      <c r="AD378" s="2360"/>
      <c r="AE378" s="2360"/>
      <c r="AF378" s="2360"/>
      <c r="AG378" s="438"/>
      <c r="AH378" s="438"/>
      <c r="AI378" s="438"/>
      <c r="AJ378" s="438"/>
      <c r="AK378" s="438"/>
      <c r="AL378" s="619"/>
      <c r="AM378" s="469"/>
      <c r="AN378" s="496"/>
      <c r="AP378" s="469"/>
      <c r="BS378" s="25"/>
      <c r="BT378" s="25"/>
      <c r="BU378" s="13"/>
      <c r="BV378" s="13"/>
      <c r="BW378" s="13"/>
      <c r="BX378" s="13"/>
      <c r="BY378" s="13"/>
      <c r="BZ378" s="13"/>
      <c r="CA378" s="13"/>
      <c r="CB378" s="13"/>
      <c r="CC378" s="13"/>
    </row>
    <row r="379" spans="1:81" s="449" customFormat="1" ht="12.75" customHeight="1">
      <c r="A379" s="435"/>
      <c r="B379" s="13"/>
      <c r="C379" s="617"/>
      <c r="D379" s="435"/>
      <c r="E379" s="618"/>
      <c r="F379" s="2360"/>
      <c r="G379" s="2360"/>
      <c r="H379" s="2360"/>
      <c r="I379" s="2360"/>
      <c r="J379" s="2360"/>
      <c r="K379" s="2360"/>
      <c r="L379" s="2360"/>
      <c r="M379" s="2360"/>
      <c r="N379" s="2360"/>
      <c r="O379" s="2360"/>
      <c r="P379" s="2360"/>
      <c r="Q379" s="2360"/>
      <c r="R379" s="2360"/>
      <c r="S379" s="2360"/>
      <c r="T379" s="2360"/>
      <c r="U379" s="2360"/>
      <c r="V379" s="2360"/>
      <c r="W379" s="2360"/>
      <c r="X379" s="2360"/>
      <c r="Y379" s="2360"/>
      <c r="Z379" s="2360"/>
      <c r="AA379" s="2360"/>
      <c r="AB379" s="2360"/>
      <c r="AC379" s="2360"/>
      <c r="AD379" s="2360"/>
      <c r="AE379" s="2360"/>
      <c r="AF379" s="2360"/>
      <c r="AG379" s="438"/>
      <c r="AH379" s="438"/>
      <c r="AI379" s="438"/>
      <c r="AJ379" s="438"/>
      <c r="AK379" s="438"/>
      <c r="AL379" s="619"/>
      <c r="AM379" s="469"/>
      <c r="AN379" s="496"/>
      <c r="BS379" s="25"/>
      <c r="BT379" s="25"/>
      <c r="BU379" s="13"/>
      <c r="BV379" s="13"/>
      <c r="BW379" s="13"/>
      <c r="BX379" s="13"/>
      <c r="BY379" s="13"/>
      <c r="BZ379" s="13"/>
      <c r="CA379" s="13"/>
      <c r="CB379" s="13"/>
      <c r="CC379" s="13"/>
    </row>
    <row r="380" spans="1:81" s="449" customFormat="1" ht="12.75" customHeight="1">
      <c r="A380" s="435"/>
      <c r="B380" s="13"/>
      <c r="C380" s="617"/>
      <c r="D380" s="435"/>
      <c r="E380" s="618"/>
      <c r="F380" s="2360"/>
      <c r="G380" s="2360"/>
      <c r="H380" s="2360"/>
      <c r="I380" s="2360"/>
      <c r="J380" s="2360"/>
      <c r="K380" s="2360"/>
      <c r="L380" s="2360"/>
      <c r="M380" s="2360"/>
      <c r="N380" s="2360"/>
      <c r="O380" s="2360"/>
      <c r="P380" s="2360"/>
      <c r="Q380" s="2360"/>
      <c r="R380" s="2360"/>
      <c r="S380" s="2360"/>
      <c r="T380" s="2360"/>
      <c r="U380" s="2360"/>
      <c r="V380" s="2360"/>
      <c r="W380" s="2360"/>
      <c r="X380" s="2360"/>
      <c r="Y380" s="2360"/>
      <c r="Z380" s="2360"/>
      <c r="AA380" s="2360"/>
      <c r="AB380" s="2360"/>
      <c r="AC380" s="2360"/>
      <c r="AD380" s="2360"/>
      <c r="AE380" s="2360"/>
      <c r="AF380" s="2360"/>
      <c r="AG380" s="438"/>
      <c r="AH380" s="438"/>
      <c r="AI380" s="438"/>
      <c r="AJ380" s="438"/>
      <c r="AK380" s="438"/>
      <c r="AL380" s="619"/>
      <c r="AM380" s="469"/>
      <c r="AN380" s="496"/>
      <c r="BS380" s="25"/>
      <c r="BT380" s="25"/>
      <c r="BU380" s="13"/>
      <c r="BV380" s="13"/>
      <c r="BW380" s="13"/>
      <c r="BX380" s="13"/>
      <c r="BY380" s="13"/>
      <c r="BZ380" s="13"/>
      <c r="CA380" s="13"/>
      <c r="CB380" s="13"/>
      <c r="CC380" s="13"/>
    </row>
    <row r="381" spans="1:81" s="449" customFormat="1" ht="12.75" customHeight="1">
      <c r="A381" s="435"/>
      <c r="B381" s="13"/>
      <c r="C381" s="2369" t="s">
        <v>842</v>
      </c>
      <c r="D381" s="2370"/>
      <c r="E381" s="618"/>
      <c r="F381" s="620" t="s">
        <v>2329</v>
      </c>
      <c r="G381" s="502"/>
      <c r="H381" s="502"/>
      <c r="I381" s="502"/>
      <c r="J381" s="502"/>
      <c r="K381" s="502"/>
      <c r="L381" s="502"/>
      <c r="M381" s="502"/>
      <c r="N381" s="502"/>
      <c r="O381" s="502"/>
      <c r="P381" s="502"/>
      <c r="Q381" s="502"/>
      <c r="R381" s="502"/>
      <c r="S381" s="502"/>
      <c r="T381" s="502"/>
      <c r="U381" s="502"/>
      <c r="V381" s="502"/>
      <c r="W381" s="502"/>
      <c r="X381" s="502"/>
      <c r="Y381" s="502"/>
      <c r="Z381" s="502"/>
      <c r="AA381" s="502"/>
      <c r="AB381" s="502"/>
      <c r="AC381" s="502"/>
      <c r="AD381" s="502"/>
      <c r="AF381" s="2371" t="s">
        <v>2330</v>
      </c>
      <c r="AG381" s="2371"/>
      <c r="AH381" s="2371"/>
      <c r="AI381" s="2371"/>
      <c r="AJ381" s="2371"/>
      <c r="AK381" s="2371"/>
      <c r="AL381" s="2372"/>
      <c r="AM381" s="621"/>
      <c r="BS381" s="25"/>
      <c r="BT381" s="25"/>
      <c r="BU381" s="13"/>
      <c r="BV381" s="13"/>
      <c r="BW381" s="13"/>
      <c r="BX381" s="13"/>
      <c r="BY381" s="13"/>
      <c r="BZ381" s="13"/>
      <c r="CA381" s="13"/>
      <c r="CB381" s="13"/>
      <c r="CC381" s="13"/>
    </row>
    <row r="382" spans="1:81" s="449" customFormat="1" ht="12.75" customHeight="1">
      <c r="A382" s="435"/>
      <c r="B382" s="13"/>
      <c r="C382" s="655"/>
      <c r="D382" s="622"/>
      <c r="E382" s="623"/>
      <c r="F382" s="624"/>
      <c r="G382" s="625"/>
      <c r="H382" s="625"/>
      <c r="I382" s="625"/>
      <c r="J382" s="625"/>
      <c r="K382" s="625"/>
      <c r="L382" s="625"/>
      <c r="M382" s="625"/>
      <c r="N382" s="625"/>
      <c r="O382" s="625"/>
      <c r="P382" s="625"/>
      <c r="Q382" s="625"/>
      <c r="R382" s="625"/>
      <c r="S382" s="625"/>
      <c r="T382" s="625"/>
      <c r="U382" s="625"/>
      <c r="V382" s="625"/>
      <c r="W382" s="625"/>
      <c r="X382" s="625"/>
      <c r="Y382" s="625"/>
      <c r="Z382" s="625"/>
      <c r="AA382" s="625"/>
      <c r="AB382" s="625"/>
      <c r="AC382" s="625"/>
      <c r="AD382" s="625"/>
      <c r="AE382" s="626"/>
      <c r="AF382" s="626"/>
      <c r="AG382" s="626"/>
      <c r="AH382" s="626"/>
      <c r="AI382" s="626"/>
      <c r="AJ382" s="626"/>
      <c r="AK382" s="626"/>
      <c r="AL382" s="656"/>
      <c r="AM382" s="628"/>
      <c r="AN382" s="496"/>
      <c r="CC382" s="13"/>
    </row>
    <row r="383" spans="1:81" s="449" customFormat="1" ht="12.75" customHeight="1">
      <c r="A383" s="435"/>
      <c r="B383" s="13"/>
      <c r="C383" s="629"/>
      <c r="D383" s="629"/>
      <c r="E383" s="618"/>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490"/>
      <c r="AF383" s="490"/>
      <c r="AG383" s="490"/>
      <c r="AH383" s="490"/>
      <c r="AI383" s="490"/>
      <c r="AJ383" s="490"/>
      <c r="AK383" s="490"/>
      <c r="AL383" s="490"/>
      <c r="AM383" s="469"/>
      <c r="AN383" s="496"/>
      <c r="BS383" s="25"/>
      <c r="BT383" s="25"/>
      <c r="BU383" s="13"/>
      <c r="BV383" s="13"/>
      <c r="BW383" s="13"/>
      <c r="BX383" s="13"/>
      <c r="BY383" s="13"/>
      <c r="BZ383" s="13"/>
      <c r="CA383" s="13"/>
      <c r="CB383" s="13"/>
      <c r="CC383" s="13"/>
    </row>
    <row r="384" spans="1:81" s="449" customFormat="1" ht="12.75" customHeight="1">
      <c r="A384" s="435"/>
      <c r="B384" s="13"/>
      <c r="C384" s="612"/>
      <c r="D384" s="613"/>
      <c r="E384" s="614" t="s">
        <v>2150</v>
      </c>
      <c r="F384" s="2359" t="s">
        <v>2331</v>
      </c>
      <c r="G384" s="2359"/>
      <c r="H384" s="2359"/>
      <c r="I384" s="2359"/>
      <c r="J384" s="2359"/>
      <c r="K384" s="2359"/>
      <c r="L384" s="2359"/>
      <c r="M384" s="2359"/>
      <c r="N384" s="2359"/>
      <c r="O384" s="2359"/>
      <c r="P384" s="2359"/>
      <c r="Q384" s="2359"/>
      <c r="R384" s="2359"/>
      <c r="S384" s="2359"/>
      <c r="T384" s="2359"/>
      <c r="U384" s="2359"/>
      <c r="V384" s="2359"/>
      <c r="W384" s="2359"/>
      <c r="X384" s="2359"/>
      <c r="Y384" s="2359"/>
      <c r="Z384" s="2359"/>
      <c r="AA384" s="2359"/>
      <c r="AB384" s="2359"/>
      <c r="AC384" s="2359"/>
      <c r="AD384" s="2359"/>
      <c r="AE384" s="2359"/>
      <c r="AF384" s="2359"/>
      <c r="AG384" s="615"/>
      <c r="AH384" s="615"/>
      <c r="AI384" s="615"/>
      <c r="AJ384" s="615"/>
      <c r="AK384" s="615"/>
      <c r="AL384" s="616"/>
      <c r="AM384" s="469"/>
      <c r="AN384" s="496"/>
      <c r="BS384" s="25"/>
      <c r="BT384" s="25"/>
      <c r="BU384" s="13"/>
      <c r="BV384" s="13"/>
      <c r="BW384" s="13"/>
      <c r="BX384" s="13"/>
      <c r="BY384" s="13"/>
      <c r="BZ384" s="13"/>
      <c r="CA384" s="13"/>
      <c r="CB384" s="13"/>
      <c r="CC384" s="13"/>
    </row>
    <row r="385" spans="1:81" s="449" customFormat="1" ht="12.75" customHeight="1">
      <c r="A385" s="435"/>
      <c r="B385" s="13"/>
      <c r="C385" s="630"/>
      <c r="D385" s="13"/>
      <c r="E385" s="590"/>
      <c r="F385" s="2360"/>
      <c r="G385" s="2360"/>
      <c r="H385" s="2360"/>
      <c r="I385" s="2360"/>
      <c r="J385" s="2360"/>
      <c r="K385" s="2360"/>
      <c r="L385" s="2360"/>
      <c r="M385" s="2360"/>
      <c r="N385" s="2360"/>
      <c r="O385" s="2360"/>
      <c r="P385" s="2360"/>
      <c r="Q385" s="2360"/>
      <c r="R385" s="2360"/>
      <c r="S385" s="2360"/>
      <c r="T385" s="2360"/>
      <c r="U385" s="2360"/>
      <c r="V385" s="2360"/>
      <c r="W385" s="2360"/>
      <c r="X385" s="2360"/>
      <c r="Y385" s="2360"/>
      <c r="Z385" s="2360"/>
      <c r="AA385" s="2360"/>
      <c r="AB385" s="2360"/>
      <c r="AC385" s="2360"/>
      <c r="AD385" s="2360"/>
      <c r="AE385" s="2360"/>
      <c r="AF385" s="2360"/>
      <c r="AG385" s="438"/>
      <c r="AH385" s="438"/>
      <c r="AI385" s="438"/>
      <c r="AJ385" s="438"/>
      <c r="AK385" s="438"/>
      <c r="AL385" s="619"/>
      <c r="AM385" s="469"/>
      <c r="AN385" s="496"/>
      <c r="BS385" s="25"/>
      <c r="BT385" s="25"/>
      <c r="BU385" s="13"/>
      <c r="BV385" s="13"/>
      <c r="BW385" s="13"/>
      <c r="BX385" s="13"/>
      <c r="BY385" s="13"/>
      <c r="BZ385" s="13"/>
      <c r="CA385" s="13"/>
      <c r="CB385" s="13"/>
      <c r="CC385" s="13"/>
    </row>
    <row r="386" spans="1:81" s="449" customFormat="1" ht="12.75" customHeight="1">
      <c r="A386" s="435"/>
      <c r="B386" s="13"/>
      <c r="C386" s="630"/>
      <c r="D386" s="13"/>
      <c r="E386" s="590"/>
      <c r="F386" s="2360"/>
      <c r="G386" s="2360"/>
      <c r="H386" s="2360"/>
      <c r="I386" s="2360"/>
      <c r="J386" s="2360"/>
      <c r="K386" s="2360"/>
      <c r="L386" s="2360"/>
      <c r="M386" s="2360"/>
      <c r="N386" s="2360"/>
      <c r="O386" s="2360"/>
      <c r="P386" s="2360"/>
      <c r="Q386" s="2360"/>
      <c r="R386" s="2360"/>
      <c r="S386" s="2360"/>
      <c r="T386" s="2360"/>
      <c r="U386" s="2360"/>
      <c r="V386" s="2360"/>
      <c r="W386" s="2360"/>
      <c r="X386" s="2360"/>
      <c r="Y386" s="2360"/>
      <c r="Z386" s="2360"/>
      <c r="AA386" s="2360"/>
      <c r="AB386" s="2360"/>
      <c r="AC386" s="2360"/>
      <c r="AD386" s="2360"/>
      <c r="AE386" s="2360"/>
      <c r="AF386" s="2360"/>
      <c r="AG386" s="438"/>
      <c r="AH386" s="438"/>
      <c r="AI386" s="438"/>
      <c r="AJ386" s="438"/>
      <c r="AK386" s="438"/>
      <c r="AL386" s="619"/>
      <c r="AM386" s="469"/>
      <c r="AN386" s="496"/>
      <c r="BS386" s="25"/>
      <c r="BT386" s="25"/>
      <c r="BU386" s="13"/>
      <c r="BV386" s="13"/>
      <c r="BW386" s="13"/>
      <c r="BX386" s="13"/>
      <c r="BY386" s="13"/>
      <c r="BZ386" s="13"/>
      <c r="CA386" s="13"/>
      <c r="CB386" s="13"/>
      <c r="CC386" s="13"/>
    </row>
    <row r="387" spans="1:81" s="449" customFormat="1" ht="12.75" customHeight="1">
      <c r="A387" s="435"/>
      <c r="B387" s="13"/>
      <c r="C387" s="630"/>
      <c r="D387" s="13"/>
      <c r="E387" s="590"/>
      <c r="F387" s="2360"/>
      <c r="G387" s="2360"/>
      <c r="H387" s="2360"/>
      <c r="I387" s="2360"/>
      <c r="J387" s="2360"/>
      <c r="K387" s="2360"/>
      <c r="L387" s="2360"/>
      <c r="M387" s="2360"/>
      <c r="N387" s="2360"/>
      <c r="O387" s="2360"/>
      <c r="P387" s="2360"/>
      <c r="Q387" s="2360"/>
      <c r="R387" s="2360"/>
      <c r="S387" s="2360"/>
      <c r="T387" s="2360"/>
      <c r="U387" s="2360"/>
      <c r="V387" s="2360"/>
      <c r="W387" s="2360"/>
      <c r="X387" s="2360"/>
      <c r="Y387" s="2360"/>
      <c r="Z387" s="2360"/>
      <c r="AA387" s="2360"/>
      <c r="AB387" s="2360"/>
      <c r="AC387" s="2360"/>
      <c r="AD387" s="2360"/>
      <c r="AE387" s="2360"/>
      <c r="AF387" s="2360"/>
      <c r="AG387" s="438"/>
      <c r="AH387" s="438"/>
      <c r="AI387" s="438"/>
      <c r="AJ387" s="438"/>
      <c r="AK387" s="438"/>
      <c r="AL387" s="619"/>
      <c r="AM387" s="469"/>
      <c r="AN387" s="496"/>
      <c r="BS387" s="25"/>
      <c r="BT387" s="25"/>
      <c r="BU387" s="13"/>
      <c r="BV387" s="13"/>
      <c r="BW387" s="13"/>
      <c r="BX387" s="13"/>
      <c r="BY387" s="13"/>
      <c r="BZ387" s="13"/>
      <c r="CA387" s="13"/>
      <c r="CB387" s="13"/>
      <c r="CC387" s="13"/>
    </row>
    <row r="388" spans="1:81" s="449" customFormat="1" ht="12.75" customHeight="1">
      <c r="A388" s="435"/>
      <c r="B388" s="13"/>
      <c r="C388" s="630"/>
      <c r="D388" s="13"/>
      <c r="E388" s="590"/>
      <c r="F388" s="2360"/>
      <c r="G388" s="2360"/>
      <c r="H388" s="2360"/>
      <c r="I388" s="2360"/>
      <c r="J388" s="2360"/>
      <c r="K388" s="2360"/>
      <c r="L388" s="2360"/>
      <c r="M388" s="2360"/>
      <c r="N388" s="2360"/>
      <c r="O388" s="2360"/>
      <c r="P388" s="2360"/>
      <c r="Q388" s="2360"/>
      <c r="R388" s="2360"/>
      <c r="S388" s="2360"/>
      <c r="T388" s="2360"/>
      <c r="U388" s="2360"/>
      <c r="V388" s="2360"/>
      <c r="W388" s="2360"/>
      <c r="X388" s="2360"/>
      <c r="Y388" s="2360"/>
      <c r="Z388" s="2360"/>
      <c r="AA388" s="2360"/>
      <c r="AB388" s="2360"/>
      <c r="AC388" s="2360"/>
      <c r="AD388" s="2360"/>
      <c r="AE388" s="2360"/>
      <c r="AF388" s="2360"/>
      <c r="AL388" s="631"/>
      <c r="AN388" s="496"/>
      <c r="BS388" s="25"/>
      <c r="BT388" s="25"/>
      <c r="BU388" s="13"/>
      <c r="BV388" s="13"/>
      <c r="BW388" s="13"/>
      <c r="BX388" s="13"/>
      <c r="BY388" s="13"/>
      <c r="BZ388" s="13"/>
      <c r="CA388" s="13"/>
      <c r="CB388" s="13"/>
      <c r="CC388" s="13"/>
    </row>
    <row r="389" spans="1:81" s="449" customFormat="1" ht="12.75" customHeight="1">
      <c r="A389" s="435"/>
      <c r="B389" s="13"/>
      <c r="C389" s="2369" t="s">
        <v>807</v>
      </c>
      <c r="D389" s="2370"/>
      <c r="E389" s="590"/>
      <c r="F389" s="620" t="s">
        <v>2332</v>
      </c>
      <c r="G389" s="502"/>
      <c r="H389" s="502"/>
      <c r="I389" s="502"/>
      <c r="J389" s="502"/>
      <c r="K389" s="502"/>
      <c r="L389" s="502"/>
      <c r="M389" s="502"/>
      <c r="N389" s="502"/>
      <c r="O389" s="502"/>
      <c r="P389" s="502"/>
      <c r="Q389" s="502"/>
      <c r="R389" s="502"/>
      <c r="S389" s="502"/>
      <c r="T389" s="502"/>
      <c r="U389" s="502"/>
      <c r="V389" s="502"/>
      <c r="W389" s="502"/>
      <c r="X389" s="502"/>
      <c r="Y389" s="502"/>
      <c r="Z389" s="502"/>
      <c r="AA389" s="502"/>
      <c r="AB389" s="502"/>
      <c r="AC389" s="502"/>
      <c r="AD389" s="502"/>
      <c r="AF389" s="2371" t="s">
        <v>2330</v>
      </c>
      <c r="AG389" s="2371"/>
      <c r="AH389" s="2371"/>
      <c r="AI389" s="2371"/>
      <c r="AJ389" s="2371"/>
      <c r="AK389" s="2371"/>
      <c r="AL389" s="2372"/>
      <c r="AM389" s="628"/>
      <c r="AN389" s="496"/>
      <c r="BS389" s="25"/>
      <c r="BT389" s="25"/>
      <c r="BU389" s="13"/>
      <c r="BV389" s="13"/>
      <c r="BW389" s="13"/>
      <c r="BX389" s="13"/>
      <c r="BY389" s="13"/>
      <c r="BZ389" s="13"/>
      <c r="CA389" s="13"/>
      <c r="CB389" s="13"/>
      <c r="CC389" s="13"/>
    </row>
    <row r="390" spans="1:81" s="449" customFormat="1" ht="12.75" customHeight="1">
      <c r="A390" s="435"/>
      <c r="B390" s="13"/>
      <c r="C390" s="639"/>
      <c r="D390" s="632"/>
      <c r="E390" s="633"/>
      <c r="F390" s="634"/>
      <c r="G390" s="635"/>
      <c r="H390" s="635"/>
      <c r="I390" s="635"/>
      <c r="J390" s="635"/>
      <c r="K390" s="635"/>
      <c r="L390" s="635"/>
      <c r="M390" s="635"/>
      <c r="N390" s="635"/>
      <c r="O390" s="635"/>
      <c r="P390" s="635"/>
      <c r="Q390" s="635"/>
      <c r="R390" s="635"/>
      <c r="S390" s="635"/>
      <c r="T390" s="635"/>
      <c r="U390" s="635"/>
      <c r="V390" s="635"/>
      <c r="W390" s="635"/>
      <c r="X390" s="635"/>
      <c r="Y390" s="635"/>
      <c r="Z390" s="635"/>
      <c r="AA390" s="635"/>
      <c r="AB390" s="635"/>
      <c r="AC390" s="635"/>
      <c r="AD390" s="635"/>
      <c r="AE390" s="636"/>
      <c r="AF390" s="482"/>
      <c r="AG390" s="636"/>
      <c r="AH390" s="626"/>
      <c r="AI390" s="626"/>
      <c r="AJ390" s="626"/>
      <c r="AK390" s="626"/>
      <c r="AL390" s="641"/>
      <c r="AM390" s="628"/>
      <c r="AN390" s="496"/>
      <c r="BS390" s="25"/>
      <c r="BT390" s="25"/>
      <c r="BU390" s="13"/>
      <c r="BV390" s="13"/>
      <c r="BW390" s="13"/>
      <c r="BX390" s="13"/>
      <c r="BY390" s="13"/>
      <c r="BZ390" s="13"/>
      <c r="CA390" s="13"/>
      <c r="CB390" s="13"/>
      <c r="CC390" s="13"/>
    </row>
    <row r="391" spans="1:81" s="449" customFormat="1" ht="12.75" customHeight="1">
      <c r="A391" s="435"/>
      <c r="B391" s="13"/>
      <c r="C391" s="13"/>
      <c r="D391" s="13"/>
      <c r="E391" s="590"/>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435"/>
      <c r="AF391" s="438"/>
      <c r="AG391" s="435"/>
      <c r="AM391" s="469"/>
      <c r="AN391" s="496"/>
      <c r="BS391" s="25"/>
      <c r="BT391" s="25"/>
      <c r="BU391" s="13"/>
      <c r="BV391" s="13"/>
      <c r="BW391" s="13"/>
      <c r="BX391" s="13"/>
      <c r="BY391" s="13"/>
      <c r="BZ391" s="13"/>
      <c r="CA391" s="13"/>
      <c r="CB391" s="13"/>
      <c r="CC391" s="13"/>
    </row>
    <row r="392" spans="1:81" s="449" customFormat="1" ht="12.75" customHeight="1">
      <c r="A392" s="435"/>
      <c r="B392" s="13"/>
      <c r="C392" s="612"/>
      <c r="D392" s="613"/>
      <c r="E392" s="614" t="s">
        <v>2156</v>
      </c>
      <c r="F392" s="2359" t="s">
        <v>2333</v>
      </c>
      <c r="G392" s="2359"/>
      <c r="H392" s="2359"/>
      <c r="I392" s="2359"/>
      <c r="J392" s="2359"/>
      <c r="K392" s="2359"/>
      <c r="L392" s="2359"/>
      <c r="M392" s="2359"/>
      <c r="N392" s="2359"/>
      <c r="O392" s="2359"/>
      <c r="P392" s="2359"/>
      <c r="Q392" s="2359"/>
      <c r="R392" s="2359"/>
      <c r="S392" s="2359"/>
      <c r="T392" s="2359"/>
      <c r="U392" s="2359"/>
      <c r="V392" s="2359"/>
      <c r="W392" s="2359"/>
      <c r="X392" s="2359"/>
      <c r="Y392" s="2359"/>
      <c r="Z392" s="2359"/>
      <c r="AA392" s="2359"/>
      <c r="AB392" s="2359"/>
      <c r="AC392" s="2359"/>
      <c r="AD392" s="2359"/>
      <c r="AE392" s="2359"/>
      <c r="AF392" s="2359"/>
      <c r="AG392" s="615"/>
      <c r="AH392" s="615"/>
      <c r="AI392" s="615"/>
      <c r="AJ392" s="615"/>
      <c r="AK392" s="615"/>
      <c r="AL392" s="616"/>
      <c r="AM392" s="469"/>
      <c r="AN392" s="496"/>
      <c r="BS392" s="469"/>
      <c r="BT392" s="469"/>
      <c r="BU392" s="469"/>
      <c r="BV392" s="469"/>
      <c r="BW392" s="469"/>
      <c r="BX392" s="469"/>
      <c r="BY392" s="469"/>
      <c r="BZ392" s="469"/>
      <c r="CA392" s="469"/>
      <c r="CB392" s="469"/>
      <c r="CC392" s="469"/>
    </row>
    <row r="393" spans="1:81" s="449" customFormat="1" ht="12.75" customHeight="1">
      <c r="A393" s="435"/>
      <c r="B393" s="13"/>
      <c r="C393" s="630"/>
      <c r="D393" s="13"/>
      <c r="E393" s="590"/>
      <c r="F393" s="2360"/>
      <c r="G393" s="2360"/>
      <c r="H393" s="2360"/>
      <c r="I393" s="2360"/>
      <c r="J393" s="2360"/>
      <c r="K393" s="2360"/>
      <c r="L393" s="2360"/>
      <c r="M393" s="2360"/>
      <c r="N393" s="2360"/>
      <c r="O393" s="2360"/>
      <c r="P393" s="2360"/>
      <c r="Q393" s="2360"/>
      <c r="R393" s="2360"/>
      <c r="S393" s="2360"/>
      <c r="T393" s="2360"/>
      <c r="U393" s="2360"/>
      <c r="V393" s="2360"/>
      <c r="W393" s="2360"/>
      <c r="X393" s="2360"/>
      <c r="Y393" s="2360"/>
      <c r="Z393" s="2360"/>
      <c r="AA393" s="2360"/>
      <c r="AB393" s="2360"/>
      <c r="AC393" s="2360"/>
      <c r="AD393" s="2360"/>
      <c r="AE393" s="2360"/>
      <c r="AF393" s="2360"/>
      <c r="AG393" s="438"/>
      <c r="AH393" s="438"/>
      <c r="AI393" s="438"/>
      <c r="AJ393" s="438"/>
      <c r="AK393" s="438"/>
      <c r="AL393" s="619"/>
      <c r="AM393" s="469"/>
      <c r="AN393" s="496"/>
      <c r="BS393" s="469"/>
      <c r="BT393" s="469"/>
      <c r="BU393" s="469"/>
      <c r="BV393" s="469"/>
      <c r="BW393" s="469"/>
      <c r="BX393" s="469"/>
      <c r="BY393" s="469"/>
      <c r="BZ393" s="469"/>
      <c r="CA393" s="469"/>
      <c r="CB393" s="469"/>
      <c r="CC393" s="469"/>
    </row>
    <row r="394" spans="1:81" s="449" customFormat="1" ht="12.75" customHeight="1">
      <c r="A394" s="435"/>
      <c r="B394" s="13"/>
      <c r="C394" s="630"/>
      <c r="D394" s="13"/>
      <c r="E394" s="590"/>
      <c r="F394" s="2360"/>
      <c r="G394" s="2360"/>
      <c r="H394" s="2360"/>
      <c r="I394" s="2360"/>
      <c r="J394" s="2360"/>
      <c r="K394" s="2360"/>
      <c r="L394" s="2360"/>
      <c r="M394" s="2360"/>
      <c r="N394" s="2360"/>
      <c r="O394" s="2360"/>
      <c r="P394" s="2360"/>
      <c r="Q394" s="2360"/>
      <c r="R394" s="2360"/>
      <c r="S394" s="2360"/>
      <c r="T394" s="2360"/>
      <c r="U394" s="2360"/>
      <c r="V394" s="2360"/>
      <c r="W394" s="2360"/>
      <c r="X394" s="2360"/>
      <c r="Y394" s="2360"/>
      <c r="Z394" s="2360"/>
      <c r="AA394" s="2360"/>
      <c r="AB394" s="2360"/>
      <c r="AC394" s="2360"/>
      <c r="AD394" s="2360"/>
      <c r="AE394" s="2360"/>
      <c r="AF394" s="2360"/>
      <c r="AG394" s="438"/>
      <c r="AH394" s="438"/>
      <c r="AI394" s="438"/>
      <c r="AJ394" s="438"/>
      <c r="AK394" s="438"/>
      <c r="AL394" s="619"/>
      <c r="AM394" s="469"/>
      <c r="AN394" s="496"/>
      <c r="BS394" s="469"/>
      <c r="BT394" s="469"/>
      <c r="BU394" s="469"/>
      <c r="BV394" s="469"/>
      <c r="BW394" s="469"/>
      <c r="BX394" s="469"/>
      <c r="BY394" s="469"/>
      <c r="BZ394" s="469"/>
      <c r="CA394" s="469"/>
      <c r="CB394" s="469"/>
      <c r="CC394" s="469"/>
    </row>
    <row r="395" spans="1:81" s="449" customFormat="1" ht="12.75" customHeight="1">
      <c r="A395" s="435"/>
      <c r="B395" s="13"/>
      <c r="C395" s="630"/>
      <c r="D395" s="13"/>
      <c r="E395" s="590"/>
      <c r="F395" s="2360"/>
      <c r="G395" s="2360"/>
      <c r="H395" s="2360"/>
      <c r="I395" s="2360"/>
      <c r="J395" s="2360"/>
      <c r="K395" s="2360"/>
      <c r="L395" s="2360"/>
      <c r="M395" s="2360"/>
      <c r="N395" s="2360"/>
      <c r="O395" s="2360"/>
      <c r="P395" s="2360"/>
      <c r="Q395" s="2360"/>
      <c r="R395" s="2360"/>
      <c r="S395" s="2360"/>
      <c r="T395" s="2360"/>
      <c r="U395" s="2360"/>
      <c r="V395" s="2360"/>
      <c r="W395" s="2360"/>
      <c r="X395" s="2360"/>
      <c r="Y395" s="2360"/>
      <c r="Z395" s="2360"/>
      <c r="AA395" s="2360"/>
      <c r="AB395" s="2360"/>
      <c r="AC395" s="2360"/>
      <c r="AD395" s="2360"/>
      <c r="AE395" s="2360"/>
      <c r="AF395" s="2360"/>
      <c r="AG395" s="438"/>
      <c r="AH395" s="438"/>
      <c r="AI395" s="438"/>
      <c r="AJ395" s="438"/>
      <c r="AK395" s="438"/>
      <c r="AL395" s="619"/>
      <c r="AM395" s="469"/>
      <c r="AN395" s="496"/>
      <c r="BS395" s="469"/>
      <c r="BT395" s="469"/>
      <c r="BU395" s="469"/>
      <c r="BV395" s="469"/>
      <c r="BW395" s="469"/>
      <c r="BX395" s="469"/>
      <c r="BY395" s="469"/>
      <c r="BZ395" s="469"/>
      <c r="CA395" s="469"/>
      <c r="CB395" s="469"/>
      <c r="CC395" s="469"/>
    </row>
    <row r="396" spans="1:81" s="449" customFormat="1" ht="12.75" customHeight="1">
      <c r="A396" s="435"/>
      <c r="B396" s="13"/>
      <c r="C396" s="630"/>
      <c r="D396" s="13"/>
      <c r="E396" s="590"/>
      <c r="F396" s="2360"/>
      <c r="G396" s="2360"/>
      <c r="H396" s="2360"/>
      <c r="I396" s="2360"/>
      <c r="J396" s="2360"/>
      <c r="K396" s="2360"/>
      <c r="L396" s="2360"/>
      <c r="M396" s="2360"/>
      <c r="N396" s="2360"/>
      <c r="O396" s="2360"/>
      <c r="P396" s="2360"/>
      <c r="Q396" s="2360"/>
      <c r="R396" s="2360"/>
      <c r="S396" s="2360"/>
      <c r="T396" s="2360"/>
      <c r="U396" s="2360"/>
      <c r="V396" s="2360"/>
      <c r="W396" s="2360"/>
      <c r="X396" s="2360"/>
      <c r="Y396" s="2360"/>
      <c r="Z396" s="2360"/>
      <c r="AA396" s="2360"/>
      <c r="AB396" s="2360"/>
      <c r="AC396" s="2360"/>
      <c r="AD396" s="2360"/>
      <c r="AE396" s="2360"/>
      <c r="AF396" s="2360"/>
      <c r="AG396" s="438"/>
      <c r="AH396" s="438"/>
      <c r="AI396" s="438"/>
      <c r="AJ396" s="438"/>
      <c r="AK396" s="438"/>
      <c r="AL396" s="619"/>
      <c r="AM396" s="469"/>
      <c r="AN396" s="496"/>
      <c r="BS396" s="469"/>
      <c r="BT396" s="469"/>
      <c r="BU396" s="469"/>
      <c r="BV396" s="469"/>
      <c r="BW396" s="469"/>
      <c r="BX396" s="469"/>
      <c r="BY396" s="469"/>
      <c r="BZ396" s="469"/>
      <c r="CA396" s="469"/>
      <c r="CB396" s="469"/>
      <c r="CC396" s="469"/>
    </row>
    <row r="397" spans="1:81" s="449" customFormat="1" ht="12.75" customHeight="1">
      <c r="A397" s="435"/>
      <c r="B397" s="13"/>
      <c r="C397" s="2369" t="s">
        <v>807</v>
      </c>
      <c r="D397" s="2370"/>
      <c r="E397" s="590"/>
      <c r="F397" s="620" t="s">
        <v>2334</v>
      </c>
      <c r="G397" s="502"/>
      <c r="H397" s="502"/>
      <c r="I397" s="502"/>
      <c r="J397" s="502"/>
      <c r="K397" s="502"/>
      <c r="L397" s="502"/>
      <c r="M397" s="502"/>
      <c r="N397" s="502"/>
      <c r="O397" s="502"/>
      <c r="P397" s="502"/>
      <c r="Q397" s="502"/>
      <c r="R397" s="502"/>
      <c r="S397" s="502"/>
      <c r="T397" s="502"/>
      <c r="U397" s="502"/>
      <c r="V397" s="502"/>
      <c r="W397" s="502"/>
      <c r="X397" s="502"/>
      <c r="Y397" s="502"/>
      <c r="Z397" s="502"/>
      <c r="AA397" s="502"/>
      <c r="AB397" s="502"/>
      <c r="AC397" s="502"/>
      <c r="AD397" s="502"/>
      <c r="AF397" s="2371" t="s">
        <v>2335</v>
      </c>
      <c r="AG397" s="2371"/>
      <c r="AH397" s="2371"/>
      <c r="AI397" s="2371"/>
      <c r="AJ397" s="2371"/>
      <c r="AK397" s="2371"/>
      <c r="AL397" s="2372"/>
      <c r="AM397" s="621"/>
      <c r="BS397" s="469"/>
      <c r="BT397" s="469"/>
      <c r="BU397" s="469"/>
      <c r="BV397" s="469"/>
      <c r="BW397" s="469"/>
      <c r="BX397" s="469"/>
      <c r="BY397" s="469"/>
      <c r="BZ397" s="469"/>
      <c r="CA397" s="469"/>
      <c r="CB397" s="469"/>
      <c r="CC397" s="469"/>
    </row>
    <row r="398" spans="1:81" s="449" customFormat="1" ht="12.75" customHeight="1">
      <c r="A398" s="435"/>
      <c r="B398" s="13"/>
      <c r="C398" s="630"/>
      <c r="D398" s="13"/>
      <c r="E398" s="590"/>
      <c r="F398" s="472"/>
      <c r="G398" s="472"/>
      <c r="H398" s="472"/>
      <c r="I398" s="472"/>
      <c r="J398" s="472"/>
      <c r="K398" s="472"/>
      <c r="L398" s="472"/>
      <c r="M398" s="472"/>
      <c r="N398" s="472"/>
      <c r="O398" s="472"/>
      <c r="P398" s="472"/>
      <c r="Q398" s="472"/>
      <c r="R398" s="472"/>
      <c r="S398" s="472"/>
      <c r="T398" s="472"/>
      <c r="U398" s="472"/>
      <c r="V398" s="472"/>
      <c r="W398" s="472"/>
      <c r="X398" s="472"/>
      <c r="Y398" s="472"/>
      <c r="Z398" s="472"/>
      <c r="AA398" s="472"/>
      <c r="AB398" s="472"/>
      <c r="AC398" s="472"/>
      <c r="AD398" s="472"/>
      <c r="AL398" s="631"/>
      <c r="AM398" s="469"/>
      <c r="AN398" s="496"/>
      <c r="BS398" s="469"/>
      <c r="BT398" s="469"/>
      <c r="BU398" s="469"/>
      <c r="BV398" s="469"/>
      <c r="BW398" s="469"/>
      <c r="BX398" s="469"/>
      <c r="BY398" s="469"/>
      <c r="BZ398" s="469"/>
      <c r="CA398" s="469"/>
      <c r="CB398" s="469"/>
      <c r="CC398" s="469"/>
    </row>
    <row r="399" spans="1:81" s="449" customFormat="1" ht="12.75" customHeight="1">
      <c r="A399" s="435"/>
      <c r="B399" s="13"/>
      <c r="C399" s="2369" t="s">
        <v>842</v>
      </c>
      <c r="D399" s="2370"/>
      <c r="E399" s="590"/>
      <c r="F399" s="637" t="s">
        <v>2336</v>
      </c>
      <c r="G399" s="472"/>
      <c r="H399" s="472"/>
      <c r="I399" s="472"/>
      <c r="J399" s="472"/>
      <c r="K399" s="472"/>
      <c r="L399" s="472"/>
      <c r="M399" s="472"/>
      <c r="N399" s="472"/>
      <c r="O399" s="472"/>
      <c r="P399" s="472"/>
      <c r="Q399" s="472"/>
      <c r="R399" s="472"/>
      <c r="S399" s="472"/>
      <c r="T399" s="472"/>
      <c r="U399" s="472"/>
      <c r="V399" s="472"/>
      <c r="W399" s="472"/>
      <c r="X399" s="472"/>
      <c r="Y399" s="472"/>
      <c r="Z399" s="472"/>
      <c r="AA399" s="472"/>
      <c r="AB399" s="472"/>
      <c r="AC399" s="472"/>
      <c r="AD399" s="472"/>
      <c r="AF399" s="2371" t="s">
        <v>2330</v>
      </c>
      <c r="AG399" s="2371"/>
      <c r="AH399" s="2371"/>
      <c r="AI399" s="2371"/>
      <c r="AJ399" s="2371"/>
      <c r="AK399" s="2371"/>
      <c r="AL399" s="2372"/>
      <c r="AM399" s="469"/>
      <c r="AN399" s="496"/>
      <c r="BS399" s="469"/>
      <c r="BT399" s="469"/>
      <c r="BU399" s="469"/>
    </row>
    <row r="400" spans="1:81" s="449" customFormat="1" ht="12.75" customHeight="1">
      <c r="A400" s="435"/>
      <c r="B400" s="13"/>
      <c r="C400" s="638"/>
      <c r="E400" s="590"/>
      <c r="G400" s="472"/>
      <c r="H400" s="472"/>
      <c r="I400" s="472"/>
      <c r="J400" s="472"/>
      <c r="K400" s="472"/>
      <c r="L400" s="472"/>
      <c r="M400" s="472"/>
      <c r="N400" s="472"/>
      <c r="O400" s="472"/>
      <c r="P400" s="472"/>
      <c r="Q400" s="472"/>
      <c r="R400" s="472"/>
      <c r="S400" s="472"/>
      <c r="T400" s="472"/>
      <c r="U400" s="472"/>
      <c r="V400" s="472"/>
      <c r="W400" s="472"/>
      <c r="X400" s="472"/>
      <c r="Y400" s="472"/>
      <c r="Z400" s="472"/>
      <c r="AA400" s="472"/>
      <c r="AB400" s="472"/>
      <c r="AC400" s="472"/>
      <c r="AD400" s="472"/>
      <c r="AL400" s="631"/>
      <c r="AM400" s="469"/>
      <c r="AN400" s="496"/>
      <c r="BS400" s="469"/>
      <c r="BT400" s="469"/>
      <c r="BU400" s="469"/>
    </row>
    <row r="401" spans="1:81" s="449" customFormat="1" ht="12.75" customHeight="1">
      <c r="A401" s="435"/>
      <c r="B401" s="13"/>
      <c r="C401" s="639"/>
      <c r="D401" s="632"/>
      <c r="E401" s="633"/>
      <c r="F401" s="640" t="s">
        <v>2337</v>
      </c>
      <c r="G401" s="634"/>
      <c r="H401" s="634"/>
      <c r="I401" s="634"/>
      <c r="J401" s="634"/>
      <c r="K401" s="634"/>
      <c r="L401" s="634"/>
      <c r="M401" s="634"/>
      <c r="N401" s="634"/>
      <c r="O401" s="634"/>
      <c r="P401" s="634"/>
      <c r="Q401" s="634"/>
      <c r="R401" s="634"/>
      <c r="S401" s="634"/>
      <c r="T401" s="634"/>
      <c r="U401" s="634"/>
      <c r="V401" s="634"/>
      <c r="W401" s="634"/>
      <c r="X401" s="634"/>
      <c r="Y401" s="634"/>
      <c r="Z401" s="634"/>
      <c r="AA401" s="634"/>
      <c r="AB401" s="634"/>
      <c r="AC401" s="634"/>
      <c r="AD401" s="634"/>
      <c r="AE401" s="636"/>
      <c r="AF401" s="482"/>
      <c r="AG401" s="636"/>
      <c r="AH401" s="626"/>
      <c r="AI401" s="626"/>
      <c r="AJ401" s="626"/>
      <c r="AK401" s="626"/>
      <c r="AL401" s="641"/>
      <c r="AM401" s="469"/>
      <c r="AN401" s="496"/>
      <c r="BS401" s="469"/>
      <c r="BT401" s="469"/>
      <c r="BU401" s="469"/>
    </row>
    <row r="402" spans="1:81" s="449" customFormat="1" ht="12.75" customHeight="1">
      <c r="A402" s="435"/>
      <c r="B402" s="13"/>
      <c r="C402" s="13"/>
      <c r="D402" s="13"/>
      <c r="E402" s="590"/>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435"/>
      <c r="AF402" s="438"/>
      <c r="AG402" s="435"/>
      <c r="AM402" s="469"/>
      <c r="AN402" s="496"/>
      <c r="BS402" s="469"/>
      <c r="BT402" s="469"/>
      <c r="BU402" s="469"/>
    </row>
    <row r="403" spans="1:81" s="449" customFormat="1" ht="12.75" customHeight="1">
      <c r="A403" s="435"/>
      <c r="B403" s="13"/>
      <c r="C403" s="612"/>
      <c r="D403" s="613"/>
      <c r="E403" s="614" t="s">
        <v>2338</v>
      </c>
      <c r="F403" s="2359" t="s">
        <v>2339</v>
      </c>
      <c r="G403" s="2359"/>
      <c r="H403" s="2359"/>
      <c r="I403" s="2359"/>
      <c r="J403" s="2359"/>
      <c r="K403" s="2359"/>
      <c r="L403" s="2359"/>
      <c r="M403" s="2359"/>
      <c r="N403" s="2359"/>
      <c r="O403" s="2359"/>
      <c r="P403" s="2359"/>
      <c r="Q403" s="2359"/>
      <c r="R403" s="2359"/>
      <c r="S403" s="2359"/>
      <c r="T403" s="2359"/>
      <c r="U403" s="2359"/>
      <c r="V403" s="2359"/>
      <c r="W403" s="2359"/>
      <c r="X403" s="2359"/>
      <c r="Y403" s="2359"/>
      <c r="Z403" s="2359"/>
      <c r="AA403" s="2359"/>
      <c r="AB403" s="2359"/>
      <c r="AC403" s="2359"/>
      <c r="AD403" s="2359"/>
      <c r="AE403" s="2359"/>
      <c r="AF403" s="2359"/>
      <c r="AG403" s="615"/>
      <c r="AH403" s="615"/>
      <c r="AI403" s="615"/>
      <c r="AJ403" s="615"/>
      <c r="AK403" s="615"/>
      <c r="AL403" s="616"/>
      <c r="AM403" s="469"/>
      <c r="AN403" s="496"/>
      <c r="BS403" s="469"/>
      <c r="BT403" s="469"/>
      <c r="BU403" s="469"/>
      <c r="BV403" s="469"/>
      <c r="BW403" s="469"/>
      <c r="BX403" s="469"/>
      <c r="BY403" s="469"/>
      <c r="BZ403" s="469"/>
      <c r="CA403" s="469"/>
      <c r="CB403" s="469"/>
      <c r="CC403" s="469"/>
    </row>
    <row r="404" spans="1:81" s="449" customFormat="1" ht="12.75" customHeight="1">
      <c r="A404" s="435"/>
      <c r="B404" s="13"/>
      <c r="C404" s="630"/>
      <c r="D404" s="13"/>
      <c r="E404" s="590"/>
      <c r="F404" s="2360"/>
      <c r="G404" s="2360"/>
      <c r="H404" s="2360"/>
      <c r="I404" s="2360"/>
      <c r="J404" s="2360"/>
      <c r="K404" s="2360"/>
      <c r="L404" s="2360"/>
      <c r="M404" s="2360"/>
      <c r="N404" s="2360"/>
      <c r="O404" s="2360"/>
      <c r="P404" s="2360"/>
      <c r="Q404" s="2360"/>
      <c r="R404" s="2360"/>
      <c r="S404" s="2360"/>
      <c r="T404" s="2360"/>
      <c r="U404" s="2360"/>
      <c r="V404" s="2360"/>
      <c r="W404" s="2360"/>
      <c r="X404" s="2360"/>
      <c r="Y404" s="2360"/>
      <c r="Z404" s="2360"/>
      <c r="AA404" s="2360"/>
      <c r="AB404" s="2360"/>
      <c r="AC404" s="2360"/>
      <c r="AD404" s="2360"/>
      <c r="AE404" s="2360"/>
      <c r="AF404" s="2360"/>
      <c r="AG404" s="438"/>
      <c r="AH404" s="438"/>
      <c r="AI404" s="438"/>
      <c r="AJ404" s="438"/>
      <c r="AK404" s="438"/>
      <c r="AL404" s="619"/>
      <c r="AM404" s="469"/>
      <c r="AN404" s="496"/>
      <c r="BS404" s="469"/>
      <c r="BT404" s="469"/>
      <c r="BU404" s="469"/>
      <c r="BV404" s="469"/>
      <c r="BW404" s="469"/>
      <c r="BX404" s="469"/>
      <c r="BY404" s="469"/>
      <c r="BZ404" s="469"/>
      <c r="CA404" s="469"/>
      <c r="CB404" s="469"/>
      <c r="CC404" s="469"/>
    </row>
    <row r="405" spans="1:81" ht="13">
      <c r="A405" s="435"/>
      <c r="C405" s="630"/>
      <c r="E405" s="590"/>
      <c r="F405" s="2360"/>
      <c r="G405" s="2360"/>
      <c r="H405" s="2360"/>
      <c r="I405" s="2360"/>
      <c r="J405" s="2360"/>
      <c r="K405" s="2360"/>
      <c r="L405" s="2360"/>
      <c r="M405" s="2360"/>
      <c r="N405" s="2360"/>
      <c r="O405" s="2360"/>
      <c r="P405" s="2360"/>
      <c r="Q405" s="2360"/>
      <c r="R405" s="2360"/>
      <c r="S405" s="2360"/>
      <c r="T405" s="2360"/>
      <c r="U405" s="2360"/>
      <c r="V405" s="2360"/>
      <c r="W405" s="2360"/>
      <c r="X405" s="2360"/>
      <c r="Y405" s="2360"/>
      <c r="Z405" s="2360"/>
      <c r="AA405" s="2360"/>
      <c r="AB405" s="2360"/>
      <c r="AC405" s="2360"/>
      <c r="AD405" s="2360"/>
      <c r="AE405" s="2360"/>
      <c r="AF405" s="2360"/>
      <c r="AG405" s="438"/>
      <c r="AH405" s="438"/>
      <c r="AI405" s="438"/>
      <c r="AJ405" s="438"/>
      <c r="AK405" s="438"/>
      <c r="AL405" s="619"/>
      <c r="AM405" s="469"/>
      <c r="BS405" s="469"/>
      <c r="BT405" s="469"/>
      <c r="BU405" s="469"/>
      <c r="BV405" s="469"/>
      <c r="BW405" s="469"/>
      <c r="BX405" s="469"/>
      <c r="BY405" s="469"/>
      <c r="BZ405" s="469"/>
      <c r="CA405" s="469"/>
      <c r="CB405" s="469"/>
      <c r="CC405" s="469"/>
    </row>
    <row r="406" spans="1:81" s="449" customFormat="1" ht="12.75" customHeight="1">
      <c r="A406" s="435"/>
      <c r="B406" s="13"/>
      <c r="C406" s="630"/>
      <c r="D406" s="13"/>
      <c r="E406" s="590"/>
      <c r="F406" s="2360"/>
      <c r="G406" s="2360"/>
      <c r="H406" s="2360"/>
      <c r="I406" s="2360"/>
      <c r="J406" s="2360"/>
      <c r="K406" s="2360"/>
      <c r="L406" s="2360"/>
      <c r="M406" s="2360"/>
      <c r="N406" s="2360"/>
      <c r="O406" s="2360"/>
      <c r="P406" s="2360"/>
      <c r="Q406" s="2360"/>
      <c r="R406" s="2360"/>
      <c r="S406" s="2360"/>
      <c r="T406" s="2360"/>
      <c r="U406" s="2360"/>
      <c r="V406" s="2360"/>
      <c r="W406" s="2360"/>
      <c r="X406" s="2360"/>
      <c r="Y406" s="2360"/>
      <c r="Z406" s="2360"/>
      <c r="AA406" s="2360"/>
      <c r="AB406" s="2360"/>
      <c r="AC406" s="2360"/>
      <c r="AD406" s="2360"/>
      <c r="AE406" s="2360"/>
      <c r="AF406" s="2360"/>
      <c r="AG406" s="438"/>
      <c r="AH406" s="438"/>
      <c r="AI406" s="438"/>
      <c r="AJ406" s="438"/>
      <c r="AK406" s="438"/>
      <c r="AL406" s="619"/>
      <c r="AM406" s="469"/>
      <c r="AN406" s="496"/>
      <c r="BS406" s="469"/>
      <c r="BT406" s="469"/>
      <c r="BY406" s="469"/>
      <c r="BZ406" s="469"/>
      <c r="CA406" s="469"/>
      <c r="CB406" s="469"/>
      <c r="CC406" s="469"/>
    </row>
    <row r="407" spans="1:81" s="449" customFormat="1" ht="12.75" customHeight="1">
      <c r="A407" s="435"/>
      <c r="B407" s="13"/>
      <c r="C407" s="2369" t="s">
        <v>807</v>
      </c>
      <c r="D407" s="2370"/>
      <c r="E407" s="590"/>
      <c r="F407" s="620" t="s">
        <v>2340</v>
      </c>
      <c r="G407" s="502"/>
      <c r="H407" s="502"/>
      <c r="I407" s="502"/>
      <c r="J407" s="502"/>
      <c r="K407" s="502"/>
      <c r="L407" s="502"/>
      <c r="M407" s="502"/>
      <c r="N407" s="502"/>
      <c r="O407" s="502"/>
      <c r="P407" s="502"/>
      <c r="Q407" s="502"/>
      <c r="R407" s="502"/>
      <c r="S407" s="502"/>
      <c r="T407" s="502"/>
      <c r="U407" s="502"/>
      <c r="V407" s="502"/>
      <c r="W407" s="502"/>
      <c r="X407" s="502"/>
      <c r="Y407" s="502"/>
      <c r="Z407" s="502"/>
      <c r="AA407" s="502"/>
      <c r="AB407" s="502"/>
      <c r="AC407" s="502"/>
      <c r="AD407" s="502"/>
      <c r="AF407" s="2371" t="s">
        <v>2330</v>
      </c>
      <c r="AG407" s="2371"/>
      <c r="AH407" s="2371"/>
      <c r="AI407" s="2371"/>
      <c r="AJ407" s="2371"/>
      <c r="AK407" s="2371"/>
      <c r="AL407" s="2372"/>
      <c r="AM407" s="469"/>
      <c r="AN407" s="496"/>
      <c r="BS407" s="469"/>
      <c r="BT407" s="469"/>
      <c r="BY407" s="469"/>
      <c r="BZ407" s="469"/>
      <c r="CA407" s="469"/>
      <c r="CB407" s="469"/>
      <c r="CC407" s="469"/>
    </row>
    <row r="408" spans="1:81" s="449" customFormat="1" ht="12.75" customHeight="1">
      <c r="A408" s="435"/>
      <c r="B408" s="13"/>
      <c r="C408" s="630"/>
      <c r="D408" s="13"/>
      <c r="E408" s="590"/>
      <c r="G408" s="502"/>
      <c r="H408" s="502"/>
      <c r="I408" s="502"/>
      <c r="J408" s="502"/>
      <c r="K408" s="502"/>
      <c r="L408" s="502"/>
      <c r="M408" s="502"/>
      <c r="N408" s="502"/>
      <c r="O408" s="502"/>
      <c r="P408" s="502"/>
      <c r="Q408" s="502"/>
      <c r="R408" s="502"/>
      <c r="S408" s="502"/>
      <c r="T408" s="502"/>
      <c r="U408" s="502"/>
      <c r="V408" s="502"/>
      <c r="W408" s="502"/>
      <c r="X408" s="502"/>
      <c r="Y408" s="502"/>
      <c r="Z408" s="502"/>
      <c r="AA408" s="502"/>
      <c r="AB408" s="502"/>
      <c r="AC408" s="502"/>
      <c r="AD408" s="502"/>
      <c r="AL408" s="631"/>
      <c r="AM408" s="469"/>
      <c r="AN408" s="496"/>
      <c r="BS408" s="469"/>
      <c r="BT408" s="469"/>
      <c r="BY408" s="469"/>
      <c r="BZ408" s="469"/>
      <c r="CA408" s="469"/>
      <c r="CB408" s="469"/>
      <c r="CC408" s="469"/>
    </row>
    <row r="409" spans="1:81" s="449" customFormat="1" ht="12.75" customHeight="1">
      <c r="A409" s="435"/>
      <c r="B409" s="13"/>
      <c r="C409" s="2369" t="s">
        <v>807</v>
      </c>
      <c r="D409" s="2370"/>
      <c r="E409" s="618"/>
      <c r="F409" s="620" t="s">
        <v>2341</v>
      </c>
      <c r="G409" s="502"/>
      <c r="H409" s="502"/>
      <c r="I409" s="502"/>
      <c r="J409" s="502"/>
      <c r="K409" s="502"/>
      <c r="L409" s="502"/>
      <c r="M409" s="502"/>
      <c r="N409" s="502"/>
      <c r="O409" s="502"/>
      <c r="P409" s="502"/>
      <c r="Q409" s="502"/>
      <c r="R409" s="502"/>
      <c r="S409" s="502"/>
      <c r="T409" s="502"/>
      <c r="U409" s="502"/>
      <c r="V409" s="502"/>
      <c r="W409" s="502"/>
      <c r="X409" s="502"/>
      <c r="Y409" s="502"/>
      <c r="Z409" s="502"/>
      <c r="AA409" s="502"/>
      <c r="AB409" s="502"/>
      <c r="AC409" s="502"/>
      <c r="AD409" s="502"/>
      <c r="AF409" s="2371" t="s">
        <v>2342</v>
      </c>
      <c r="AG409" s="2371"/>
      <c r="AH409" s="2371"/>
      <c r="AI409" s="2371"/>
      <c r="AJ409" s="2371"/>
      <c r="AK409" s="2371"/>
      <c r="AL409" s="2372"/>
      <c r="AM409" s="469"/>
      <c r="AN409" s="496"/>
      <c r="BS409" s="469"/>
      <c r="BT409" s="469"/>
      <c r="BY409" s="469"/>
      <c r="BZ409" s="469"/>
      <c r="CA409" s="469"/>
      <c r="CB409" s="469"/>
      <c r="CC409" s="469"/>
    </row>
    <row r="410" spans="1:81" s="449" customFormat="1" ht="12.75" customHeight="1">
      <c r="A410" s="435"/>
      <c r="B410" s="13"/>
      <c r="C410" s="642"/>
      <c r="D410" s="626"/>
      <c r="E410" s="623"/>
      <c r="F410" s="626"/>
      <c r="G410" s="625"/>
      <c r="H410" s="625"/>
      <c r="I410" s="625"/>
      <c r="J410" s="625"/>
      <c r="K410" s="625"/>
      <c r="L410" s="625"/>
      <c r="M410" s="625"/>
      <c r="N410" s="625"/>
      <c r="O410" s="625"/>
      <c r="P410" s="625"/>
      <c r="Q410" s="625"/>
      <c r="R410" s="625"/>
      <c r="S410" s="625"/>
      <c r="T410" s="625"/>
      <c r="U410" s="625"/>
      <c r="V410" s="625"/>
      <c r="W410" s="625"/>
      <c r="X410" s="625"/>
      <c r="Y410" s="625"/>
      <c r="Z410" s="625"/>
      <c r="AA410" s="625"/>
      <c r="AB410" s="625"/>
      <c r="AC410" s="625"/>
      <c r="AD410" s="625"/>
      <c r="AE410" s="626"/>
      <c r="AF410" s="626"/>
      <c r="AG410" s="626"/>
      <c r="AH410" s="626"/>
      <c r="AI410" s="626"/>
      <c r="AJ410" s="626"/>
      <c r="AK410" s="626"/>
      <c r="AL410" s="641"/>
      <c r="AM410" s="469"/>
      <c r="AN410" s="496"/>
      <c r="BS410" s="469"/>
      <c r="BT410" s="469"/>
      <c r="BY410" s="469"/>
      <c r="BZ410" s="469"/>
      <c r="CA410" s="469"/>
      <c r="CB410" s="469"/>
      <c r="CC410" s="469"/>
    </row>
    <row r="411" spans="1:81" s="449" customFormat="1" ht="12.75" customHeight="1">
      <c r="A411" s="435"/>
      <c r="B411" s="13"/>
      <c r="C411" s="13"/>
      <c r="D411" s="13"/>
      <c r="E411" s="590"/>
      <c r="G411" s="502"/>
      <c r="H411" s="502"/>
      <c r="I411" s="502"/>
      <c r="J411" s="502"/>
      <c r="K411" s="502"/>
      <c r="L411" s="502"/>
      <c r="M411" s="502"/>
      <c r="N411" s="502"/>
      <c r="O411" s="502"/>
      <c r="P411" s="502"/>
      <c r="Q411" s="502"/>
      <c r="R411" s="502"/>
      <c r="S411" s="502"/>
      <c r="T411" s="502"/>
      <c r="U411" s="502"/>
      <c r="V411" s="502"/>
      <c r="W411" s="502"/>
      <c r="X411" s="502"/>
      <c r="Y411" s="502"/>
      <c r="Z411" s="502"/>
      <c r="AA411" s="502"/>
      <c r="AB411" s="502"/>
      <c r="AC411" s="502"/>
      <c r="AD411" s="502"/>
      <c r="AE411" s="435"/>
      <c r="AF411" s="438"/>
      <c r="AG411" s="435"/>
      <c r="AM411" s="469"/>
      <c r="AN411" s="496"/>
      <c r="BS411" s="469"/>
      <c r="BT411" s="469"/>
      <c r="BY411" s="469"/>
      <c r="BZ411" s="469"/>
      <c r="CA411" s="469"/>
      <c r="CB411" s="469"/>
      <c r="CC411" s="469"/>
    </row>
    <row r="412" spans="1:81" s="449" customFormat="1" ht="12.75" customHeight="1">
      <c r="A412" s="435"/>
      <c r="B412" s="13"/>
      <c r="C412" s="2369" t="s">
        <v>807</v>
      </c>
      <c r="D412" s="2370"/>
      <c r="E412" s="614" t="s">
        <v>2343</v>
      </c>
      <c r="F412" s="2359" t="s">
        <v>2344</v>
      </c>
      <c r="G412" s="2359"/>
      <c r="H412" s="2359"/>
      <c r="I412" s="2359"/>
      <c r="J412" s="2359"/>
      <c r="K412" s="2359"/>
      <c r="L412" s="2359"/>
      <c r="M412" s="2359"/>
      <c r="N412" s="2359"/>
      <c r="O412" s="2359"/>
      <c r="P412" s="2359"/>
      <c r="Q412" s="2359"/>
      <c r="R412" s="2359"/>
      <c r="S412" s="2359"/>
      <c r="T412" s="2359"/>
      <c r="U412" s="2359"/>
      <c r="V412" s="2359"/>
      <c r="W412" s="2359"/>
      <c r="X412" s="2359"/>
      <c r="Y412" s="2359"/>
      <c r="Z412" s="2359"/>
      <c r="AA412" s="2359"/>
      <c r="AB412" s="2359"/>
      <c r="AC412" s="2359"/>
      <c r="AD412" s="2359"/>
      <c r="AE412" s="2359"/>
      <c r="AF412" s="615"/>
      <c r="AG412" s="643"/>
      <c r="AH412" s="613"/>
      <c r="AI412" s="613"/>
      <c r="AJ412" s="613"/>
      <c r="AK412" s="613"/>
      <c r="AL412" s="644"/>
      <c r="AM412" s="469"/>
      <c r="AN412" s="496"/>
      <c r="BS412" s="469"/>
      <c r="BT412" s="469"/>
      <c r="BY412" s="469"/>
      <c r="BZ412" s="469"/>
      <c r="CA412" s="469"/>
      <c r="CB412" s="469"/>
      <c r="CC412" s="469"/>
    </row>
    <row r="413" spans="1:81" s="449" customFormat="1" ht="12.75" customHeight="1">
      <c r="A413" s="435"/>
      <c r="B413" s="13"/>
      <c r="C413" s="638"/>
      <c r="F413" s="2360"/>
      <c r="G413" s="2360"/>
      <c r="H413" s="2360"/>
      <c r="I413" s="2360"/>
      <c r="J413" s="2360"/>
      <c r="K413" s="2360"/>
      <c r="L413" s="2360"/>
      <c r="M413" s="2360"/>
      <c r="N413" s="2360"/>
      <c r="O413" s="2360"/>
      <c r="P413" s="2360"/>
      <c r="Q413" s="2360"/>
      <c r="R413" s="2360"/>
      <c r="S413" s="2360"/>
      <c r="T413" s="2360"/>
      <c r="U413" s="2360"/>
      <c r="V413" s="2360"/>
      <c r="W413" s="2360"/>
      <c r="X413" s="2360"/>
      <c r="Y413" s="2360"/>
      <c r="Z413" s="2360"/>
      <c r="AA413" s="2360"/>
      <c r="AB413" s="2360"/>
      <c r="AC413" s="2360"/>
      <c r="AD413" s="2360"/>
      <c r="AE413" s="2360"/>
      <c r="AF413" s="2449" t="s">
        <v>2330</v>
      </c>
      <c r="AG413" s="2449"/>
      <c r="AH413" s="2449"/>
      <c r="AI413" s="2449"/>
      <c r="AJ413" s="2449"/>
      <c r="AK413" s="2449"/>
      <c r="AL413" s="2458"/>
      <c r="AM413" s="469"/>
      <c r="AN413" s="496"/>
      <c r="BS413" s="469"/>
      <c r="BT413" s="469"/>
      <c r="BY413" s="469"/>
      <c r="BZ413" s="469"/>
      <c r="CA413" s="469"/>
      <c r="CB413" s="469"/>
      <c r="CC413" s="469"/>
    </row>
    <row r="414" spans="1:81" s="449" customFormat="1" ht="12.75" customHeight="1">
      <c r="A414" s="435"/>
      <c r="B414" s="13"/>
      <c r="C414" s="630"/>
      <c r="D414" s="13"/>
      <c r="E414" s="590"/>
      <c r="F414" s="2360"/>
      <c r="G414" s="2360"/>
      <c r="H414" s="2360"/>
      <c r="I414" s="2360"/>
      <c r="J414" s="2360"/>
      <c r="K414" s="2360"/>
      <c r="L414" s="2360"/>
      <c r="M414" s="2360"/>
      <c r="N414" s="2360"/>
      <c r="O414" s="2360"/>
      <c r="P414" s="2360"/>
      <c r="Q414" s="2360"/>
      <c r="R414" s="2360"/>
      <c r="S414" s="2360"/>
      <c r="T414" s="2360"/>
      <c r="U414" s="2360"/>
      <c r="V414" s="2360"/>
      <c r="W414" s="2360"/>
      <c r="X414" s="2360"/>
      <c r="Y414" s="2360"/>
      <c r="Z414" s="2360"/>
      <c r="AA414" s="2360"/>
      <c r="AB414" s="2360"/>
      <c r="AC414" s="2360"/>
      <c r="AD414" s="2360"/>
      <c r="AE414" s="2360"/>
      <c r="AL414" s="631"/>
      <c r="AM414" s="469"/>
      <c r="AN414" s="496"/>
      <c r="BS414" s="469"/>
      <c r="BT414" s="469"/>
      <c r="BU414" s="469"/>
      <c r="BV414" s="469"/>
      <c r="BW414" s="469"/>
      <c r="BX414" s="469"/>
      <c r="BY414" s="469"/>
      <c r="BZ414" s="469"/>
      <c r="CA414" s="469"/>
      <c r="CB414" s="469"/>
      <c r="CC414" s="469"/>
    </row>
    <row r="415" spans="1:81" s="449" customFormat="1" ht="12.75" customHeight="1">
      <c r="A415" s="435"/>
      <c r="B415" s="13"/>
      <c r="C415" s="639"/>
      <c r="D415" s="632"/>
      <c r="E415" s="633"/>
      <c r="F415" s="2361"/>
      <c r="G415" s="2361"/>
      <c r="H415" s="2361"/>
      <c r="I415" s="2361"/>
      <c r="J415" s="2361"/>
      <c r="K415" s="2361"/>
      <c r="L415" s="2361"/>
      <c r="M415" s="2361"/>
      <c r="N415" s="2361"/>
      <c r="O415" s="2361"/>
      <c r="P415" s="2361"/>
      <c r="Q415" s="2361"/>
      <c r="R415" s="2361"/>
      <c r="S415" s="2361"/>
      <c r="T415" s="2361"/>
      <c r="U415" s="2361"/>
      <c r="V415" s="2361"/>
      <c r="W415" s="2361"/>
      <c r="X415" s="2361"/>
      <c r="Y415" s="2361"/>
      <c r="Z415" s="2361"/>
      <c r="AA415" s="2361"/>
      <c r="AB415" s="2361"/>
      <c r="AC415" s="2361"/>
      <c r="AD415" s="2361"/>
      <c r="AE415" s="2361"/>
      <c r="AF415" s="482"/>
      <c r="AG415" s="636"/>
      <c r="AH415" s="626"/>
      <c r="AI415" s="626"/>
      <c r="AJ415" s="626"/>
      <c r="AK415" s="626"/>
      <c r="AL415" s="641"/>
      <c r="AM415" s="469"/>
      <c r="AN415" s="496"/>
    </row>
    <row r="416" spans="1:81" ht="13">
      <c r="A416" s="435"/>
      <c r="E416" s="590"/>
      <c r="F416" s="502"/>
      <c r="G416" s="502"/>
      <c r="H416" s="502"/>
      <c r="I416" s="502"/>
      <c r="J416" s="502"/>
      <c r="K416" s="502"/>
      <c r="L416" s="502"/>
      <c r="M416" s="502"/>
      <c r="N416" s="502"/>
      <c r="O416" s="502"/>
      <c r="P416" s="502"/>
      <c r="Q416" s="502"/>
      <c r="R416" s="502"/>
      <c r="S416" s="502"/>
      <c r="T416" s="502"/>
      <c r="U416" s="502"/>
      <c r="V416" s="502"/>
      <c r="W416" s="502"/>
      <c r="X416" s="502"/>
      <c r="Y416" s="502"/>
      <c r="Z416" s="502"/>
      <c r="AA416" s="502"/>
      <c r="AB416" s="502"/>
      <c r="AC416" s="502"/>
      <c r="AD416" s="502"/>
      <c r="AE416" s="435"/>
      <c r="AF416" s="438"/>
      <c r="AG416" s="435"/>
      <c r="AH416" s="449"/>
      <c r="AI416" s="449"/>
      <c r="AJ416" s="449"/>
      <c r="AK416" s="449"/>
      <c r="AL416" s="449"/>
      <c r="AM416" s="469"/>
    </row>
    <row r="417" spans="1:55" ht="12.75" customHeight="1">
      <c r="A417" s="435"/>
      <c r="C417" s="645"/>
      <c r="D417" s="646"/>
      <c r="E417" s="614" t="s">
        <v>2345</v>
      </c>
      <c r="F417" s="2359" t="s">
        <v>2346</v>
      </c>
      <c r="G417" s="2359"/>
      <c r="H417" s="2359"/>
      <c r="I417" s="2359"/>
      <c r="J417" s="2359"/>
      <c r="K417" s="2359"/>
      <c r="L417" s="2359"/>
      <c r="M417" s="2359"/>
      <c r="N417" s="2359"/>
      <c r="O417" s="2359"/>
      <c r="P417" s="2359"/>
      <c r="Q417" s="2359"/>
      <c r="R417" s="2359"/>
      <c r="S417" s="2359"/>
      <c r="T417" s="2359"/>
      <c r="U417" s="2359"/>
      <c r="V417" s="2359"/>
      <c r="W417" s="2359"/>
      <c r="X417" s="2359"/>
      <c r="Y417" s="2359"/>
      <c r="Z417" s="2359"/>
      <c r="AA417" s="2359"/>
      <c r="AB417" s="2359"/>
      <c r="AC417" s="2359"/>
      <c r="AD417" s="2359"/>
      <c r="AE417" s="2359"/>
      <c r="AF417" s="646"/>
      <c r="AG417" s="646"/>
      <c r="AH417" s="646"/>
      <c r="AI417" s="646"/>
      <c r="AJ417" s="646"/>
      <c r="AK417" s="646"/>
      <c r="AL417" s="647"/>
      <c r="AM417" s="469"/>
    </row>
    <row r="418" spans="1:55" ht="13">
      <c r="A418" s="435"/>
      <c r="C418" s="630"/>
      <c r="E418" s="590"/>
      <c r="F418" s="2360"/>
      <c r="G418" s="2360"/>
      <c r="H418" s="2360"/>
      <c r="I418" s="2360"/>
      <c r="J418" s="2360"/>
      <c r="K418" s="2360"/>
      <c r="L418" s="2360"/>
      <c r="M418" s="2360"/>
      <c r="N418" s="2360"/>
      <c r="O418" s="2360"/>
      <c r="P418" s="2360"/>
      <c r="Q418" s="2360"/>
      <c r="R418" s="2360"/>
      <c r="S418" s="2360"/>
      <c r="T418" s="2360"/>
      <c r="U418" s="2360"/>
      <c r="V418" s="2360"/>
      <c r="W418" s="2360"/>
      <c r="X418" s="2360"/>
      <c r="Y418" s="2360"/>
      <c r="Z418" s="2360"/>
      <c r="AA418" s="2360"/>
      <c r="AB418" s="2360"/>
      <c r="AC418" s="2360"/>
      <c r="AD418" s="2360"/>
      <c r="AE418" s="2360"/>
      <c r="AF418" s="438"/>
      <c r="AG418" s="435"/>
      <c r="AH418" s="449"/>
      <c r="AI418" s="449"/>
      <c r="AJ418" s="449"/>
      <c r="AK418" s="449"/>
      <c r="AL418" s="631"/>
      <c r="AM418" s="469"/>
    </row>
    <row r="419" spans="1:55" s="449" customFormat="1" ht="12.75" customHeight="1">
      <c r="A419" s="435"/>
      <c r="B419" s="13"/>
      <c r="C419" s="630"/>
      <c r="D419" s="13"/>
      <c r="E419" s="590"/>
      <c r="F419" s="2360"/>
      <c r="G419" s="2360"/>
      <c r="H419" s="2360"/>
      <c r="I419" s="2360"/>
      <c r="J419" s="2360"/>
      <c r="K419" s="2360"/>
      <c r="L419" s="2360"/>
      <c r="M419" s="2360"/>
      <c r="N419" s="2360"/>
      <c r="O419" s="2360"/>
      <c r="P419" s="2360"/>
      <c r="Q419" s="2360"/>
      <c r="R419" s="2360"/>
      <c r="S419" s="2360"/>
      <c r="T419" s="2360"/>
      <c r="U419" s="2360"/>
      <c r="V419" s="2360"/>
      <c r="W419" s="2360"/>
      <c r="X419" s="2360"/>
      <c r="Y419" s="2360"/>
      <c r="Z419" s="2360"/>
      <c r="AA419" s="2360"/>
      <c r="AB419" s="2360"/>
      <c r="AC419" s="2360"/>
      <c r="AD419" s="2360"/>
      <c r="AE419" s="2360"/>
      <c r="AL419" s="631"/>
      <c r="AM419" s="469"/>
      <c r="AN419" s="496"/>
    </row>
    <row r="420" spans="1:55" s="449" customFormat="1" ht="12.75" customHeight="1">
      <c r="A420" s="435"/>
      <c r="B420" s="13"/>
      <c r="C420" s="638"/>
      <c r="F420" s="2360"/>
      <c r="G420" s="2360"/>
      <c r="H420" s="2360"/>
      <c r="I420" s="2360"/>
      <c r="J420" s="2360"/>
      <c r="K420" s="2360"/>
      <c r="L420" s="2360"/>
      <c r="M420" s="2360"/>
      <c r="N420" s="2360"/>
      <c r="O420" s="2360"/>
      <c r="P420" s="2360"/>
      <c r="Q420" s="2360"/>
      <c r="R420" s="2360"/>
      <c r="S420" s="2360"/>
      <c r="T420" s="2360"/>
      <c r="U420" s="2360"/>
      <c r="V420" s="2360"/>
      <c r="W420" s="2360"/>
      <c r="X420" s="2360"/>
      <c r="Y420" s="2360"/>
      <c r="Z420" s="2360"/>
      <c r="AA420" s="2360"/>
      <c r="AB420" s="2360"/>
      <c r="AC420" s="2360"/>
      <c r="AD420" s="2360"/>
      <c r="AE420" s="2360"/>
      <c r="AL420" s="631"/>
      <c r="AM420" s="469"/>
      <c r="AN420" s="496"/>
    </row>
    <row r="421" spans="1:55" s="449" customFormat="1" ht="12.75" customHeight="1">
      <c r="A421" s="435"/>
      <c r="B421" s="13"/>
      <c r="C421" s="2369" t="s">
        <v>807</v>
      </c>
      <c r="D421" s="2370"/>
      <c r="E421" s="590"/>
      <c r="F421" s="620" t="s">
        <v>2347</v>
      </c>
      <c r="G421" s="502"/>
      <c r="H421" s="502"/>
      <c r="I421" s="502"/>
      <c r="J421" s="502"/>
      <c r="K421" s="502"/>
      <c r="L421" s="502"/>
      <c r="M421" s="502"/>
      <c r="N421" s="502"/>
      <c r="O421" s="502"/>
      <c r="P421" s="502"/>
      <c r="Q421" s="502"/>
      <c r="R421" s="502"/>
      <c r="S421" s="502"/>
      <c r="T421" s="502"/>
      <c r="U421" s="502"/>
      <c r="V421" s="502"/>
      <c r="W421" s="502"/>
      <c r="X421" s="502"/>
      <c r="Y421" s="502"/>
      <c r="Z421" s="502"/>
      <c r="AA421" s="502"/>
      <c r="AB421" s="502"/>
      <c r="AC421" s="502"/>
      <c r="AD421" s="502"/>
      <c r="AF421" s="2449" t="s">
        <v>2330</v>
      </c>
      <c r="AG421" s="2449"/>
      <c r="AH421" s="2449"/>
      <c r="AI421" s="2449"/>
      <c r="AJ421" s="2449"/>
      <c r="AK421" s="2449"/>
      <c r="AL421" s="2458"/>
      <c r="AM421" s="469"/>
      <c r="AN421" s="496"/>
    </row>
    <row r="422" spans="1:55" s="449" customFormat="1" ht="12.75" customHeight="1">
      <c r="A422" s="435"/>
      <c r="B422" s="13"/>
      <c r="C422" s="638"/>
      <c r="AL422" s="631"/>
      <c r="AM422" s="469"/>
      <c r="AN422" s="496"/>
    </row>
    <row r="423" spans="1:55" s="449" customFormat="1" ht="12.75" customHeight="1">
      <c r="A423" s="435"/>
      <c r="B423" s="13"/>
      <c r="C423" s="2369" t="s">
        <v>807</v>
      </c>
      <c r="D423" s="2370"/>
      <c r="E423" s="618"/>
      <c r="F423" s="620" t="s">
        <v>2348</v>
      </c>
      <c r="G423" s="502"/>
      <c r="H423" s="502"/>
      <c r="I423" s="502"/>
      <c r="J423" s="502"/>
      <c r="K423" s="502"/>
      <c r="L423" s="502"/>
      <c r="M423" s="502"/>
      <c r="N423" s="502"/>
      <c r="O423" s="502"/>
      <c r="P423" s="502"/>
      <c r="Q423" s="502"/>
      <c r="R423" s="502"/>
      <c r="S423" s="502"/>
      <c r="T423" s="502"/>
      <c r="U423" s="502"/>
      <c r="V423" s="502"/>
      <c r="W423" s="502"/>
      <c r="X423" s="502"/>
      <c r="Y423" s="502"/>
      <c r="Z423" s="502"/>
      <c r="AA423" s="502"/>
      <c r="AB423" s="502"/>
      <c r="AC423" s="502"/>
      <c r="AD423" s="502"/>
      <c r="AF423" s="2449" t="s">
        <v>2342</v>
      </c>
      <c r="AG423" s="2449"/>
      <c r="AH423" s="2449"/>
      <c r="AI423" s="2449"/>
      <c r="AJ423" s="2449"/>
      <c r="AK423" s="2449"/>
      <c r="AL423" s="2458"/>
      <c r="AM423" s="469"/>
      <c r="AN423" s="496"/>
      <c r="AO423" s="495"/>
      <c r="AP423" s="495"/>
      <c r="BC423" s="13"/>
    </row>
    <row r="424" spans="1:55" s="449" customFormat="1" ht="12.75" customHeight="1">
      <c r="A424" s="435"/>
      <c r="B424" s="13"/>
      <c r="C424" s="632"/>
      <c r="D424" s="632"/>
      <c r="E424" s="633"/>
      <c r="F424" s="624"/>
      <c r="G424" s="625"/>
      <c r="H424" s="625"/>
      <c r="I424" s="625"/>
      <c r="J424" s="625"/>
      <c r="K424" s="625"/>
      <c r="L424" s="625"/>
      <c r="M424" s="625"/>
      <c r="N424" s="625"/>
      <c r="O424" s="625"/>
      <c r="P424" s="625"/>
      <c r="Q424" s="625"/>
      <c r="R424" s="625"/>
      <c r="S424" s="625"/>
      <c r="T424" s="625"/>
      <c r="U424" s="625"/>
      <c r="V424" s="625"/>
      <c r="W424" s="625"/>
      <c r="X424" s="625"/>
      <c r="Y424" s="625"/>
      <c r="Z424" s="625"/>
      <c r="AA424" s="625"/>
      <c r="AB424" s="625"/>
      <c r="AC424" s="625"/>
      <c r="AD424" s="625"/>
      <c r="AE424" s="636"/>
      <c r="AF424" s="482"/>
      <c r="AG424" s="636"/>
      <c r="AH424" s="626"/>
      <c r="AI424" s="626"/>
      <c r="AJ424" s="626"/>
      <c r="AK424" s="626"/>
      <c r="AL424" s="641"/>
      <c r="AM424" s="469"/>
      <c r="AN424" s="496"/>
    </row>
    <row r="425" spans="1:55" s="449" customFormat="1" ht="12.75" customHeight="1">
      <c r="A425" s="435"/>
      <c r="B425" s="13"/>
      <c r="C425" s="13"/>
      <c r="D425" s="13"/>
      <c r="E425" s="590"/>
      <c r="F425" s="620"/>
      <c r="G425" s="502"/>
      <c r="H425" s="502"/>
      <c r="I425" s="502"/>
      <c r="J425" s="502"/>
      <c r="K425" s="502"/>
      <c r="L425" s="502"/>
      <c r="M425" s="502"/>
      <c r="N425" s="502"/>
      <c r="O425" s="502"/>
      <c r="P425" s="502"/>
      <c r="Q425" s="502"/>
      <c r="R425" s="502"/>
      <c r="S425" s="502"/>
      <c r="T425" s="502"/>
      <c r="U425" s="502"/>
      <c r="V425" s="502"/>
      <c r="W425" s="502"/>
      <c r="X425" s="502"/>
      <c r="Y425" s="502"/>
      <c r="Z425" s="502"/>
      <c r="AA425" s="502"/>
      <c r="AB425" s="502"/>
      <c r="AC425" s="502"/>
      <c r="AD425" s="502"/>
      <c r="AE425" s="435"/>
      <c r="AF425" s="438"/>
      <c r="AG425" s="435"/>
      <c r="AM425" s="469"/>
      <c r="AN425" s="496"/>
    </row>
    <row r="426" spans="1:55" s="449" customFormat="1" ht="12.75" customHeight="1">
      <c r="A426" s="435"/>
      <c r="B426" s="13"/>
      <c r="C426" s="611" t="s">
        <v>2349</v>
      </c>
      <c r="D426" s="13"/>
      <c r="E426" s="590"/>
      <c r="F426" s="502"/>
      <c r="G426" s="502"/>
      <c r="H426" s="502"/>
      <c r="I426" s="502"/>
      <c r="J426" s="502"/>
      <c r="K426" s="502"/>
      <c r="L426" s="502"/>
      <c r="M426" s="502"/>
      <c r="N426" s="502"/>
      <c r="O426" s="502"/>
      <c r="P426" s="502"/>
      <c r="Q426" s="502"/>
      <c r="R426" s="502"/>
      <c r="S426" s="502"/>
      <c r="T426" s="502"/>
      <c r="U426" s="502"/>
      <c r="V426" s="502"/>
      <c r="W426" s="502"/>
      <c r="X426" s="502"/>
      <c r="Y426" s="502"/>
      <c r="Z426" s="502"/>
      <c r="AA426" s="502"/>
      <c r="AB426" s="502"/>
      <c r="AC426" s="502"/>
      <c r="AD426" s="502"/>
      <c r="AE426" s="435"/>
      <c r="AF426" s="438"/>
      <c r="AG426" s="435"/>
      <c r="AM426" s="469"/>
      <c r="AN426" s="496"/>
    </row>
    <row r="427" spans="1:55" s="449" customFormat="1" ht="12.75" customHeight="1">
      <c r="A427" s="435"/>
      <c r="B427" s="13"/>
      <c r="C427" s="612"/>
      <c r="D427" s="613"/>
      <c r="E427" s="614" t="s">
        <v>2350</v>
      </c>
      <c r="F427" s="2359" t="s">
        <v>2351</v>
      </c>
      <c r="G427" s="2359"/>
      <c r="H427" s="2359"/>
      <c r="I427" s="2359"/>
      <c r="J427" s="2359"/>
      <c r="K427" s="2359"/>
      <c r="L427" s="2359"/>
      <c r="M427" s="2359"/>
      <c r="N427" s="2359"/>
      <c r="O427" s="2359"/>
      <c r="P427" s="2359"/>
      <c r="Q427" s="2359"/>
      <c r="R427" s="2359"/>
      <c r="S427" s="2359"/>
      <c r="T427" s="2359"/>
      <c r="U427" s="2359"/>
      <c r="V427" s="2359"/>
      <c r="W427" s="2359"/>
      <c r="X427" s="2359"/>
      <c r="Y427" s="2359"/>
      <c r="Z427" s="2359"/>
      <c r="AA427" s="2359"/>
      <c r="AB427" s="2359"/>
      <c r="AC427" s="2359"/>
      <c r="AD427" s="2359"/>
      <c r="AE427" s="2359"/>
      <c r="AF427" s="613"/>
      <c r="AG427" s="613"/>
      <c r="AH427" s="613"/>
      <c r="AI427" s="613"/>
      <c r="AJ427" s="613"/>
      <c r="AK427" s="613"/>
      <c r="AL427" s="644"/>
      <c r="AM427" s="469"/>
      <c r="AN427" s="496"/>
    </row>
    <row r="428" spans="1:55" s="449" customFormat="1" ht="12.75" customHeight="1">
      <c r="A428" s="435"/>
      <c r="B428" s="13"/>
      <c r="C428" s="630"/>
      <c r="D428" s="13"/>
      <c r="E428" s="590"/>
      <c r="F428" s="2360"/>
      <c r="G428" s="2360"/>
      <c r="H428" s="2360"/>
      <c r="I428" s="2360"/>
      <c r="J428" s="2360"/>
      <c r="K428" s="2360"/>
      <c r="L428" s="2360"/>
      <c r="M428" s="2360"/>
      <c r="N428" s="2360"/>
      <c r="O428" s="2360"/>
      <c r="P428" s="2360"/>
      <c r="Q428" s="2360"/>
      <c r="R428" s="2360"/>
      <c r="S428" s="2360"/>
      <c r="T428" s="2360"/>
      <c r="U428" s="2360"/>
      <c r="V428" s="2360"/>
      <c r="W428" s="2360"/>
      <c r="X428" s="2360"/>
      <c r="Y428" s="2360"/>
      <c r="Z428" s="2360"/>
      <c r="AA428" s="2360"/>
      <c r="AB428" s="2360"/>
      <c r="AC428" s="2360"/>
      <c r="AD428" s="2360"/>
      <c r="AE428" s="2360"/>
      <c r="AF428" s="438"/>
      <c r="AG428" s="435"/>
      <c r="AL428" s="631"/>
      <c r="AM428" s="469"/>
      <c r="AN428" s="496"/>
    </row>
    <row r="429" spans="1:55" s="449" customFormat="1" ht="12.5" customHeight="1">
      <c r="A429" s="435"/>
      <c r="B429" s="13"/>
      <c r="C429" s="630"/>
      <c r="D429" s="13"/>
      <c r="E429" s="590"/>
      <c r="F429" s="2360"/>
      <c r="G429" s="2360"/>
      <c r="H429" s="2360"/>
      <c r="I429" s="2360"/>
      <c r="J429" s="2360"/>
      <c r="K429" s="2360"/>
      <c r="L429" s="2360"/>
      <c r="M429" s="2360"/>
      <c r="N429" s="2360"/>
      <c r="O429" s="2360"/>
      <c r="P429" s="2360"/>
      <c r="Q429" s="2360"/>
      <c r="R429" s="2360"/>
      <c r="S429" s="2360"/>
      <c r="T429" s="2360"/>
      <c r="U429" s="2360"/>
      <c r="V429" s="2360"/>
      <c r="W429" s="2360"/>
      <c r="X429" s="2360"/>
      <c r="Y429" s="2360"/>
      <c r="Z429" s="2360"/>
      <c r="AA429" s="2360"/>
      <c r="AB429" s="2360"/>
      <c r="AC429" s="2360"/>
      <c r="AD429" s="2360"/>
      <c r="AE429" s="2360"/>
      <c r="AL429" s="631"/>
      <c r="AM429" s="469"/>
      <c r="AN429" s="496"/>
    </row>
    <row r="430" spans="1:55" s="449" customFormat="1" ht="12.75" customHeight="1">
      <c r="A430" s="435"/>
      <c r="B430" s="13"/>
      <c r="C430" s="2369" t="s">
        <v>807</v>
      </c>
      <c r="D430" s="2370"/>
      <c r="E430" s="590"/>
      <c r="F430" s="620" t="s">
        <v>2352</v>
      </c>
      <c r="G430" s="648"/>
      <c r="H430" s="648"/>
      <c r="I430" s="648"/>
      <c r="J430" s="648"/>
      <c r="K430" s="648"/>
      <c r="L430" s="648"/>
      <c r="M430" s="648"/>
      <c r="N430" s="648"/>
      <c r="O430" s="648"/>
      <c r="P430" s="648"/>
      <c r="Q430" s="648"/>
      <c r="R430" s="648"/>
      <c r="S430" s="648"/>
      <c r="T430" s="648"/>
      <c r="U430" s="648"/>
      <c r="V430" s="648"/>
      <c r="W430" s="648"/>
      <c r="X430" s="648"/>
      <c r="Y430" s="648"/>
      <c r="Z430" s="648"/>
      <c r="AA430" s="648"/>
      <c r="AB430" s="648"/>
      <c r="AC430" s="648"/>
      <c r="AD430" s="648"/>
      <c r="AF430" s="2449" t="s">
        <v>2330</v>
      </c>
      <c r="AG430" s="2449"/>
      <c r="AH430" s="2449"/>
      <c r="AI430" s="2449"/>
      <c r="AJ430" s="2449"/>
      <c r="AK430" s="2449"/>
      <c r="AL430" s="2458"/>
      <c r="AM430" s="469"/>
      <c r="AN430" s="496"/>
    </row>
    <row r="431" spans="1:55" s="449" customFormat="1" ht="12.75" customHeight="1">
      <c r="A431" s="435"/>
      <c r="B431" s="13"/>
      <c r="C431" s="642"/>
      <c r="D431" s="626"/>
      <c r="E431" s="623"/>
      <c r="F431" s="640"/>
      <c r="G431" s="625"/>
      <c r="H431" s="625"/>
      <c r="I431" s="625"/>
      <c r="J431" s="625"/>
      <c r="K431" s="625"/>
      <c r="L431" s="625"/>
      <c r="M431" s="625"/>
      <c r="N431" s="625"/>
      <c r="O431" s="625"/>
      <c r="P431" s="625"/>
      <c r="Q431" s="625"/>
      <c r="R431" s="625"/>
      <c r="S431" s="625"/>
      <c r="T431" s="625"/>
      <c r="U431" s="625"/>
      <c r="V431" s="625"/>
      <c r="W431" s="625"/>
      <c r="X431" s="625"/>
      <c r="Y431" s="625"/>
      <c r="Z431" s="625"/>
      <c r="AA431" s="625"/>
      <c r="AB431" s="625"/>
      <c r="AC431" s="625"/>
      <c r="AD431" s="625"/>
      <c r="AE431" s="626"/>
      <c r="AF431" s="626"/>
      <c r="AG431" s="626"/>
      <c r="AH431" s="626"/>
      <c r="AI431" s="626"/>
      <c r="AJ431" s="626"/>
      <c r="AK431" s="626"/>
      <c r="AL431" s="641"/>
      <c r="AM431" s="469"/>
      <c r="AN431" s="496"/>
    </row>
    <row r="432" spans="1:55" s="449" customFormat="1" ht="12.75" customHeight="1">
      <c r="A432" s="435"/>
      <c r="B432" s="13"/>
      <c r="C432" s="629"/>
      <c r="D432" s="629"/>
      <c r="E432" s="618"/>
      <c r="F432" s="620"/>
      <c r="G432" s="502"/>
      <c r="H432" s="502"/>
      <c r="I432" s="502"/>
      <c r="J432" s="502"/>
      <c r="K432" s="502"/>
      <c r="L432" s="502"/>
      <c r="M432" s="502"/>
      <c r="N432" s="502"/>
      <c r="O432" s="502"/>
      <c r="P432" s="502"/>
      <c r="Q432" s="502"/>
      <c r="R432" s="502"/>
      <c r="S432" s="502"/>
      <c r="T432" s="502"/>
      <c r="U432" s="502"/>
      <c r="V432" s="502"/>
      <c r="W432" s="502"/>
      <c r="X432" s="502"/>
      <c r="Y432" s="502"/>
      <c r="Z432" s="502"/>
      <c r="AA432" s="502"/>
      <c r="AB432" s="502"/>
      <c r="AC432" s="502"/>
      <c r="AD432" s="502"/>
      <c r="AE432" s="435"/>
      <c r="AM432" s="469"/>
      <c r="AN432" s="496"/>
    </row>
    <row r="433" spans="1:60" ht="13.25" customHeight="1">
      <c r="A433" s="435"/>
      <c r="C433" s="645"/>
      <c r="D433" s="646"/>
      <c r="E433" s="614" t="s">
        <v>2353</v>
      </c>
      <c r="F433" s="2359" t="s">
        <v>2354</v>
      </c>
      <c r="G433" s="2359"/>
      <c r="H433" s="2359"/>
      <c r="I433" s="2359"/>
      <c r="J433" s="2359"/>
      <c r="K433" s="2359"/>
      <c r="L433" s="2359"/>
      <c r="M433" s="2359"/>
      <c r="N433" s="2359"/>
      <c r="O433" s="2359"/>
      <c r="P433" s="2359"/>
      <c r="Q433" s="2359"/>
      <c r="R433" s="2359"/>
      <c r="S433" s="2359"/>
      <c r="T433" s="2359"/>
      <c r="U433" s="2359"/>
      <c r="V433" s="2359"/>
      <c r="W433" s="2359"/>
      <c r="X433" s="2359"/>
      <c r="Y433" s="2359"/>
      <c r="Z433" s="2359"/>
      <c r="AA433" s="2359"/>
      <c r="AB433" s="2359"/>
      <c r="AC433" s="2359"/>
      <c r="AD433" s="2359"/>
      <c r="AE433" s="2359"/>
      <c r="AF433" s="646"/>
      <c r="AG433" s="646"/>
      <c r="AH433" s="646"/>
      <c r="AI433" s="646"/>
      <c r="AJ433" s="646"/>
      <c r="AK433" s="646"/>
      <c r="AL433" s="647"/>
      <c r="AM433" s="469"/>
      <c r="AO433" s="449"/>
      <c r="AP433" s="449"/>
      <c r="BD433" s="13"/>
      <c r="BE433" s="13"/>
      <c r="BF433" s="13"/>
      <c r="BG433" s="13"/>
      <c r="BH433" s="13"/>
    </row>
    <row r="434" spans="1:60" ht="13">
      <c r="A434" s="435"/>
      <c r="C434" s="630"/>
      <c r="E434" s="590"/>
      <c r="F434" s="2360"/>
      <c r="G434" s="2360"/>
      <c r="H434" s="2360"/>
      <c r="I434" s="2360"/>
      <c r="J434" s="2360"/>
      <c r="K434" s="2360"/>
      <c r="L434" s="2360"/>
      <c r="M434" s="2360"/>
      <c r="N434" s="2360"/>
      <c r="O434" s="2360"/>
      <c r="P434" s="2360"/>
      <c r="Q434" s="2360"/>
      <c r="R434" s="2360"/>
      <c r="S434" s="2360"/>
      <c r="T434" s="2360"/>
      <c r="U434" s="2360"/>
      <c r="V434" s="2360"/>
      <c r="W434" s="2360"/>
      <c r="X434" s="2360"/>
      <c r="Y434" s="2360"/>
      <c r="Z434" s="2360"/>
      <c r="AA434" s="2360"/>
      <c r="AB434" s="2360"/>
      <c r="AC434" s="2360"/>
      <c r="AD434" s="2360"/>
      <c r="AE434" s="2360"/>
      <c r="AF434" s="493"/>
      <c r="AG434" s="493"/>
      <c r="AH434" s="493"/>
      <c r="AI434" s="493"/>
      <c r="AJ434" s="493"/>
      <c r="AK434" s="493"/>
      <c r="AL434" s="649"/>
      <c r="AM434" s="469"/>
      <c r="AO434" s="449"/>
      <c r="AP434" s="449"/>
    </row>
    <row r="435" spans="1:60" s="449" customFormat="1" ht="12.75" customHeight="1">
      <c r="A435" s="435"/>
      <c r="B435" s="13"/>
      <c r="C435" s="630"/>
      <c r="D435" s="13"/>
      <c r="E435" s="590"/>
      <c r="F435" s="2360"/>
      <c r="G435" s="2360"/>
      <c r="H435" s="2360"/>
      <c r="I435" s="2360"/>
      <c r="J435" s="2360"/>
      <c r="K435" s="2360"/>
      <c r="L435" s="2360"/>
      <c r="M435" s="2360"/>
      <c r="N435" s="2360"/>
      <c r="O435" s="2360"/>
      <c r="P435" s="2360"/>
      <c r="Q435" s="2360"/>
      <c r="R435" s="2360"/>
      <c r="S435" s="2360"/>
      <c r="T435" s="2360"/>
      <c r="U435" s="2360"/>
      <c r="V435" s="2360"/>
      <c r="W435" s="2360"/>
      <c r="X435" s="2360"/>
      <c r="Y435" s="2360"/>
      <c r="Z435" s="2360"/>
      <c r="AA435" s="2360"/>
      <c r="AB435" s="2360"/>
      <c r="AC435" s="2360"/>
      <c r="AD435" s="2360"/>
      <c r="AE435" s="2360"/>
      <c r="AF435" s="493"/>
      <c r="AG435" s="493"/>
      <c r="AH435" s="493"/>
      <c r="AI435" s="493"/>
      <c r="AJ435" s="493"/>
      <c r="AK435" s="493"/>
      <c r="AL435" s="649"/>
      <c r="AM435" s="469"/>
      <c r="AN435" s="496"/>
    </row>
    <row r="436" spans="1:60" s="449" customFormat="1" ht="12.75" customHeight="1">
      <c r="A436" s="435"/>
      <c r="B436" s="13"/>
      <c r="C436" s="650"/>
      <c r="D436" s="629"/>
      <c r="E436" s="618"/>
      <c r="F436" s="2360"/>
      <c r="G436" s="2360"/>
      <c r="H436" s="2360"/>
      <c r="I436" s="2360"/>
      <c r="J436" s="2360"/>
      <c r="K436" s="2360"/>
      <c r="L436" s="2360"/>
      <c r="M436" s="2360"/>
      <c r="N436" s="2360"/>
      <c r="O436" s="2360"/>
      <c r="P436" s="2360"/>
      <c r="Q436" s="2360"/>
      <c r="R436" s="2360"/>
      <c r="S436" s="2360"/>
      <c r="T436" s="2360"/>
      <c r="U436" s="2360"/>
      <c r="V436" s="2360"/>
      <c r="W436" s="2360"/>
      <c r="X436" s="2360"/>
      <c r="Y436" s="2360"/>
      <c r="Z436" s="2360"/>
      <c r="AA436" s="2360"/>
      <c r="AB436" s="2360"/>
      <c r="AC436" s="2360"/>
      <c r="AD436" s="2360"/>
      <c r="AE436" s="2360"/>
      <c r="AF436" s="493"/>
      <c r="AG436" s="493"/>
      <c r="AH436" s="493"/>
      <c r="AI436" s="493"/>
      <c r="AJ436" s="493"/>
      <c r="AK436" s="493"/>
      <c r="AL436" s="649"/>
      <c r="AM436" s="469"/>
      <c r="AN436" s="496"/>
      <c r="AO436" s="25"/>
      <c r="AP436" s="13"/>
    </row>
    <row r="437" spans="1:60" s="449" customFormat="1" ht="12.75" customHeight="1">
      <c r="A437" s="435"/>
      <c r="B437" s="13"/>
      <c r="C437" s="650"/>
      <c r="D437" s="629"/>
      <c r="E437" s="618"/>
      <c r="F437" s="2360"/>
      <c r="G437" s="2360"/>
      <c r="H437" s="2360"/>
      <c r="I437" s="2360"/>
      <c r="J437" s="2360"/>
      <c r="K437" s="2360"/>
      <c r="L437" s="2360"/>
      <c r="M437" s="2360"/>
      <c r="N437" s="2360"/>
      <c r="O437" s="2360"/>
      <c r="P437" s="2360"/>
      <c r="Q437" s="2360"/>
      <c r="R437" s="2360"/>
      <c r="S437" s="2360"/>
      <c r="T437" s="2360"/>
      <c r="U437" s="2360"/>
      <c r="V437" s="2360"/>
      <c r="W437" s="2360"/>
      <c r="X437" s="2360"/>
      <c r="Y437" s="2360"/>
      <c r="Z437" s="2360"/>
      <c r="AA437" s="2360"/>
      <c r="AB437" s="2360"/>
      <c r="AC437" s="2360"/>
      <c r="AD437" s="2360"/>
      <c r="AE437" s="2360"/>
      <c r="AF437" s="493"/>
      <c r="AG437" s="493"/>
      <c r="AH437" s="493"/>
      <c r="AI437" s="493"/>
      <c r="AJ437" s="493"/>
      <c r="AK437" s="493"/>
      <c r="AL437" s="649"/>
      <c r="AM437" s="469"/>
      <c r="AN437" s="496"/>
    </row>
    <row r="438" spans="1:60" s="449" customFormat="1" ht="12.75" customHeight="1">
      <c r="A438" s="435"/>
      <c r="B438" s="13"/>
      <c r="C438" s="650"/>
      <c r="D438" s="629"/>
      <c r="E438" s="618"/>
      <c r="F438" s="2360"/>
      <c r="G438" s="2360"/>
      <c r="H438" s="2360"/>
      <c r="I438" s="2360"/>
      <c r="J438" s="2360"/>
      <c r="K438" s="2360"/>
      <c r="L438" s="2360"/>
      <c r="M438" s="2360"/>
      <c r="N438" s="2360"/>
      <c r="O438" s="2360"/>
      <c r="P438" s="2360"/>
      <c r="Q438" s="2360"/>
      <c r="R438" s="2360"/>
      <c r="S438" s="2360"/>
      <c r="T438" s="2360"/>
      <c r="U438" s="2360"/>
      <c r="V438" s="2360"/>
      <c r="W438" s="2360"/>
      <c r="X438" s="2360"/>
      <c r="Y438" s="2360"/>
      <c r="Z438" s="2360"/>
      <c r="AA438" s="2360"/>
      <c r="AB438" s="2360"/>
      <c r="AC438" s="2360"/>
      <c r="AD438" s="2360"/>
      <c r="AE438" s="2360"/>
      <c r="AF438" s="493"/>
      <c r="AG438" s="493"/>
      <c r="AH438" s="493"/>
      <c r="AI438" s="493"/>
      <c r="AJ438" s="493"/>
      <c r="AK438" s="493"/>
      <c r="AL438" s="649"/>
      <c r="AM438" s="469"/>
      <c r="AN438" s="496"/>
    </row>
    <row r="439" spans="1:60" s="449" customFormat="1" ht="12.75" customHeight="1">
      <c r="A439" s="435"/>
      <c r="B439" s="13"/>
      <c r="C439" s="650"/>
      <c r="D439" s="629"/>
      <c r="E439" s="618"/>
      <c r="F439" s="2360"/>
      <c r="G439" s="2360"/>
      <c r="H439" s="2360"/>
      <c r="I439" s="2360"/>
      <c r="J439" s="2360"/>
      <c r="K439" s="2360"/>
      <c r="L439" s="2360"/>
      <c r="M439" s="2360"/>
      <c r="N439" s="2360"/>
      <c r="O439" s="2360"/>
      <c r="P439" s="2360"/>
      <c r="Q439" s="2360"/>
      <c r="R439" s="2360"/>
      <c r="S439" s="2360"/>
      <c r="T439" s="2360"/>
      <c r="U439" s="2360"/>
      <c r="V439" s="2360"/>
      <c r="W439" s="2360"/>
      <c r="X439" s="2360"/>
      <c r="Y439" s="2360"/>
      <c r="Z439" s="2360"/>
      <c r="AA439" s="2360"/>
      <c r="AB439" s="2360"/>
      <c r="AC439" s="2360"/>
      <c r="AD439" s="2360"/>
      <c r="AE439" s="2360"/>
      <c r="AF439" s="493"/>
      <c r="AG439" s="493"/>
      <c r="AH439" s="493"/>
      <c r="AI439" s="493"/>
      <c r="AJ439" s="493"/>
      <c r="AK439" s="493"/>
      <c r="AL439" s="649"/>
      <c r="AM439" s="469"/>
      <c r="AN439" s="496"/>
    </row>
    <row r="440" spans="1:60" s="449" customFormat="1" ht="12.75" customHeight="1">
      <c r="A440" s="435"/>
      <c r="B440" s="13"/>
      <c r="C440" s="650"/>
      <c r="D440" s="629"/>
      <c r="E440" s="618"/>
      <c r="F440" s="2360"/>
      <c r="G440" s="2360"/>
      <c r="H440" s="2360"/>
      <c r="I440" s="2360"/>
      <c r="J440" s="2360"/>
      <c r="K440" s="2360"/>
      <c r="L440" s="2360"/>
      <c r="M440" s="2360"/>
      <c r="N440" s="2360"/>
      <c r="O440" s="2360"/>
      <c r="P440" s="2360"/>
      <c r="Q440" s="2360"/>
      <c r="R440" s="2360"/>
      <c r="S440" s="2360"/>
      <c r="T440" s="2360"/>
      <c r="U440" s="2360"/>
      <c r="V440" s="2360"/>
      <c r="W440" s="2360"/>
      <c r="X440" s="2360"/>
      <c r="Y440" s="2360"/>
      <c r="Z440" s="2360"/>
      <c r="AA440" s="2360"/>
      <c r="AB440" s="2360"/>
      <c r="AC440" s="2360"/>
      <c r="AD440" s="2360"/>
      <c r="AE440" s="2360"/>
      <c r="AF440" s="493"/>
      <c r="AG440" s="493"/>
      <c r="AH440" s="493"/>
      <c r="AI440" s="493"/>
      <c r="AJ440" s="493"/>
      <c r="AK440" s="493"/>
      <c r="AL440" s="649"/>
      <c r="AM440" s="469"/>
      <c r="AN440" s="496"/>
    </row>
    <row r="441" spans="1:60" s="449" customFormat="1" ht="17.25" customHeight="1">
      <c r="A441" s="435"/>
      <c r="B441" s="13"/>
      <c r="C441" s="650"/>
      <c r="D441" s="629"/>
      <c r="E441" s="618"/>
      <c r="F441" s="2360"/>
      <c r="G441" s="2360"/>
      <c r="H441" s="2360"/>
      <c r="I441" s="2360"/>
      <c r="J441" s="2360"/>
      <c r="K441" s="2360"/>
      <c r="L441" s="2360"/>
      <c r="M441" s="2360"/>
      <c r="N441" s="2360"/>
      <c r="O441" s="2360"/>
      <c r="P441" s="2360"/>
      <c r="Q441" s="2360"/>
      <c r="R441" s="2360"/>
      <c r="S441" s="2360"/>
      <c r="T441" s="2360"/>
      <c r="U441" s="2360"/>
      <c r="V441" s="2360"/>
      <c r="W441" s="2360"/>
      <c r="X441" s="2360"/>
      <c r="Y441" s="2360"/>
      <c r="Z441" s="2360"/>
      <c r="AA441" s="2360"/>
      <c r="AB441" s="2360"/>
      <c r="AC441" s="2360"/>
      <c r="AD441" s="2360"/>
      <c r="AE441" s="2360"/>
      <c r="AL441" s="631"/>
      <c r="AM441" s="469"/>
      <c r="AN441" s="496"/>
    </row>
    <row r="442" spans="1:60" s="449" customFormat="1" ht="12.75" customHeight="1">
      <c r="A442" s="435"/>
      <c r="B442" s="13"/>
      <c r="C442" s="2369" t="s">
        <v>807</v>
      </c>
      <c r="D442" s="2370"/>
      <c r="E442" s="618"/>
      <c r="F442" s="495" t="s">
        <v>2355</v>
      </c>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F442" s="2449" t="s">
        <v>2330</v>
      </c>
      <c r="AG442" s="2449"/>
      <c r="AH442" s="2449"/>
      <c r="AI442" s="2449"/>
      <c r="AJ442" s="2449"/>
      <c r="AK442" s="2449"/>
      <c r="AL442" s="2458"/>
      <c r="AM442" s="469"/>
      <c r="AN442" s="496"/>
    </row>
    <row r="443" spans="1:60" s="449" customFormat="1" ht="12.75" customHeight="1">
      <c r="A443" s="435"/>
      <c r="B443" s="13"/>
      <c r="C443" s="642"/>
      <c r="D443" s="626"/>
      <c r="E443" s="623"/>
      <c r="F443" s="640"/>
      <c r="G443" s="625"/>
      <c r="H443" s="625"/>
      <c r="I443" s="625"/>
      <c r="J443" s="625"/>
      <c r="K443" s="625"/>
      <c r="L443" s="625"/>
      <c r="M443" s="625"/>
      <c r="N443" s="625"/>
      <c r="O443" s="625"/>
      <c r="P443" s="625"/>
      <c r="Q443" s="625"/>
      <c r="R443" s="625"/>
      <c r="S443" s="625"/>
      <c r="T443" s="625"/>
      <c r="U443" s="625"/>
      <c r="V443" s="625"/>
      <c r="W443" s="625"/>
      <c r="X443" s="625"/>
      <c r="Y443" s="625"/>
      <c r="Z443" s="625"/>
      <c r="AA443" s="625"/>
      <c r="AB443" s="625"/>
      <c r="AC443" s="625"/>
      <c r="AD443" s="625"/>
      <c r="AE443" s="626"/>
      <c r="AF443" s="626"/>
      <c r="AG443" s="626"/>
      <c r="AH443" s="626"/>
      <c r="AI443" s="626"/>
      <c r="AJ443" s="626"/>
      <c r="AK443" s="626"/>
      <c r="AL443" s="641"/>
      <c r="AM443" s="469"/>
      <c r="AN443" s="496"/>
    </row>
    <row r="444" spans="1:60" s="449" customFormat="1" ht="12.75" customHeight="1">
      <c r="A444" s="435"/>
      <c r="B444" s="13"/>
      <c r="C444" s="629"/>
      <c r="D444" s="629"/>
      <c r="E444" s="618"/>
      <c r="F444" s="620"/>
      <c r="G444" s="502"/>
      <c r="H444" s="502"/>
      <c r="I444" s="502"/>
      <c r="J444" s="502"/>
      <c r="K444" s="502"/>
      <c r="L444" s="502"/>
      <c r="M444" s="502"/>
      <c r="N444" s="502"/>
      <c r="O444" s="502"/>
      <c r="P444" s="502"/>
      <c r="Q444" s="502"/>
      <c r="R444" s="502"/>
      <c r="S444" s="502"/>
      <c r="T444" s="502"/>
      <c r="U444" s="502"/>
      <c r="V444" s="502"/>
      <c r="W444" s="502"/>
      <c r="X444" s="502"/>
      <c r="Y444" s="502"/>
      <c r="Z444" s="502"/>
      <c r="AA444" s="502"/>
      <c r="AB444" s="502"/>
      <c r="AC444" s="502"/>
      <c r="AD444" s="502"/>
      <c r="AE444" s="490"/>
      <c r="AF444" s="490"/>
      <c r="AG444" s="490"/>
      <c r="AH444" s="490"/>
      <c r="AI444" s="490"/>
      <c r="AJ444" s="490"/>
      <c r="AK444" s="490"/>
      <c r="AL444" s="490"/>
      <c r="AM444" s="469"/>
      <c r="AN444" s="496"/>
    </row>
    <row r="445" spans="1:60" s="449" customFormat="1" ht="12.75" customHeight="1">
      <c r="A445" s="435"/>
      <c r="B445" s="13"/>
      <c r="C445" s="612"/>
      <c r="D445" s="613"/>
      <c r="E445" s="614" t="s">
        <v>2356</v>
      </c>
      <c r="F445" s="2359" t="s">
        <v>2357</v>
      </c>
      <c r="G445" s="2359"/>
      <c r="H445" s="2359"/>
      <c r="I445" s="2359"/>
      <c r="J445" s="2359"/>
      <c r="K445" s="2359"/>
      <c r="L445" s="2359"/>
      <c r="M445" s="2359"/>
      <c r="N445" s="2359"/>
      <c r="O445" s="2359"/>
      <c r="P445" s="2359"/>
      <c r="Q445" s="2359"/>
      <c r="R445" s="2359"/>
      <c r="S445" s="2359"/>
      <c r="T445" s="2359"/>
      <c r="U445" s="2359"/>
      <c r="V445" s="2359"/>
      <c r="W445" s="2359"/>
      <c r="X445" s="2359"/>
      <c r="Y445" s="2359"/>
      <c r="Z445" s="2359"/>
      <c r="AA445" s="2359"/>
      <c r="AB445" s="2359"/>
      <c r="AC445" s="2359"/>
      <c r="AD445" s="2359"/>
      <c r="AE445" s="2359"/>
      <c r="AF445" s="613"/>
      <c r="AG445" s="613"/>
      <c r="AH445" s="613"/>
      <c r="AI445" s="613"/>
      <c r="AJ445" s="613"/>
      <c r="AK445" s="613"/>
      <c r="AL445" s="644"/>
      <c r="AM445" s="469"/>
      <c r="AN445" s="496"/>
    </row>
    <row r="446" spans="1:60" s="449" customFormat="1" ht="12.75" customHeight="1">
      <c r="A446" s="435"/>
      <c r="B446" s="13"/>
      <c r="C446" s="650"/>
      <c r="D446" s="629"/>
      <c r="E446" s="618"/>
      <c r="F446" s="2360"/>
      <c r="G446" s="2360"/>
      <c r="H446" s="2360"/>
      <c r="I446" s="2360"/>
      <c r="J446" s="2360"/>
      <c r="K446" s="2360"/>
      <c r="L446" s="2360"/>
      <c r="M446" s="2360"/>
      <c r="N446" s="2360"/>
      <c r="O446" s="2360"/>
      <c r="P446" s="2360"/>
      <c r="Q446" s="2360"/>
      <c r="R446" s="2360"/>
      <c r="S446" s="2360"/>
      <c r="T446" s="2360"/>
      <c r="U446" s="2360"/>
      <c r="V446" s="2360"/>
      <c r="W446" s="2360"/>
      <c r="X446" s="2360"/>
      <c r="Y446" s="2360"/>
      <c r="Z446" s="2360"/>
      <c r="AA446" s="2360"/>
      <c r="AB446" s="2360"/>
      <c r="AC446" s="2360"/>
      <c r="AD446" s="2360"/>
      <c r="AE446" s="2360"/>
      <c r="AF446" s="490"/>
      <c r="AG446" s="490"/>
      <c r="AH446" s="490"/>
      <c r="AI446" s="490"/>
      <c r="AJ446" s="490"/>
      <c r="AK446" s="490"/>
      <c r="AL446" s="619"/>
      <c r="AM446" s="469"/>
      <c r="AN446" s="496"/>
    </row>
    <row r="447" spans="1:60" s="449" customFormat="1" ht="12.75" customHeight="1">
      <c r="A447" s="435"/>
      <c r="B447" s="13"/>
      <c r="C447" s="650"/>
      <c r="D447" s="629"/>
      <c r="E447" s="618"/>
      <c r="F447" s="2360"/>
      <c r="G447" s="2360"/>
      <c r="H447" s="2360"/>
      <c r="I447" s="2360"/>
      <c r="J447" s="2360"/>
      <c r="K447" s="2360"/>
      <c r="L447" s="2360"/>
      <c r="M447" s="2360"/>
      <c r="N447" s="2360"/>
      <c r="O447" s="2360"/>
      <c r="P447" s="2360"/>
      <c r="Q447" s="2360"/>
      <c r="R447" s="2360"/>
      <c r="S447" s="2360"/>
      <c r="T447" s="2360"/>
      <c r="U447" s="2360"/>
      <c r="V447" s="2360"/>
      <c r="W447" s="2360"/>
      <c r="X447" s="2360"/>
      <c r="Y447" s="2360"/>
      <c r="Z447" s="2360"/>
      <c r="AA447" s="2360"/>
      <c r="AB447" s="2360"/>
      <c r="AC447" s="2360"/>
      <c r="AD447" s="2360"/>
      <c r="AE447" s="2360"/>
      <c r="AF447" s="490"/>
      <c r="AG447" s="490"/>
      <c r="AH447" s="490"/>
      <c r="AI447" s="490"/>
      <c r="AJ447" s="490"/>
      <c r="AK447" s="490"/>
      <c r="AL447" s="619"/>
      <c r="AM447" s="469"/>
      <c r="AN447" s="496"/>
    </row>
    <row r="448" spans="1:60" s="449" customFormat="1" ht="12.75" customHeight="1">
      <c r="A448" s="435"/>
      <c r="B448" s="13"/>
      <c r="C448" s="650"/>
      <c r="D448" s="629"/>
      <c r="E448" s="618"/>
      <c r="F448" s="2360"/>
      <c r="G448" s="2360"/>
      <c r="H448" s="2360"/>
      <c r="I448" s="2360"/>
      <c r="J448" s="2360"/>
      <c r="K448" s="2360"/>
      <c r="L448" s="2360"/>
      <c r="M448" s="2360"/>
      <c r="N448" s="2360"/>
      <c r="O448" s="2360"/>
      <c r="P448" s="2360"/>
      <c r="Q448" s="2360"/>
      <c r="R448" s="2360"/>
      <c r="S448" s="2360"/>
      <c r="T448" s="2360"/>
      <c r="U448" s="2360"/>
      <c r="V448" s="2360"/>
      <c r="W448" s="2360"/>
      <c r="X448" s="2360"/>
      <c r="Y448" s="2360"/>
      <c r="Z448" s="2360"/>
      <c r="AA448" s="2360"/>
      <c r="AB448" s="2360"/>
      <c r="AC448" s="2360"/>
      <c r="AD448" s="2360"/>
      <c r="AE448" s="2360"/>
      <c r="AL448" s="631"/>
      <c r="AM448" s="469"/>
      <c r="AN448" s="496"/>
    </row>
    <row r="449" spans="1:40" s="449" customFormat="1" ht="12.75" customHeight="1">
      <c r="A449" s="435"/>
      <c r="B449" s="13"/>
      <c r="C449" s="2369" t="s">
        <v>807</v>
      </c>
      <c r="D449" s="2370"/>
      <c r="E449" s="618"/>
      <c r="F449" s="620" t="s">
        <v>2358</v>
      </c>
      <c r="G449" s="502"/>
      <c r="H449" s="502"/>
      <c r="I449" s="502"/>
      <c r="J449" s="502"/>
      <c r="K449" s="502"/>
      <c r="L449" s="502"/>
      <c r="M449" s="502"/>
      <c r="N449" s="502"/>
      <c r="O449" s="502"/>
      <c r="P449" s="502"/>
      <c r="Q449" s="502"/>
      <c r="R449" s="502"/>
      <c r="S449" s="502"/>
      <c r="T449" s="502"/>
      <c r="U449" s="502"/>
      <c r="V449" s="502"/>
      <c r="W449" s="502"/>
      <c r="X449" s="502"/>
      <c r="Y449" s="502"/>
      <c r="Z449" s="502"/>
      <c r="AA449" s="502"/>
      <c r="AB449" s="502"/>
      <c r="AC449" s="502"/>
      <c r="AD449" s="502"/>
      <c r="AF449" s="2449" t="s">
        <v>2330</v>
      </c>
      <c r="AG449" s="2449"/>
      <c r="AH449" s="2449"/>
      <c r="AI449" s="2449"/>
      <c r="AJ449" s="2449"/>
      <c r="AK449" s="2449"/>
      <c r="AL449" s="2458"/>
      <c r="AM449" s="469"/>
      <c r="AN449" s="652"/>
    </row>
    <row r="450" spans="1:40" s="449" customFormat="1" ht="12.75" customHeight="1">
      <c r="A450" s="435"/>
      <c r="B450" s="13"/>
      <c r="C450" s="650"/>
      <c r="D450" s="629"/>
      <c r="E450" s="618"/>
      <c r="F450" s="620"/>
      <c r="G450" s="502"/>
      <c r="H450" s="502"/>
      <c r="I450" s="502"/>
      <c r="J450" s="502"/>
      <c r="K450" s="502"/>
      <c r="L450" s="502"/>
      <c r="M450" s="502"/>
      <c r="N450" s="502"/>
      <c r="O450" s="502"/>
      <c r="P450" s="502"/>
      <c r="Q450" s="502"/>
      <c r="R450" s="502"/>
      <c r="S450" s="502"/>
      <c r="T450" s="502"/>
      <c r="U450" s="502"/>
      <c r="V450" s="502"/>
      <c r="W450" s="502"/>
      <c r="X450" s="502"/>
      <c r="Y450" s="502"/>
      <c r="Z450" s="502"/>
      <c r="AA450" s="502"/>
      <c r="AB450" s="502"/>
      <c r="AC450" s="502"/>
      <c r="AD450" s="502"/>
      <c r="AE450" s="490"/>
      <c r="AL450" s="631"/>
      <c r="AM450" s="469"/>
      <c r="AN450" s="652"/>
    </row>
    <row r="451" spans="1:40" s="449" customFormat="1" ht="12.75" customHeight="1">
      <c r="A451" s="435"/>
      <c r="B451" s="13"/>
      <c r="C451" s="639"/>
      <c r="D451" s="632"/>
      <c r="E451" s="633"/>
      <c r="F451" s="626" t="s">
        <v>2337</v>
      </c>
      <c r="G451" s="634"/>
      <c r="H451" s="634"/>
      <c r="I451" s="634"/>
      <c r="J451" s="634"/>
      <c r="K451" s="634"/>
      <c r="L451" s="634"/>
      <c r="M451" s="634"/>
      <c r="N451" s="634"/>
      <c r="O451" s="634"/>
      <c r="P451" s="634"/>
      <c r="Q451" s="634"/>
      <c r="R451" s="634"/>
      <c r="S451" s="634"/>
      <c r="T451" s="634"/>
      <c r="U451" s="634"/>
      <c r="V451" s="634"/>
      <c r="W451" s="634"/>
      <c r="X451" s="634"/>
      <c r="Y451" s="634"/>
      <c r="Z451" s="634"/>
      <c r="AA451" s="634"/>
      <c r="AB451" s="634"/>
      <c r="AC451" s="634"/>
      <c r="AD451" s="634"/>
      <c r="AE451" s="636"/>
      <c r="AF451" s="482"/>
      <c r="AG451" s="636"/>
      <c r="AH451" s="626"/>
      <c r="AI451" s="626"/>
      <c r="AJ451" s="626"/>
      <c r="AK451" s="626"/>
      <c r="AL451" s="641"/>
      <c r="AM451" s="469"/>
      <c r="AN451" s="652"/>
    </row>
    <row r="452" spans="1:40" s="449" customFormat="1" ht="12.75" customHeight="1">
      <c r="A452" s="435"/>
      <c r="B452" s="13"/>
      <c r="C452" s="629"/>
      <c r="D452" s="629"/>
      <c r="E452" s="618"/>
      <c r="F452" s="620"/>
      <c r="G452" s="502"/>
      <c r="H452" s="502"/>
      <c r="I452" s="502"/>
      <c r="J452" s="502"/>
      <c r="K452" s="502"/>
      <c r="L452" s="502"/>
      <c r="M452" s="502"/>
      <c r="N452" s="502"/>
      <c r="O452" s="502"/>
      <c r="P452" s="502"/>
      <c r="Q452" s="502"/>
      <c r="R452" s="502"/>
      <c r="S452" s="502"/>
      <c r="T452" s="502"/>
      <c r="U452" s="502"/>
      <c r="V452" s="502"/>
      <c r="W452" s="502"/>
      <c r="X452" s="502"/>
      <c r="Y452" s="502"/>
      <c r="Z452" s="502"/>
      <c r="AA452" s="502"/>
      <c r="AB452" s="502"/>
      <c r="AC452" s="502"/>
      <c r="AD452" s="502"/>
      <c r="AE452" s="490"/>
      <c r="AM452" s="469"/>
      <c r="AN452" s="652"/>
    </row>
    <row r="453" spans="1:40" s="449" customFormat="1" ht="12.75" customHeight="1">
      <c r="A453" s="435"/>
      <c r="B453" s="13"/>
      <c r="C453" s="2485" t="s">
        <v>807</v>
      </c>
      <c r="D453" s="2486"/>
      <c r="E453" s="614" t="s">
        <v>2359</v>
      </c>
      <c r="F453" s="2359" t="s">
        <v>2360</v>
      </c>
      <c r="G453" s="2359"/>
      <c r="H453" s="2359"/>
      <c r="I453" s="2359"/>
      <c r="J453" s="2359"/>
      <c r="K453" s="2359"/>
      <c r="L453" s="2359"/>
      <c r="M453" s="2359"/>
      <c r="N453" s="2359"/>
      <c r="O453" s="2359"/>
      <c r="P453" s="2359"/>
      <c r="Q453" s="2359"/>
      <c r="R453" s="2359"/>
      <c r="S453" s="2359"/>
      <c r="T453" s="2359"/>
      <c r="U453" s="2359"/>
      <c r="V453" s="2359"/>
      <c r="W453" s="2359"/>
      <c r="X453" s="2359"/>
      <c r="Y453" s="2359"/>
      <c r="Z453" s="2359"/>
      <c r="AA453" s="2359"/>
      <c r="AB453" s="2359"/>
      <c r="AC453" s="2359"/>
      <c r="AD453" s="2359"/>
      <c r="AE453" s="2359"/>
      <c r="AF453" s="2387" t="s">
        <v>2330</v>
      </c>
      <c r="AG453" s="2387"/>
      <c r="AH453" s="2387"/>
      <c r="AI453" s="2387"/>
      <c r="AJ453" s="2387"/>
      <c r="AK453" s="2387"/>
      <c r="AL453" s="2388"/>
      <c r="AM453" s="469"/>
      <c r="AN453" s="652"/>
    </row>
    <row r="454" spans="1:40" s="449" customFormat="1" ht="12.75" customHeight="1">
      <c r="A454" s="435"/>
      <c r="B454" s="13"/>
      <c r="C454" s="650"/>
      <c r="D454" s="629"/>
      <c r="E454" s="618"/>
      <c r="F454" s="2360"/>
      <c r="G454" s="2360"/>
      <c r="H454" s="2360"/>
      <c r="I454" s="2360"/>
      <c r="J454" s="2360"/>
      <c r="K454" s="2360"/>
      <c r="L454" s="2360"/>
      <c r="M454" s="2360"/>
      <c r="N454" s="2360"/>
      <c r="O454" s="2360"/>
      <c r="P454" s="2360"/>
      <c r="Q454" s="2360"/>
      <c r="R454" s="2360"/>
      <c r="S454" s="2360"/>
      <c r="T454" s="2360"/>
      <c r="U454" s="2360"/>
      <c r="V454" s="2360"/>
      <c r="W454" s="2360"/>
      <c r="X454" s="2360"/>
      <c r="Y454" s="2360"/>
      <c r="Z454" s="2360"/>
      <c r="AA454" s="2360"/>
      <c r="AB454" s="2360"/>
      <c r="AC454" s="2360"/>
      <c r="AD454" s="2360"/>
      <c r="AE454" s="2360"/>
      <c r="AF454" s="490"/>
      <c r="AG454" s="490"/>
      <c r="AH454" s="490"/>
      <c r="AI454" s="490"/>
      <c r="AJ454" s="490"/>
      <c r="AK454" s="490"/>
      <c r="AL454" s="619"/>
      <c r="AM454" s="469"/>
      <c r="AN454" s="653"/>
    </row>
    <row r="455" spans="1:40" s="449" customFormat="1" ht="17.75" customHeight="1">
      <c r="A455" s="435"/>
      <c r="B455" s="13"/>
      <c r="C455" s="655"/>
      <c r="D455" s="622"/>
      <c r="E455" s="623"/>
      <c r="F455" s="2361"/>
      <c r="G455" s="2361"/>
      <c r="H455" s="2361"/>
      <c r="I455" s="2361"/>
      <c r="J455" s="2361"/>
      <c r="K455" s="2361"/>
      <c r="L455" s="2361"/>
      <c r="M455" s="2361"/>
      <c r="N455" s="2361"/>
      <c r="O455" s="2361"/>
      <c r="P455" s="2361"/>
      <c r="Q455" s="2361"/>
      <c r="R455" s="2361"/>
      <c r="S455" s="2361"/>
      <c r="T455" s="2361"/>
      <c r="U455" s="2361"/>
      <c r="V455" s="2361"/>
      <c r="W455" s="2361"/>
      <c r="X455" s="2361"/>
      <c r="Y455" s="2361"/>
      <c r="Z455" s="2361"/>
      <c r="AA455" s="2361"/>
      <c r="AB455" s="2361"/>
      <c r="AC455" s="2361"/>
      <c r="AD455" s="2361"/>
      <c r="AE455" s="2361"/>
      <c r="AF455" s="627"/>
      <c r="AG455" s="627"/>
      <c r="AH455" s="627"/>
      <c r="AI455" s="627"/>
      <c r="AJ455" s="627"/>
      <c r="AK455" s="627"/>
      <c r="AL455" s="656"/>
      <c r="AM455" s="469"/>
      <c r="AN455" s="434"/>
    </row>
    <row r="456" spans="1:40" s="449" customFormat="1" ht="12.75" customHeight="1">
      <c r="A456" s="435"/>
      <c r="B456" s="13"/>
      <c r="C456" s="629"/>
      <c r="D456" s="629"/>
      <c r="E456" s="618"/>
      <c r="F456" s="620"/>
      <c r="G456" s="502"/>
      <c r="H456" s="502"/>
      <c r="I456" s="502"/>
      <c r="J456" s="502"/>
      <c r="K456" s="502"/>
      <c r="L456" s="502"/>
      <c r="M456" s="502"/>
      <c r="N456" s="502"/>
      <c r="O456" s="502"/>
      <c r="P456" s="502"/>
      <c r="Q456" s="502"/>
      <c r="R456" s="502"/>
      <c r="S456" s="502"/>
      <c r="T456" s="502"/>
      <c r="U456" s="502"/>
      <c r="V456" s="502"/>
      <c r="W456" s="502"/>
      <c r="X456" s="502"/>
      <c r="Y456" s="502"/>
      <c r="Z456" s="502"/>
      <c r="AA456" s="502"/>
      <c r="AB456" s="502"/>
      <c r="AC456" s="502"/>
      <c r="AD456" s="502"/>
      <c r="AE456" s="490"/>
      <c r="AM456" s="469"/>
      <c r="AN456" s="434"/>
    </row>
    <row r="457" spans="1:40" s="449" customFormat="1" ht="12.75" customHeight="1">
      <c r="A457" s="435"/>
      <c r="B457" s="13"/>
      <c r="C457" s="2369" t="s">
        <v>807</v>
      </c>
      <c r="D457" s="2370"/>
      <c r="E457" s="614" t="s">
        <v>2361</v>
      </c>
      <c r="F457" s="2359" t="s">
        <v>2362</v>
      </c>
      <c r="G457" s="2359"/>
      <c r="H457" s="2359"/>
      <c r="I457" s="2359"/>
      <c r="J457" s="2359"/>
      <c r="K457" s="2359"/>
      <c r="L457" s="2359"/>
      <c r="M457" s="2359"/>
      <c r="N457" s="2359"/>
      <c r="O457" s="2359"/>
      <c r="P457" s="2359"/>
      <c r="Q457" s="2359"/>
      <c r="R457" s="2359"/>
      <c r="S457" s="2359"/>
      <c r="T457" s="2359"/>
      <c r="U457" s="2359"/>
      <c r="V457" s="2359"/>
      <c r="W457" s="2359"/>
      <c r="X457" s="2359"/>
      <c r="Y457" s="2359"/>
      <c r="Z457" s="2359"/>
      <c r="AA457" s="2359"/>
      <c r="AB457" s="2359"/>
      <c r="AC457" s="2359"/>
      <c r="AD457" s="2359"/>
      <c r="AE457" s="2359"/>
      <c r="AF457" s="2387" t="s">
        <v>2330</v>
      </c>
      <c r="AG457" s="2387"/>
      <c r="AH457" s="2387"/>
      <c r="AI457" s="2387"/>
      <c r="AJ457" s="2387"/>
      <c r="AK457" s="2387"/>
      <c r="AL457" s="2388"/>
      <c r="AM457" s="469"/>
      <c r="AN457" s="434"/>
    </row>
    <row r="458" spans="1:40" s="449" customFormat="1" ht="12.75" customHeight="1">
      <c r="A458" s="435"/>
      <c r="B458" s="13"/>
      <c r="C458" s="630"/>
      <c r="D458" s="13"/>
      <c r="E458" s="590"/>
      <c r="F458" s="2360"/>
      <c r="G458" s="2360"/>
      <c r="H458" s="2360"/>
      <c r="I458" s="2360"/>
      <c r="J458" s="2360"/>
      <c r="K458" s="2360"/>
      <c r="L458" s="2360"/>
      <c r="M458" s="2360"/>
      <c r="N458" s="2360"/>
      <c r="O458" s="2360"/>
      <c r="P458" s="2360"/>
      <c r="Q458" s="2360"/>
      <c r="R458" s="2360"/>
      <c r="S458" s="2360"/>
      <c r="T458" s="2360"/>
      <c r="U458" s="2360"/>
      <c r="V458" s="2360"/>
      <c r="W458" s="2360"/>
      <c r="X458" s="2360"/>
      <c r="Y458" s="2360"/>
      <c r="Z458" s="2360"/>
      <c r="AA458" s="2360"/>
      <c r="AB458" s="2360"/>
      <c r="AC458" s="2360"/>
      <c r="AD458" s="2360"/>
      <c r="AE458" s="2360"/>
      <c r="AF458" s="438"/>
      <c r="AG458" s="435"/>
      <c r="AL458" s="631"/>
      <c r="AM458" s="469"/>
      <c r="AN458" s="434"/>
    </row>
    <row r="459" spans="1:40" s="449" customFormat="1" ht="12.75" customHeight="1">
      <c r="A459" s="435"/>
      <c r="B459" s="13"/>
      <c r="C459" s="630"/>
      <c r="D459" s="13"/>
      <c r="E459" s="590"/>
      <c r="F459" s="2360"/>
      <c r="G459" s="2360"/>
      <c r="H459" s="2360"/>
      <c r="I459" s="2360"/>
      <c r="J459" s="2360"/>
      <c r="K459" s="2360"/>
      <c r="L459" s="2360"/>
      <c r="M459" s="2360"/>
      <c r="N459" s="2360"/>
      <c r="O459" s="2360"/>
      <c r="P459" s="2360"/>
      <c r="Q459" s="2360"/>
      <c r="R459" s="2360"/>
      <c r="S459" s="2360"/>
      <c r="T459" s="2360"/>
      <c r="U459" s="2360"/>
      <c r="V459" s="2360"/>
      <c r="W459" s="2360"/>
      <c r="X459" s="2360"/>
      <c r="Y459" s="2360"/>
      <c r="Z459" s="2360"/>
      <c r="AA459" s="2360"/>
      <c r="AB459" s="2360"/>
      <c r="AC459" s="2360"/>
      <c r="AD459" s="2360"/>
      <c r="AE459" s="2360"/>
      <c r="AF459" s="438"/>
      <c r="AG459" s="435"/>
      <c r="AL459" s="631"/>
      <c r="AM459" s="469"/>
      <c r="AN459" s="434"/>
    </row>
    <row r="460" spans="1:40" s="449" customFormat="1" ht="12.75" customHeight="1">
      <c r="A460" s="435"/>
      <c r="B460" s="13"/>
      <c r="C460" s="655"/>
      <c r="D460" s="622"/>
      <c r="E460" s="623"/>
      <c r="F460" s="2361"/>
      <c r="G460" s="2361"/>
      <c r="H460" s="2361"/>
      <c r="I460" s="2361"/>
      <c r="J460" s="2361"/>
      <c r="K460" s="2361"/>
      <c r="L460" s="2361"/>
      <c r="M460" s="2361"/>
      <c r="N460" s="2361"/>
      <c r="O460" s="2361"/>
      <c r="P460" s="2361"/>
      <c r="Q460" s="2361"/>
      <c r="R460" s="2361"/>
      <c r="S460" s="2361"/>
      <c r="T460" s="2361"/>
      <c r="U460" s="2361"/>
      <c r="V460" s="2361"/>
      <c r="W460" s="2361"/>
      <c r="X460" s="2361"/>
      <c r="Y460" s="2361"/>
      <c r="Z460" s="2361"/>
      <c r="AA460" s="2361"/>
      <c r="AB460" s="2361"/>
      <c r="AC460" s="2361"/>
      <c r="AD460" s="2361"/>
      <c r="AE460" s="2361"/>
      <c r="AF460" s="627"/>
      <c r="AG460" s="627"/>
      <c r="AH460" s="627"/>
      <c r="AI460" s="627"/>
      <c r="AJ460" s="627"/>
      <c r="AK460" s="627"/>
      <c r="AL460" s="656"/>
      <c r="AM460" s="469"/>
      <c r="AN460" s="496"/>
    </row>
    <row r="461" spans="1:40" s="449" customFormat="1" ht="12.75" customHeight="1">
      <c r="A461" s="435"/>
      <c r="B461" s="13"/>
      <c r="G461" s="502"/>
      <c r="H461" s="502"/>
      <c r="I461" s="502"/>
      <c r="J461" s="502"/>
      <c r="K461" s="502"/>
      <c r="L461" s="502"/>
      <c r="M461" s="502"/>
      <c r="N461" s="502"/>
      <c r="O461" s="502"/>
      <c r="P461" s="502"/>
      <c r="Q461" s="502"/>
      <c r="R461" s="502"/>
      <c r="S461" s="502"/>
      <c r="T461" s="502"/>
      <c r="U461" s="502"/>
      <c r="V461" s="502"/>
      <c r="W461" s="502"/>
      <c r="X461" s="502"/>
      <c r="Y461" s="502"/>
      <c r="Z461" s="502"/>
      <c r="AA461" s="502"/>
      <c r="AB461" s="502"/>
      <c r="AC461" s="502"/>
      <c r="AD461" s="502"/>
      <c r="AM461" s="469"/>
      <c r="AN461" s="496"/>
    </row>
    <row r="462" spans="1:40" s="449" customFormat="1" ht="12.75" customHeight="1">
      <c r="A462" s="435"/>
      <c r="B462" s="13"/>
      <c r="C462" s="612"/>
      <c r="D462" s="613"/>
      <c r="E462" s="614" t="s">
        <v>2363</v>
      </c>
      <c r="F462" s="2359" t="s">
        <v>2364</v>
      </c>
      <c r="G462" s="2359"/>
      <c r="H462" s="2359"/>
      <c r="I462" s="2359"/>
      <c r="J462" s="2359"/>
      <c r="K462" s="2359"/>
      <c r="L462" s="2359"/>
      <c r="M462" s="2359"/>
      <c r="N462" s="2359"/>
      <c r="O462" s="2359"/>
      <c r="P462" s="2359"/>
      <c r="Q462" s="2359"/>
      <c r="R462" s="2359"/>
      <c r="S462" s="2359"/>
      <c r="T462" s="2359"/>
      <c r="U462" s="2359"/>
      <c r="V462" s="2359"/>
      <c r="W462" s="2359"/>
      <c r="X462" s="2359"/>
      <c r="Y462" s="2359"/>
      <c r="Z462" s="2359"/>
      <c r="AA462" s="2359"/>
      <c r="AB462" s="2359"/>
      <c r="AC462" s="2359"/>
      <c r="AD462" s="2359"/>
      <c r="AE462" s="2359"/>
      <c r="AF462" s="2359"/>
      <c r="AG462" s="643"/>
      <c r="AH462" s="613"/>
      <c r="AI462" s="613"/>
      <c r="AJ462" s="613"/>
      <c r="AK462" s="613"/>
      <c r="AL462" s="644"/>
      <c r="AM462" s="469"/>
      <c r="AN462" s="496"/>
    </row>
    <row r="463" spans="1:40" s="449" customFormat="1" ht="12.75" customHeight="1">
      <c r="A463" s="435"/>
      <c r="B463" s="13"/>
      <c r="C463" s="630"/>
      <c r="D463" s="13"/>
      <c r="E463" s="590"/>
      <c r="F463" s="2360"/>
      <c r="G463" s="2360"/>
      <c r="H463" s="2360"/>
      <c r="I463" s="2360"/>
      <c r="J463" s="2360"/>
      <c r="K463" s="2360"/>
      <c r="L463" s="2360"/>
      <c r="M463" s="2360"/>
      <c r="N463" s="2360"/>
      <c r="O463" s="2360"/>
      <c r="P463" s="2360"/>
      <c r="Q463" s="2360"/>
      <c r="R463" s="2360"/>
      <c r="S463" s="2360"/>
      <c r="T463" s="2360"/>
      <c r="U463" s="2360"/>
      <c r="V463" s="2360"/>
      <c r="W463" s="2360"/>
      <c r="X463" s="2360"/>
      <c r="Y463" s="2360"/>
      <c r="Z463" s="2360"/>
      <c r="AA463" s="2360"/>
      <c r="AB463" s="2360"/>
      <c r="AC463" s="2360"/>
      <c r="AD463" s="2360"/>
      <c r="AE463" s="2360"/>
      <c r="AF463" s="2360"/>
      <c r="AL463" s="631"/>
      <c r="AM463" s="469"/>
      <c r="AN463" s="496"/>
    </row>
    <row r="464" spans="1:40" s="449" customFormat="1" ht="12.75" customHeight="1">
      <c r="A464" s="435"/>
      <c r="B464" s="13"/>
      <c r="C464" s="638"/>
      <c r="F464" s="2360"/>
      <c r="G464" s="2360"/>
      <c r="H464" s="2360"/>
      <c r="I464" s="2360"/>
      <c r="J464" s="2360"/>
      <c r="K464" s="2360"/>
      <c r="L464" s="2360"/>
      <c r="M464" s="2360"/>
      <c r="N464" s="2360"/>
      <c r="O464" s="2360"/>
      <c r="P464" s="2360"/>
      <c r="Q464" s="2360"/>
      <c r="R464" s="2360"/>
      <c r="S464" s="2360"/>
      <c r="T464" s="2360"/>
      <c r="U464" s="2360"/>
      <c r="V464" s="2360"/>
      <c r="W464" s="2360"/>
      <c r="X464" s="2360"/>
      <c r="Y464" s="2360"/>
      <c r="Z464" s="2360"/>
      <c r="AA464" s="2360"/>
      <c r="AB464" s="2360"/>
      <c r="AC464" s="2360"/>
      <c r="AD464" s="2360"/>
      <c r="AE464" s="2360"/>
      <c r="AF464" s="2360"/>
      <c r="AL464" s="631"/>
      <c r="AM464" s="469"/>
      <c r="AN464" s="496"/>
    </row>
    <row r="465" spans="1:58" s="449" customFormat="1" ht="12.75" customHeight="1">
      <c r="A465" s="435"/>
      <c r="B465" s="13"/>
      <c r="C465" s="638"/>
      <c r="F465" s="2360"/>
      <c r="G465" s="2360"/>
      <c r="H465" s="2360"/>
      <c r="I465" s="2360"/>
      <c r="J465" s="2360"/>
      <c r="K465" s="2360"/>
      <c r="L465" s="2360"/>
      <c r="M465" s="2360"/>
      <c r="N465" s="2360"/>
      <c r="O465" s="2360"/>
      <c r="P465" s="2360"/>
      <c r="Q465" s="2360"/>
      <c r="R465" s="2360"/>
      <c r="S465" s="2360"/>
      <c r="T465" s="2360"/>
      <c r="U465" s="2360"/>
      <c r="V465" s="2360"/>
      <c r="W465" s="2360"/>
      <c r="X465" s="2360"/>
      <c r="Y465" s="2360"/>
      <c r="Z465" s="2360"/>
      <c r="AA465" s="2360"/>
      <c r="AB465" s="2360"/>
      <c r="AC465" s="2360"/>
      <c r="AD465" s="2360"/>
      <c r="AE465" s="2360"/>
      <c r="AF465" s="2360"/>
      <c r="AL465" s="631"/>
      <c r="AM465" s="469"/>
      <c r="AN465" s="496"/>
    </row>
    <row r="466" spans="1:58" s="449" customFormat="1" ht="12.75" customHeight="1">
      <c r="A466" s="435"/>
      <c r="B466" s="13"/>
      <c r="C466" s="2369" t="s">
        <v>807</v>
      </c>
      <c r="D466" s="2370"/>
      <c r="E466" s="618"/>
      <c r="F466" s="620" t="s">
        <v>2347</v>
      </c>
      <c r="G466" s="502"/>
      <c r="H466" s="502"/>
      <c r="I466" s="502"/>
      <c r="J466" s="502"/>
      <c r="K466" s="502"/>
      <c r="L466" s="502"/>
      <c r="M466" s="502"/>
      <c r="N466" s="502"/>
      <c r="O466" s="502"/>
      <c r="P466" s="502"/>
      <c r="Q466" s="502"/>
      <c r="R466" s="502"/>
      <c r="S466" s="502"/>
      <c r="T466" s="502"/>
      <c r="U466" s="502"/>
      <c r="V466" s="502"/>
      <c r="W466" s="502"/>
      <c r="X466" s="502"/>
      <c r="Y466" s="502"/>
      <c r="Z466" s="502"/>
      <c r="AA466" s="502"/>
      <c r="AB466" s="502"/>
      <c r="AC466" s="502"/>
      <c r="AD466" s="502"/>
      <c r="AF466" s="2371" t="s">
        <v>2330</v>
      </c>
      <c r="AG466" s="2371"/>
      <c r="AH466" s="2371"/>
      <c r="AI466" s="2371"/>
      <c r="AJ466" s="2371"/>
      <c r="AK466" s="2371"/>
      <c r="AL466" s="2372"/>
      <c r="AM466" s="469"/>
      <c r="AN466" s="496"/>
    </row>
    <row r="467" spans="1:58" s="449" customFormat="1" ht="12.75" customHeight="1">
      <c r="A467" s="435"/>
      <c r="B467" s="13"/>
      <c r="C467" s="639"/>
      <c r="D467" s="632"/>
      <c r="E467" s="633"/>
      <c r="F467" s="626"/>
      <c r="G467" s="626"/>
      <c r="H467" s="626"/>
      <c r="I467" s="626"/>
      <c r="J467" s="626"/>
      <c r="K467" s="626"/>
      <c r="L467" s="626"/>
      <c r="M467" s="626"/>
      <c r="N467" s="626"/>
      <c r="O467" s="626"/>
      <c r="P467" s="626"/>
      <c r="Q467" s="626"/>
      <c r="R467" s="626"/>
      <c r="S467" s="626"/>
      <c r="T467" s="626"/>
      <c r="U467" s="626"/>
      <c r="V467" s="626"/>
      <c r="W467" s="626"/>
      <c r="X467" s="626"/>
      <c r="Y467" s="626"/>
      <c r="Z467" s="626"/>
      <c r="AA467" s="626"/>
      <c r="AB467" s="626"/>
      <c r="AC467" s="626"/>
      <c r="AD467" s="626"/>
      <c r="AE467" s="626"/>
      <c r="AF467" s="626"/>
      <c r="AG467" s="626"/>
      <c r="AH467" s="626"/>
      <c r="AI467" s="626"/>
      <c r="AJ467" s="626"/>
      <c r="AK467" s="626"/>
      <c r="AL467" s="641"/>
      <c r="AN467" s="496"/>
    </row>
    <row r="468" spans="1:58" s="449" customFormat="1" ht="12.75" customHeight="1">
      <c r="A468" s="435"/>
      <c r="B468" s="13"/>
      <c r="C468" s="907"/>
      <c r="D468" s="469"/>
      <c r="F468" s="620"/>
      <c r="G468" s="502"/>
      <c r="H468" s="502"/>
      <c r="I468" s="502"/>
      <c r="J468" s="502"/>
      <c r="K468" s="502"/>
      <c r="L468" s="502"/>
      <c r="M468" s="502"/>
      <c r="N468" s="502"/>
      <c r="O468" s="502"/>
      <c r="P468" s="502"/>
      <c r="Q468" s="502"/>
      <c r="R468" s="502"/>
      <c r="S468" s="502"/>
      <c r="T468" s="502"/>
      <c r="U468" s="502"/>
      <c r="V468" s="502"/>
      <c r="W468" s="502"/>
      <c r="X468" s="502"/>
      <c r="Y468" s="502"/>
      <c r="Z468" s="502"/>
      <c r="AA468" s="502"/>
      <c r="AB468" s="502"/>
      <c r="AC468" s="502"/>
      <c r="AD468" s="502"/>
      <c r="AF468" s="512"/>
      <c r="AG468" s="512"/>
      <c r="AH468" s="512"/>
      <c r="AI468" s="512"/>
      <c r="AJ468" s="512"/>
      <c r="AK468" s="512"/>
      <c r="AL468" s="512"/>
      <c r="AN468" s="496"/>
    </row>
    <row r="469" spans="1:58" s="449" customFormat="1" ht="12.75" customHeight="1">
      <c r="A469" s="499"/>
      <c r="B469" s="756" t="s">
        <v>2365</v>
      </c>
      <c r="D469" s="576"/>
      <c r="E469" s="500"/>
      <c r="F469" s="500"/>
      <c r="G469" s="500"/>
      <c r="H469" s="500"/>
      <c r="I469" s="500"/>
      <c r="J469" s="500"/>
      <c r="K469" s="500"/>
      <c r="L469" s="500"/>
      <c r="M469" s="500"/>
      <c r="N469" s="500"/>
      <c r="O469" s="500"/>
      <c r="P469" s="500"/>
      <c r="Q469" s="500"/>
      <c r="R469" s="500"/>
      <c r="S469" s="500"/>
      <c r="T469" s="500"/>
      <c r="U469" s="500"/>
      <c r="V469" s="500"/>
      <c r="W469" s="500"/>
      <c r="X469" s="500"/>
      <c r="Y469" s="500"/>
      <c r="Z469" s="500"/>
      <c r="AA469" s="500"/>
      <c r="AB469" s="500"/>
      <c r="AC469" s="500"/>
      <c r="AD469" s="500"/>
      <c r="AE469" s="463"/>
      <c r="AF469" s="463"/>
      <c r="AG469" s="463"/>
      <c r="AH469" s="463"/>
      <c r="AI469" s="464"/>
      <c r="AJ469" s="464" t="s">
        <v>2366</v>
      </c>
      <c r="AK469" s="2356">
        <f>IF(Application!D214="N/A",AS358,AS360)</f>
        <v>10</v>
      </c>
      <c r="AL469" s="2357"/>
      <c r="AM469" s="2358"/>
      <c r="AN469" s="496"/>
    </row>
    <row r="470" spans="1:58" s="449" customFormat="1" ht="12.75" customHeight="1" thickBot="1">
      <c r="A470" s="658"/>
      <c r="B470" s="658"/>
      <c r="C470" s="658"/>
      <c r="D470" s="658"/>
      <c r="E470" s="658"/>
      <c r="F470" s="658"/>
      <c r="G470" s="658"/>
      <c r="H470" s="658"/>
      <c r="I470" s="658"/>
      <c r="J470" s="658"/>
      <c r="K470" s="658"/>
      <c r="L470" s="658"/>
      <c r="M470" s="658"/>
      <c r="N470" s="658"/>
      <c r="O470" s="658"/>
      <c r="P470" s="658"/>
      <c r="Q470" s="658"/>
      <c r="R470" s="658"/>
      <c r="S470" s="658"/>
      <c r="T470" s="658"/>
      <c r="U470" s="658"/>
      <c r="V470" s="658"/>
      <c r="W470" s="658"/>
      <c r="X470" s="658"/>
      <c r="Y470" s="658"/>
      <c r="Z470" s="658"/>
      <c r="AA470" s="658"/>
      <c r="AB470" s="658"/>
      <c r="AC470" s="658"/>
      <c r="AD470" s="658"/>
      <c r="AE470" s="658"/>
      <c r="AF470" s="658"/>
      <c r="AG470" s="658"/>
      <c r="AH470" s="658"/>
      <c r="AI470" s="658"/>
      <c r="AJ470" s="658"/>
      <c r="AK470" s="658"/>
      <c r="AL470" s="658"/>
      <c r="AM470" s="659"/>
      <c r="AN470" s="496"/>
    </row>
    <row r="471" spans="1:58" s="449" customFormat="1" ht="12.75" hidden="1" customHeight="1" thickTop="1">
      <c r="A471" s="63"/>
      <c r="B471" s="470"/>
      <c r="C471" s="471"/>
      <c r="D471" s="471"/>
      <c r="E471" s="471"/>
      <c r="F471" s="471"/>
      <c r="G471" s="471"/>
      <c r="H471" s="471"/>
      <c r="I471" s="472"/>
      <c r="J471" s="472"/>
      <c r="K471" s="472"/>
      <c r="L471" s="472"/>
      <c r="M471" s="472"/>
      <c r="N471" s="472"/>
      <c r="O471" s="472"/>
      <c r="P471" s="472"/>
      <c r="Q471" s="472"/>
      <c r="R471" s="469"/>
      <c r="S471" s="438"/>
      <c r="T471" s="438"/>
      <c r="U471" s="438"/>
      <c r="V471" s="438"/>
      <c r="W471" s="438"/>
      <c r="X471" s="438"/>
      <c r="Y471" s="438"/>
      <c r="Z471" s="438"/>
      <c r="AA471" s="438"/>
      <c r="AB471" s="438"/>
      <c r="AC471" s="438"/>
      <c r="AD471" s="438"/>
      <c r="AE471" s="438"/>
      <c r="AF471" s="469"/>
      <c r="AG471" s="438"/>
      <c r="AH471" s="438"/>
      <c r="AI471" s="438"/>
      <c r="AJ471" s="438"/>
      <c r="AM471" s="13"/>
      <c r="AN471" s="496"/>
      <c r="AO471" s="449" t="s">
        <v>807</v>
      </c>
      <c r="AP471" s="449">
        <v>0</v>
      </c>
      <c r="AT471" s="449" t="s">
        <v>807</v>
      </c>
      <c r="AU471" s="449">
        <v>0</v>
      </c>
      <c r="AV471" s="651"/>
    </row>
    <row r="472" spans="1:58" s="449" customFormat="1" ht="12.75" hidden="1" customHeight="1">
      <c r="A472" s="438" t="s">
        <v>2367</v>
      </c>
      <c r="C472" s="438"/>
      <c r="E472" s="495"/>
      <c r="AE472" s="2371" t="s">
        <v>2368</v>
      </c>
      <c r="AF472" s="2371"/>
      <c r="AG472" s="2371"/>
      <c r="AH472" s="2371"/>
      <c r="AI472" s="2371"/>
      <c r="AJ472" s="2371"/>
      <c r="AK472" s="2371"/>
      <c r="AL472" s="490"/>
      <c r="AN472" s="496"/>
      <c r="AO472" s="449" t="s">
        <v>2369</v>
      </c>
      <c r="AP472" s="449">
        <v>5</v>
      </c>
      <c r="AT472" s="449" t="s">
        <v>2369</v>
      </c>
      <c r="AU472" s="449">
        <v>5</v>
      </c>
      <c r="AV472" s="651"/>
    </row>
    <row r="473" spans="1:58" s="449" customFormat="1" ht="12.75" hidden="1" customHeight="1">
      <c r="A473" s="438"/>
      <c r="B473" s="435" t="s">
        <v>2370</v>
      </c>
      <c r="C473" s="438"/>
      <c r="E473" s="495"/>
      <c r="AE473" s="490"/>
      <c r="AF473" s="490"/>
      <c r="AG473" s="490"/>
      <c r="AH473" s="490"/>
      <c r="AI473" s="490"/>
      <c r="AJ473" s="490"/>
      <c r="AK473" s="490"/>
      <c r="AL473" s="490"/>
      <c r="AN473" s="496"/>
      <c r="AO473" s="449" t="s">
        <v>2371</v>
      </c>
      <c r="AP473" s="449">
        <v>5</v>
      </c>
      <c r="AT473" s="449" t="s">
        <v>2372</v>
      </c>
      <c r="AU473" s="449">
        <v>5</v>
      </c>
      <c r="AV473" s="651"/>
    </row>
    <row r="474" spans="1:58" s="449" customFormat="1" ht="12.75" hidden="1" customHeight="1">
      <c r="A474" s="438"/>
      <c r="B474" s="438" t="s">
        <v>2373</v>
      </c>
      <c r="C474" s="438"/>
      <c r="E474" s="495"/>
      <c r="AE474" s="490"/>
      <c r="AF474" s="490"/>
      <c r="AG474" s="490"/>
      <c r="AH474" s="490"/>
      <c r="AI474" s="490"/>
      <c r="AJ474" s="490"/>
      <c r="AK474" s="490"/>
      <c r="AL474" s="490"/>
      <c r="AN474" s="496"/>
      <c r="AO474" s="449" t="s">
        <v>2374</v>
      </c>
      <c r="AP474" s="449">
        <v>5</v>
      </c>
      <c r="AQ474" s="438"/>
      <c r="AR474" s="438"/>
      <c r="AS474" s="654"/>
      <c r="AT474" s="449" t="s">
        <v>2374</v>
      </c>
      <c r="AU474" s="449">
        <v>5</v>
      </c>
      <c r="AV474" s="435"/>
    </row>
    <row r="475" spans="1:58" s="449" customFormat="1" ht="12.75" hidden="1" customHeight="1">
      <c r="A475" s="438"/>
      <c r="B475" s="438" t="s">
        <v>2375</v>
      </c>
      <c r="C475" s="438"/>
      <c r="E475" s="495"/>
      <c r="AE475" s="490"/>
      <c r="AF475" s="490"/>
      <c r="AG475" s="490"/>
      <c r="AH475" s="490"/>
      <c r="AI475" s="490"/>
      <c r="AJ475" s="490"/>
      <c r="AK475" s="490"/>
      <c r="AL475" s="490"/>
      <c r="AN475" s="496"/>
      <c r="AO475" s="449" t="s">
        <v>2376</v>
      </c>
      <c r="AP475" s="449">
        <v>5</v>
      </c>
      <c r="AQ475" s="438"/>
      <c r="AR475" s="438"/>
      <c r="AT475" s="449" t="s">
        <v>2376</v>
      </c>
      <c r="AU475" s="449">
        <v>5</v>
      </c>
    </row>
    <row r="476" spans="1:58" s="449" customFormat="1" ht="12.75" hidden="1" customHeight="1">
      <c r="A476" s="438"/>
      <c r="C476" s="438"/>
      <c r="E476" s="495"/>
      <c r="AE476" s="490"/>
      <c r="AF476" s="490"/>
      <c r="AG476" s="490"/>
      <c r="AH476" s="490"/>
      <c r="AI476" s="490"/>
      <c r="AJ476" s="490"/>
      <c r="AK476" s="490"/>
      <c r="AL476" s="490"/>
      <c r="AN476" s="496"/>
      <c r="AO476" s="449" t="s">
        <v>2377</v>
      </c>
      <c r="AP476" s="449">
        <v>5</v>
      </c>
      <c r="AQ476" s="438"/>
      <c r="AR476" s="438"/>
      <c r="AT476" s="449" t="s">
        <v>2377</v>
      </c>
      <c r="AU476" s="449">
        <v>5</v>
      </c>
    </row>
    <row r="477" spans="1:58" s="449" customFormat="1" ht="12.75" hidden="1" customHeight="1">
      <c r="A477" s="438"/>
      <c r="C477" s="611" t="s">
        <v>2378</v>
      </c>
      <c r="D477" s="469"/>
      <c r="AE477" s="490"/>
      <c r="AF477" s="490"/>
      <c r="AG477" s="495"/>
      <c r="AH477" s="495"/>
      <c r="AI477" s="495"/>
      <c r="AJ477" s="495"/>
      <c r="AK477" s="495"/>
      <c r="AL477" s="495"/>
      <c r="AN477" s="496"/>
      <c r="AO477" s="449" t="s">
        <v>2379</v>
      </c>
      <c r="AP477" s="449">
        <v>5</v>
      </c>
      <c r="AT477" s="449" t="s">
        <v>2379</v>
      </c>
      <c r="AU477" s="449">
        <v>5</v>
      </c>
    </row>
    <row r="478" spans="1:58" s="449" customFormat="1" ht="12.75" hidden="1" customHeight="1">
      <c r="A478" s="438"/>
      <c r="C478" s="2378" t="s">
        <v>807</v>
      </c>
      <c r="D478" s="2379"/>
      <c r="E478" s="660" t="s">
        <v>51</v>
      </c>
      <c r="F478" s="2456" t="s">
        <v>2380</v>
      </c>
      <c r="G478" s="2456"/>
      <c r="H478" s="2456"/>
      <c r="I478" s="2456"/>
      <c r="J478" s="2456"/>
      <c r="K478" s="2456"/>
      <c r="L478" s="2456"/>
      <c r="M478" s="2456"/>
      <c r="N478" s="2456"/>
      <c r="O478" s="2456"/>
      <c r="P478" s="2456"/>
      <c r="Q478" s="2456"/>
      <c r="R478" s="2456"/>
      <c r="S478" s="2456"/>
      <c r="T478" s="2456"/>
      <c r="U478" s="2456"/>
      <c r="V478" s="2456"/>
      <c r="W478" s="2456"/>
      <c r="X478" s="2456"/>
      <c r="Y478" s="2456"/>
      <c r="Z478" s="2456"/>
      <c r="AA478" s="2456"/>
      <c r="AB478" s="2456"/>
      <c r="AC478" s="2456"/>
      <c r="AD478" s="2456"/>
      <c r="AE478" s="2456"/>
      <c r="AF478" s="613"/>
      <c r="AG478" s="613"/>
      <c r="AH478" s="613"/>
      <c r="AI478" s="613"/>
      <c r="AJ478" s="613"/>
      <c r="AK478" s="644"/>
      <c r="AN478" s="496"/>
      <c r="AO478" s="449" t="s">
        <v>2381</v>
      </c>
      <c r="AP478" s="449">
        <v>5</v>
      </c>
      <c r="AS478" s="657"/>
      <c r="AT478" s="449" t="s">
        <v>2382</v>
      </c>
      <c r="AU478" s="449">
        <v>5</v>
      </c>
    </row>
    <row r="479" spans="1:58" s="449" customFormat="1" ht="12.75" hidden="1" customHeight="1">
      <c r="C479" s="661"/>
      <c r="E479" s="662"/>
      <c r="F479" s="2457"/>
      <c r="G479" s="2457"/>
      <c r="H479" s="2457"/>
      <c r="I479" s="2457"/>
      <c r="J479" s="2457"/>
      <c r="K479" s="2457"/>
      <c r="L479" s="2457"/>
      <c r="M479" s="2457"/>
      <c r="N479" s="2457"/>
      <c r="O479" s="2457"/>
      <c r="P479" s="2457"/>
      <c r="Q479" s="2457"/>
      <c r="R479" s="2457"/>
      <c r="S479" s="2457"/>
      <c r="T479" s="2457"/>
      <c r="U479" s="2457"/>
      <c r="V479" s="2457"/>
      <c r="W479" s="2457"/>
      <c r="X479" s="2457"/>
      <c r="Y479" s="2457"/>
      <c r="Z479" s="2457"/>
      <c r="AA479" s="2457"/>
      <c r="AB479" s="2457"/>
      <c r="AC479" s="2457"/>
      <c r="AD479" s="2457"/>
      <c r="AE479" s="2457"/>
      <c r="AG479" s="450"/>
      <c r="AH479" s="450"/>
      <c r="AI479" s="450"/>
      <c r="AJ479" s="450"/>
      <c r="AK479" s="631"/>
      <c r="AN479" s="496"/>
      <c r="AO479" s="449" t="s">
        <v>2383</v>
      </c>
      <c r="AP479" s="449">
        <v>1</v>
      </c>
      <c r="AT479" s="449" t="s">
        <v>2383</v>
      </c>
      <c r="AU479" s="449">
        <v>1</v>
      </c>
    </row>
    <row r="480" spans="1:58" s="449" customFormat="1" ht="12.75" hidden="1" customHeight="1">
      <c r="C480" s="663"/>
      <c r="D480" s="626"/>
      <c r="E480" s="664"/>
      <c r="F480" s="2384" t="s">
        <v>807</v>
      </c>
      <c r="G480" s="2384"/>
      <c r="H480" s="2384"/>
      <c r="I480" s="2384"/>
      <c r="J480" s="2384"/>
      <c r="K480" s="2384"/>
      <c r="L480" s="2384"/>
      <c r="M480" s="2384"/>
      <c r="N480" s="2384"/>
      <c r="O480" s="2384"/>
      <c r="P480" s="2384"/>
      <c r="Q480" s="2384"/>
      <c r="R480" s="2384"/>
      <c r="S480" s="2384"/>
      <c r="T480" s="2384"/>
      <c r="U480" s="2384"/>
      <c r="V480" s="2384"/>
      <c r="W480" s="2384"/>
      <c r="X480" s="2384"/>
      <c r="Y480" s="2384"/>
      <c r="Z480" s="2384"/>
      <c r="AA480" s="665"/>
      <c r="AB480" s="557"/>
      <c r="AC480" s="557"/>
      <c r="AD480" s="626"/>
      <c r="AE480" s="626"/>
      <c r="AF480" s="626"/>
      <c r="AG480" s="666">
        <f>IF($C$478="Yes",(VLOOKUP($F$480,$AT$471:$AU$479,2,FALSE)),0)</f>
        <v>0</v>
      </c>
      <c r="AH480" s="667" t="s">
        <v>2165</v>
      </c>
      <c r="AI480" s="666"/>
      <c r="AJ480" s="666"/>
      <c r="AK480" s="641"/>
      <c r="AN480" s="496"/>
      <c r="AS480" s="654"/>
      <c r="AX480" s="654"/>
      <c r="BB480" s="654" t="s">
        <v>2384</v>
      </c>
      <c r="BF480" s="654" t="s">
        <v>2385</v>
      </c>
    </row>
    <row r="481" spans="1:81" s="449" customFormat="1" ht="12.75" hidden="1" customHeight="1">
      <c r="C481" s="450"/>
      <c r="E481" s="662"/>
      <c r="F481" s="492"/>
      <c r="G481" s="492"/>
      <c r="H481" s="492"/>
      <c r="I481" s="492"/>
      <c r="J481" s="492"/>
      <c r="K481" s="492"/>
      <c r="L481" s="492"/>
      <c r="M481" s="492"/>
      <c r="N481" s="492"/>
      <c r="O481" s="492"/>
      <c r="P481" s="492"/>
      <c r="Q481" s="492"/>
      <c r="R481" s="492"/>
      <c r="S481" s="492"/>
      <c r="T481" s="492"/>
      <c r="U481" s="492"/>
      <c r="V481" s="492"/>
      <c r="W481" s="492"/>
      <c r="X481" s="492"/>
      <c r="Y481" s="492"/>
      <c r="Z481" s="492"/>
      <c r="AA481" s="469"/>
      <c r="AB481" s="450"/>
      <c r="AC481" s="450"/>
      <c r="AG481" s="450"/>
      <c r="AH481" s="450"/>
      <c r="AI481" s="450"/>
      <c r="AJ481" s="450"/>
      <c r="AN481" s="496"/>
      <c r="AO481" s="449" t="s">
        <v>807</v>
      </c>
      <c r="AP481" s="536">
        <v>0</v>
      </c>
      <c r="AT481" s="449" t="s">
        <v>807</v>
      </c>
      <c r="AU481" s="536">
        <v>0</v>
      </c>
      <c r="AW481" s="449" t="s">
        <v>807</v>
      </c>
      <c r="AX481" s="536">
        <v>0</v>
      </c>
      <c r="AY481" s="492"/>
      <c r="BB481" s="449" t="s">
        <v>807</v>
      </c>
      <c r="BC481" s="492">
        <v>0</v>
      </c>
      <c r="BF481" s="449" t="s">
        <v>807</v>
      </c>
      <c r="BG481" s="492">
        <v>0</v>
      </c>
    </row>
    <row r="482" spans="1:81" s="449" customFormat="1" ht="12.75" hidden="1" customHeight="1">
      <c r="C482" s="2385" t="s">
        <v>842</v>
      </c>
      <c r="D482" s="2386"/>
      <c r="E482" s="660" t="s">
        <v>53</v>
      </c>
      <c r="F482" s="668" t="s">
        <v>2386</v>
      </c>
      <c r="G482" s="548"/>
      <c r="H482" s="548"/>
      <c r="I482" s="548"/>
      <c r="J482" s="548"/>
      <c r="K482" s="548"/>
      <c r="L482" s="548"/>
      <c r="M482" s="548"/>
      <c r="N482" s="548"/>
      <c r="O482" s="548"/>
      <c r="P482" s="548"/>
      <c r="Q482" s="548"/>
      <c r="R482" s="548"/>
      <c r="S482" s="548"/>
      <c r="T482" s="548"/>
      <c r="U482" s="548"/>
      <c r="V482" s="548"/>
      <c r="W482" s="548"/>
      <c r="X482" s="548"/>
      <c r="Y482" s="548"/>
      <c r="Z482" s="548"/>
      <c r="AA482" s="548"/>
      <c r="AB482" s="548"/>
      <c r="AC482" s="548"/>
      <c r="AD482" s="613"/>
      <c r="AE482" s="613"/>
      <c r="AF482" s="613"/>
      <c r="AG482" s="548"/>
      <c r="AH482" s="548"/>
      <c r="AI482" s="548"/>
      <c r="AJ482" s="548"/>
      <c r="AK482" s="644"/>
      <c r="AN482" s="496"/>
      <c r="AO482" s="657">
        <v>0.15</v>
      </c>
      <c r="AP482" s="536">
        <v>3</v>
      </c>
      <c r="AT482" s="657">
        <v>7.0000000000000007E-2</v>
      </c>
      <c r="AU482" s="536">
        <v>3</v>
      </c>
      <c r="AW482" s="449" t="s">
        <v>2387</v>
      </c>
      <c r="AX482" s="536">
        <v>3</v>
      </c>
      <c r="AY482" s="492"/>
      <c r="BB482" s="657">
        <v>0.4</v>
      </c>
      <c r="BC482" s="492">
        <v>3</v>
      </c>
      <c r="BF482" s="657">
        <v>0.4</v>
      </c>
      <c r="BG482" s="492">
        <v>4</v>
      </c>
    </row>
    <row r="483" spans="1:81" s="449" customFormat="1" ht="12.75" hidden="1" customHeight="1">
      <c r="C483" s="669" t="s">
        <v>2388</v>
      </c>
      <c r="F483" s="670" t="s">
        <v>2389</v>
      </c>
      <c r="G483" s="450"/>
      <c r="H483" s="450"/>
      <c r="I483" s="450"/>
      <c r="J483" s="450"/>
      <c r="K483" s="450"/>
      <c r="L483" s="450"/>
      <c r="M483" s="450"/>
      <c r="N483" s="450"/>
      <c r="O483" s="450"/>
      <c r="P483" s="450"/>
      <c r="Q483" s="450"/>
      <c r="R483" s="450"/>
      <c r="S483" s="450"/>
      <c r="T483" s="450"/>
      <c r="U483" s="450"/>
      <c r="V483" s="450"/>
      <c r="W483" s="450"/>
      <c r="X483" s="450"/>
      <c r="Y483" s="450"/>
      <c r="Z483" s="450"/>
      <c r="AA483" s="450"/>
      <c r="AB483" s="450"/>
      <c r="AC483" s="490"/>
      <c r="AG483" s="512"/>
      <c r="AH483" s="512"/>
      <c r="AI483" s="512"/>
      <c r="AJ483" s="512"/>
      <c r="AK483" s="631"/>
      <c r="AN483" s="496"/>
      <c r="AO483" s="657">
        <v>0.2</v>
      </c>
      <c r="AP483" s="536">
        <v>5</v>
      </c>
      <c r="AT483" s="657">
        <v>0.12</v>
      </c>
      <c r="AU483" s="536">
        <v>5</v>
      </c>
      <c r="AW483" s="449" t="s">
        <v>2390</v>
      </c>
      <c r="AX483" s="536">
        <v>5</v>
      </c>
      <c r="AY483" s="492"/>
      <c r="BB483" s="657">
        <v>0.6</v>
      </c>
      <c r="BC483" s="492">
        <v>4</v>
      </c>
      <c r="BF483" s="657">
        <v>0.6</v>
      </c>
      <c r="BG483" s="492">
        <v>5</v>
      </c>
    </row>
    <row r="484" spans="1:81" s="449" customFormat="1" ht="12.75" hidden="1" customHeight="1">
      <c r="C484" s="650"/>
      <c r="D484" s="629"/>
      <c r="E484" s="671"/>
      <c r="F484" s="670" t="s">
        <v>2391</v>
      </c>
      <c r="G484" s="670"/>
      <c r="H484" s="670"/>
      <c r="I484" s="670"/>
      <c r="J484" s="670"/>
      <c r="K484" s="670"/>
      <c r="L484" s="670"/>
      <c r="M484" s="670"/>
      <c r="N484" s="670"/>
      <c r="O484" s="670"/>
      <c r="P484" s="670"/>
      <c r="Q484" s="670"/>
      <c r="R484" s="670"/>
      <c r="S484" s="670"/>
      <c r="T484" s="670"/>
      <c r="U484" s="670"/>
      <c r="V484" s="670"/>
      <c r="W484" s="670"/>
      <c r="X484" s="670"/>
      <c r="Y484" s="670"/>
      <c r="Z484" s="670"/>
      <c r="AA484" s="670"/>
      <c r="AB484" s="670"/>
      <c r="AC484" s="672"/>
      <c r="AD484" s="508"/>
      <c r="AE484" s="508"/>
      <c r="AF484" s="508"/>
      <c r="AG484" s="673"/>
      <c r="AH484" s="512"/>
      <c r="AI484" s="512"/>
      <c r="AJ484" s="512"/>
      <c r="AK484" s="631"/>
      <c r="AN484" s="577"/>
      <c r="AO484" s="657"/>
      <c r="AP484" s="492"/>
      <c r="AT484" s="657"/>
      <c r="AU484" s="492"/>
      <c r="AX484" s="657"/>
      <c r="AY484" s="492"/>
      <c r="BB484" s="657">
        <v>0.8</v>
      </c>
      <c r="BC484" s="492">
        <v>5</v>
      </c>
      <c r="BF484" s="657"/>
      <c r="BG484" s="492"/>
    </row>
    <row r="485" spans="1:81" s="495" customFormat="1" ht="12.75" hidden="1" customHeight="1">
      <c r="A485" s="536"/>
      <c r="B485" s="449"/>
      <c r="C485" s="661"/>
      <c r="D485" s="449"/>
      <c r="E485" s="662"/>
      <c r="F485" s="674" t="s">
        <v>2392</v>
      </c>
      <c r="G485" s="449"/>
      <c r="H485" s="449"/>
      <c r="I485" s="670"/>
      <c r="J485" s="670"/>
      <c r="K485" s="670"/>
      <c r="L485" s="670"/>
      <c r="M485" s="670"/>
      <c r="N485" s="670"/>
      <c r="O485" s="670"/>
      <c r="P485" s="670"/>
      <c r="Q485" s="670"/>
      <c r="R485" s="670"/>
      <c r="S485" s="670"/>
      <c r="T485" s="670"/>
      <c r="U485" s="670"/>
      <c r="V485" s="2364" t="s">
        <v>807</v>
      </c>
      <c r="W485" s="2364"/>
      <c r="X485" s="2364"/>
      <c r="Y485" s="670"/>
      <c r="Z485" s="670"/>
      <c r="AA485" s="670"/>
      <c r="AB485" s="670"/>
      <c r="AC485" s="670"/>
      <c r="AD485" s="508"/>
      <c r="AE485" s="508"/>
      <c r="AF485" s="508"/>
      <c r="AG485" s="512">
        <f>IF(AND($C$482="Yes",$V$487="N/A",$V$492="N/A",$V$496="N/A",$V$498="N/A"),(VLOOKUP(V485,$AW$481:$AX$483,2,FALSE)),0)</f>
        <v>0</v>
      </c>
      <c r="AH485" s="539" t="s">
        <v>2165</v>
      </c>
      <c r="AI485" s="450"/>
      <c r="AJ485" s="450"/>
      <c r="AK485" s="631"/>
      <c r="AL485" s="449"/>
      <c r="AM485" s="449"/>
      <c r="AN485" s="496"/>
      <c r="AT485" s="449" t="s">
        <v>807</v>
      </c>
      <c r="AU485" s="536">
        <v>0</v>
      </c>
      <c r="AV485" s="449"/>
      <c r="AW485" s="449"/>
      <c r="AX485" s="449"/>
      <c r="AY485" s="449"/>
      <c r="AZ485" s="449"/>
      <c r="BA485" s="449"/>
      <c r="BB485" s="657"/>
      <c r="BC485" s="492"/>
      <c r="BD485" s="449"/>
      <c r="BE485" s="449"/>
      <c r="BF485" s="449"/>
      <c r="BG485" s="449"/>
    </row>
    <row r="486" spans="1:81" s="495" customFormat="1" ht="12.75" hidden="1" customHeight="1">
      <c r="A486" s="536"/>
      <c r="B486" s="449"/>
      <c r="C486" s="661"/>
      <c r="D486" s="449"/>
      <c r="E486" s="662"/>
      <c r="F486" s="674"/>
      <c r="G486" s="449"/>
      <c r="H486" s="449"/>
      <c r="I486" s="670"/>
      <c r="J486" s="670"/>
      <c r="K486" s="670"/>
      <c r="L486" s="670"/>
      <c r="M486" s="670"/>
      <c r="N486" s="670"/>
      <c r="O486" s="670"/>
      <c r="P486" s="670"/>
      <c r="Q486" s="670"/>
      <c r="R486" s="670"/>
      <c r="S486" s="670"/>
      <c r="T486" s="670"/>
      <c r="U486" s="670"/>
      <c r="V486" s="670"/>
      <c r="W486" s="670"/>
      <c r="X486" s="670"/>
      <c r="Y486" s="670"/>
      <c r="Z486" s="670"/>
      <c r="AA486" s="670"/>
      <c r="AB486" s="670"/>
      <c r="AC486" s="670"/>
      <c r="AD486" s="508"/>
      <c r="AE486" s="508"/>
      <c r="AF486" s="508"/>
      <c r="AG486" s="512"/>
      <c r="AH486" s="539"/>
      <c r="AI486" s="450"/>
      <c r="AJ486" s="450"/>
      <c r="AK486" s="631"/>
      <c r="AL486" s="449"/>
      <c r="AM486" s="449"/>
      <c r="AN486" s="496"/>
      <c r="AT486" s="657">
        <v>0.09</v>
      </c>
      <c r="AU486" s="536">
        <v>3</v>
      </c>
      <c r="AV486" s="449"/>
      <c r="AW486" s="449"/>
      <c r="AX486" s="654"/>
      <c r="AY486" s="449"/>
      <c r="AZ486" s="449"/>
      <c r="BA486" s="449"/>
      <c r="BB486" s="449"/>
      <c r="BC486" s="449"/>
      <c r="BD486" s="449"/>
      <c r="BE486" s="449"/>
      <c r="BF486" s="449"/>
      <c r="BG486" s="449"/>
    </row>
    <row r="487" spans="1:81" s="495" customFormat="1" ht="12.75" hidden="1" customHeight="1">
      <c r="A487" s="536"/>
      <c r="B487" s="449"/>
      <c r="C487" s="661"/>
      <c r="D487" s="449"/>
      <c r="E487" s="662"/>
      <c r="F487" s="674" t="s">
        <v>2393</v>
      </c>
      <c r="G487" s="449"/>
      <c r="H487" s="449"/>
      <c r="I487" s="670"/>
      <c r="J487" s="670"/>
      <c r="K487" s="670"/>
      <c r="L487" s="670"/>
      <c r="M487" s="670"/>
      <c r="N487" s="670"/>
      <c r="O487" s="670"/>
      <c r="P487" s="670"/>
      <c r="Q487" s="670"/>
      <c r="R487" s="670"/>
      <c r="S487" s="670"/>
      <c r="T487" s="670"/>
      <c r="U487" s="670"/>
      <c r="V487" s="2364" t="s">
        <v>807</v>
      </c>
      <c r="W487" s="2364"/>
      <c r="X487" s="2364"/>
      <c r="Y487" s="670"/>
      <c r="Z487" s="670"/>
      <c r="AA487" s="670"/>
      <c r="AB487" s="670"/>
      <c r="AC487" s="670"/>
      <c r="AD487" s="508"/>
      <c r="AE487" s="508"/>
      <c r="AF487" s="508"/>
      <c r="AG487" s="512">
        <f>IF(AND($C$482="Yes",$V$485="N/A", $V$492="N/A",$V$496="N/A",$V$498="N/A"),(VLOOKUP(V487,$AT$481:$AU$483,2,FALSE)),0)</f>
        <v>0</v>
      </c>
      <c r="AH487" s="539" t="s">
        <v>2165</v>
      </c>
      <c r="AI487" s="450"/>
      <c r="AJ487" s="450"/>
      <c r="AK487" s="631"/>
      <c r="AL487" s="449"/>
      <c r="AM487" s="449"/>
      <c r="AN487" s="496"/>
      <c r="AT487" s="657">
        <v>0.15</v>
      </c>
      <c r="AU487" s="536">
        <v>5</v>
      </c>
      <c r="AV487" s="449"/>
      <c r="AW487" s="449"/>
      <c r="AX487" s="449"/>
      <c r="AY487" s="449"/>
      <c r="AZ487" s="449"/>
      <c r="BA487" s="449"/>
      <c r="BB487" s="449"/>
      <c r="BC487" s="449"/>
      <c r="BD487" s="449"/>
      <c r="BE487" s="449"/>
      <c r="BF487" s="449"/>
      <c r="BG487" s="449"/>
    </row>
    <row r="488" spans="1:81" s="449" customFormat="1" ht="12.75" hidden="1" customHeight="1">
      <c r="C488" s="661"/>
      <c r="E488" s="662"/>
      <c r="F488" s="495"/>
      <c r="G488" s="675"/>
      <c r="H488" s="675"/>
      <c r="I488" s="675"/>
      <c r="J488" s="675"/>
      <c r="K488" s="675"/>
      <c r="L488" s="675"/>
      <c r="M488" s="675"/>
      <c r="N488" s="675"/>
      <c r="O488" s="675"/>
      <c r="P488" s="675"/>
      <c r="Q488" s="450"/>
      <c r="R488" s="450"/>
      <c r="S488" s="450"/>
      <c r="T488" s="450"/>
      <c r="U488" s="450"/>
      <c r="V488" s="450"/>
      <c r="W488" s="450"/>
      <c r="X488" s="450"/>
      <c r="Y488" s="450"/>
      <c r="Z488" s="450"/>
      <c r="AA488" s="450"/>
      <c r="AB488" s="450"/>
      <c r="AC488" s="450"/>
      <c r="AG488" s="495"/>
      <c r="AH488" s="495"/>
      <c r="AI488" s="495"/>
      <c r="AJ488" s="495"/>
      <c r="AK488" s="631"/>
      <c r="AN488" s="496"/>
      <c r="AO488" s="449" t="s">
        <v>807</v>
      </c>
      <c r="AP488" s="449">
        <v>0</v>
      </c>
    </row>
    <row r="489" spans="1:81" s="449" customFormat="1" ht="12.75" hidden="1" customHeight="1">
      <c r="C489" s="661"/>
      <c r="E489" s="662"/>
      <c r="F489" s="675" t="s">
        <v>2394</v>
      </c>
      <c r="I489" s="662"/>
      <c r="J489" s="662"/>
      <c r="K489" s="662"/>
      <c r="L489" s="662"/>
      <c r="M489" s="662"/>
      <c r="N489" s="662"/>
      <c r="O489" s="662"/>
      <c r="P489" s="662"/>
      <c r="Q489" s="450"/>
      <c r="R489" s="450"/>
      <c r="S489" s="450"/>
      <c r="T489" s="450"/>
      <c r="U489" s="450"/>
      <c r="V489" s="450"/>
      <c r="W489" s="450"/>
      <c r="X489" s="450"/>
      <c r="Y489" s="450"/>
      <c r="Z489" s="450"/>
      <c r="AA489" s="450"/>
      <c r="AB489" s="450"/>
      <c r="AC489" s="450"/>
      <c r="AJ489" s="450"/>
      <c r="AK489" s="631"/>
      <c r="AN489" s="496"/>
      <c r="AO489" s="449" t="s">
        <v>2395</v>
      </c>
      <c r="AP489" s="536">
        <v>2</v>
      </c>
    </row>
    <row r="490" spans="1:81" s="449" customFormat="1" ht="12.75" hidden="1" customHeight="1">
      <c r="C490" s="661"/>
      <c r="F490" s="508" t="s">
        <v>2396</v>
      </c>
      <c r="M490" s="662"/>
      <c r="N490" s="662"/>
      <c r="O490" s="662"/>
      <c r="P490" s="662"/>
      <c r="Q490" s="450"/>
      <c r="R490" s="450"/>
      <c r="S490" s="450"/>
      <c r="T490" s="450"/>
      <c r="U490" s="450"/>
      <c r="V490" s="450"/>
      <c r="W490" s="450"/>
      <c r="X490" s="450"/>
      <c r="Y490" s="450"/>
      <c r="Z490" s="450"/>
      <c r="AA490" s="450"/>
      <c r="AB490" s="450"/>
      <c r="AC490" s="450"/>
      <c r="AG490" s="512"/>
      <c r="AH490" s="539"/>
      <c r="AI490" s="450"/>
      <c r="AJ490" s="450"/>
      <c r="AK490" s="631"/>
      <c r="AN490" s="496"/>
      <c r="AO490" s="449" t="s">
        <v>2397</v>
      </c>
      <c r="AP490" s="449">
        <v>2</v>
      </c>
    </row>
    <row r="491" spans="1:81" s="495" customFormat="1" ht="12.75" hidden="1" customHeight="1">
      <c r="A491" s="449"/>
      <c r="B491" s="449"/>
      <c r="C491" s="638"/>
      <c r="D491" s="469"/>
      <c r="E491" s="469"/>
      <c r="F491" s="508" t="s">
        <v>2398</v>
      </c>
      <c r="G491" s="449"/>
      <c r="H491" s="449"/>
      <c r="I491" s="449"/>
      <c r="J491" s="449"/>
      <c r="K491" s="449"/>
      <c r="L491" s="449"/>
      <c r="M491" s="662"/>
      <c r="N491" s="662"/>
      <c r="O491" s="662"/>
      <c r="P491" s="662"/>
      <c r="Q491" s="450"/>
      <c r="R491" s="450"/>
      <c r="S491" s="450"/>
      <c r="T491" s="450"/>
      <c r="U491" s="450"/>
      <c r="V491" s="450"/>
      <c r="W491" s="450"/>
      <c r="X491" s="450"/>
      <c r="Y491" s="450"/>
      <c r="Z491" s="450"/>
      <c r="AA491" s="450"/>
      <c r="AB491" s="450"/>
      <c r="AC491" s="450"/>
      <c r="AD491" s="449"/>
      <c r="AE491" s="449"/>
      <c r="AF491" s="449"/>
      <c r="AG491" s="512"/>
      <c r="AH491" s="539"/>
      <c r="AI491" s="450"/>
      <c r="AJ491" s="450"/>
      <c r="AK491" s="631"/>
      <c r="AL491" s="449"/>
      <c r="AM491" s="449"/>
      <c r="AN491" s="577"/>
      <c r="AO491" s="449" t="s">
        <v>2399</v>
      </c>
      <c r="AP491" s="449">
        <v>2</v>
      </c>
    </row>
    <row r="492" spans="1:81" s="449" customFormat="1" ht="12.75" hidden="1" customHeight="1">
      <c r="C492" s="676"/>
      <c r="F492" s="674" t="s">
        <v>2400</v>
      </c>
      <c r="M492" s="662"/>
      <c r="N492" s="662"/>
      <c r="O492" s="662"/>
      <c r="P492" s="662"/>
      <c r="Q492" s="450"/>
      <c r="R492" s="450"/>
      <c r="S492" s="450"/>
      <c r="T492" s="450"/>
      <c r="U492" s="450"/>
      <c r="V492" s="2364" t="s">
        <v>807</v>
      </c>
      <c r="W492" s="2364"/>
      <c r="X492" s="2364"/>
      <c r="Y492" s="450"/>
      <c r="Z492" s="450"/>
      <c r="AA492" s="450"/>
      <c r="AB492" s="450"/>
      <c r="AC492" s="450"/>
      <c r="AG492" s="512">
        <f>IF(AND($C$482="Yes",$V$485="N/A",$V$487="N/A", $V$496="N/A",$V$498="N/A"),(VLOOKUP($V$492,$AT$485:$AU$487,2,FALSE)),0)</f>
        <v>0</v>
      </c>
      <c r="AH492" s="539" t="s">
        <v>2165</v>
      </c>
      <c r="AI492" s="450"/>
      <c r="AJ492" s="450"/>
      <c r="AK492" s="631"/>
      <c r="AN492" s="434"/>
    </row>
    <row r="493" spans="1:81" s="449" customFormat="1" ht="12.75" hidden="1" customHeight="1">
      <c r="C493" s="661"/>
      <c r="M493" s="662"/>
      <c r="N493" s="662"/>
      <c r="O493" s="662"/>
      <c r="P493" s="662"/>
      <c r="Q493" s="450"/>
      <c r="R493" s="450"/>
      <c r="S493" s="450"/>
      <c r="T493" s="450"/>
      <c r="U493" s="450"/>
      <c r="V493" s="450"/>
      <c r="W493" s="450"/>
      <c r="X493" s="450"/>
      <c r="Y493" s="450"/>
      <c r="Z493" s="450"/>
      <c r="AA493" s="450"/>
      <c r="AB493" s="450"/>
      <c r="AC493" s="450"/>
      <c r="AJ493" s="450"/>
      <c r="AK493" s="631"/>
      <c r="AN493" s="677"/>
    </row>
    <row r="494" spans="1:81" s="495" customFormat="1" ht="12.75" hidden="1" customHeight="1">
      <c r="A494" s="449"/>
      <c r="B494" s="449"/>
      <c r="C494" s="678" t="s">
        <v>2401</v>
      </c>
      <c r="D494" s="613"/>
      <c r="E494" s="613"/>
      <c r="F494" s="679" t="s">
        <v>2402</v>
      </c>
      <c r="G494" s="613"/>
      <c r="H494" s="613"/>
      <c r="I494" s="613"/>
      <c r="J494" s="613"/>
      <c r="K494" s="613"/>
      <c r="L494" s="613"/>
      <c r="M494" s="613"/>
      <c r="N494" s="613"/>
      <c r="O494" s="613"/>
      <c r="P494" s="613"/>
      <c r="Q494" s="613"/>
      <c r="R494" s="613"/>
      <c r="S494" s="613"/>
      <c r="T494" s="613"/>
      <c r="U494" s="613"/>
      <c r="V494" s="613"/>
      <c r="W494" s="613"/>
      <c r="X494" s="613"/>
      <c r="Y494" s="613"/>
      <c r="Z494" s="613"/>
      <c r="AA494" s="613"/>
      <c r="AB494" s="613"/>
      <c r="AC494" s="613"/>
      <c r="AD494" s="613"/>
      <c r="AE494" s="613"/>
      <c r="AF494" s="613"/>
      <c r="AG494" s="613"/>
      <c r="AH494" s="613"/>
      <c r="AI494" s="613"/>
      <c r="AJ494" s="613"/>
      <c r="AK494" s="644"/>
      <c r="AL494" s="449"/>
      <c r="AM494" s="449"/>
      <c r="AN494" s="491"/>
      <c r="AO494" s="449" t="s">
        <v>807</v>
      </c>
      <c r="AP494" s="449">
        <v>0</v>
      </c>
      <c r="AQ494" s="438"/>
    </row>
    <row r="495" spans="1:81" s="495" customFormat="1" ht="12.75" hidden="1" customHeight="1">
      <c r="A495" s="449"/>
      <c r="B495" s="449"/>
      <c r="C495" s="680"/>
      <c r="D495" s="2383"/>
      <c r="E495" s="2383"/>
      <c r="F495" s="670" t="s">
        <v>2403</v>
      </c>
      <c r="I495" s="449"/>
      <c r="J495" s="449"/>
      <c r="K495" s="449"/>
      <c r="L495" s="449"/>
      <c r="M495" s="449"/>
      <c r="N495" s="449"/>
      <c r="O495" s="449"/>
      <c r="P495" s="449"/>
      <c r="Q495" s="449"/>
      <c r="R495" s="449"/>
      <c r="S495" s="449"/>
      <c r="T495" s="449"/>
      <c r="U495" s="449"/>
      <c r="Y495" s="449"/>
      <c r="Z495" s="449"/>
      <c r="AA495" s="449"/>
      <c r="AB495" s="449"/>
      <c r="AC495" s="449"/>
      <c r="AD495" s="449"/>
      <c r="AE495" s="449"/>
      <c r="AF495" s="449"/>
      <c r="AK495" s="631"/>
      <c r="AL495" s="449"/>
      <c r="AM495" s="449"/>
      <c r="AN495" s="491"/>
      <c r="AO495" s="449" t="s">
        <v>2404</v>
      </c>
      <c r="AP495" s="536">
        <v>5</v>
      </c>
      <c r="AQ495" s="438"/>
    </row>
    <row r="496" spans="1:81" s="469" customFormat="1" ht="12.75" hidden="1" customHeight="1">
      <c r="A496" s="578"/>
      <c r="B496" s="449"/>
      <c r="C496" s="661"/>
      <c r="D496" s="449"/>
      <c r="E496" s="449"/>
      <c r="F496" s="681" t="s">
        <v>2392</v>
      </c>
      <c r="G496" s="449"/>
      <c r="H496" s="449"/>
      <c r="I496" s="449"/>
      <c r="J496" s="449"/>
      <c r="K496" s="449"/>
      <c r="L496" s="449"/>
      <c r="M496" s="449"/>
      <c r="N496" s="449"/>
      <c r="O496" s="449"/>
      <c r="P496" s="449"/>
      <c r="Q496" s="449"/>
      <c r="R496" s="449"/>
      <c r="S496" s="449"/>
      <c r="T496" s="449"/>
      <c r="U496" s="449"/>
      <c r="V496" s="2364" t="s">
        <v>807</v>
      </c>
      <c r="W496" s="2364"/>
      <c r="X496" s="2364"/>
      <c r="Y496" s="449"/>
      <c r="Z496" s="449"/>
      <c r="AA496" s="449"/>
      <c r="AB496" s="449"/>
      <c r="AC496" s="449"/>
      <c r="AD496" s="449"/>
      <c r="AE496" s="449"/>
      <c r="AF496" s="449"/>
      <c r="AG496" s="512">
        <f>IF(AND($C$482="Yes",$V$485="N/A",V487="N/A",$V$492="N/A",$V$498="N/A"),(VLOOKUP($V$496,$BB$481:$BC$484,2,FALSE)),0)</f>
        <v>0</v>
      </c>
      <c r="AH496" s="539" t="s">
        <v>2165</v>
      </c>
      <c r="AI496" s="450"/>
      <c r="AJ496" s="449"/>
      <c r="AK496" s="631"/>
      <c r="AL496" s="449"/>
      <c r="AM496" s="449"/>
      <c r="AN496" s="583"/>
      <c r="AO496" s="449" t="s">
        <v>2405</v>
      </c>
      <c r="AP496" s="449">
        <v>5</v>
      </c>
      <c r="AS496" s="449"/>
      <c r="AT496" s="449"/>
      <c r="AU496" s="449"/>
      <c r="AV496" s="449"/>
      <c r="AW496" s="449"/>
      <c r="AX496" s="449"/>
      <c r="AY496" s="449"/>
      <c r="AZ496" s="449"/>
      <c r="BA496" s="449"/>
      <c r="BB496" s="449"/>
      <c r="BO496" s="449"/>
      <c r="BP496" s="449"/>
      <c r="BQ496" s="449"/>
      <c r="BR496" s="449"/>
      <c r="BS496" s="449"/>
      <c r="BT496" s="449"/>
      <c r="BU496" s="449"/>
      <c r="BV496" s="449"/>
      <c r="BW496" s="449"/>
      <c r="BX496" s="449"/>
      <c r="BY496" s="449"/>
      <c r="BZ496" s="449"/>
      <c r="CA496" s="449"/>
      <c r="CB496" s="449"/>
      <c r="CC496" s="449"/>
    </row>
    <row r="497" spans="1:81" s="469" customFormat="1" ht="12.75" hidden="1" customHeight="1">
      <c r="A497" s="578"/>
      <c r="B497" s="449"/>
      <c r="C497" s="661"/>
      <c r="D497" s="449"/>
      <c r="E497" s="449"/>
      <c r="I497" s="449"/>
      <c r="J497" s="449"/>
      <c r="K497" s="449"/>
      <c r="L497" s="449"/>
      <c r="M497" s="449"/>
      <c r="N497" s="449"/>
      <c r="O497" s="449"/>
      <c r="P497" s="449"/>
      <c r="Q497" s="449"/>
      <c r="R497" s="449"/>
      <c r="S497" s="449"/>
      <c r="T497" s="449"/>
      <c r="U497" s="449"/>
      <c r="V497" s="449"/>
      <c r="W497" s="449"/>
      <c r="X497" s="449"/>
      <c r="Y497" s="449"/>
      <c r="Z497" s="449"/>
      <c r="AA497" s="449"/>
      <c r="AB497" s="449"/>
      <c r="AC497" s="449"/>
      <c r="AD497" s="449"/>
      <c r="AE497" s="449"/>
      <c r="AF497" s="449"/>
      <c r="AK497" s="631"/>
      <c r="AL497" s="449"/>
      <c r="AM497" s="449"/>
      <c r="AN497" s="583"/>
      <c r="AO497" s="449" t="s">
        <v>2406</v>
      </c>
      <c r="AP497" s="449">
        <v>5</v>
      </c>
      <c r="AS497" s="449"/>
      <c r="AT497" s="449"/>
      <c r="AU497" s="449"/>
      <c r="AV497" s="449"/>
      <c r="AW497" s="449"/>
      <c r="AX497" s="449"/>
      <c r="AY497" s="449"/>
      <c r="AZ497" s="449"/>
      <c r="BA497" s="449"/>
      <c r="BB497" s="449"/>
      <c r="BC497" s="449"/>
      <c r="BD497" s="449"/>
      <c r="BE497" s="449"/>
      <c r="BF497" s="449"/>
      <c r="BG497" s="449"/>
      <c r="BH497" s="449"/>
      <c r="BI497" s="449"/>
      <c r="BJ497" s="449"/>
      <c r="BK497" s="449"/>
      <c r="BL497" s="449"/>
      <c r="BM497" s="449"/>
      <c r="BN497" s="449"/>
      <c r="BO497" s="449"/>
      <c r="BP497" s="449"/>
      <c r="BQ497" s="449"/>
      <c r="BR497" s="449"/>
      <c r="BS497" s="449"/>
      <c r="BT497" s="449"/>
      <c r="BU497" s="449"/>
      <c r="BV497" s="449"/>
      <c r="BW497" s="449"/>
      <c r="BX497" s="449"/>
      <c r="BY497" s="449"/>
      <c r="BZ497" s="449"/>
      <c r="CA497" s="449"/>
      <c r="CB497" s="449"/>
      <c r="CC497" s="449"/>
    </row>
    <row r="498" spans="1:81" s="438" customFormat="1" ht="12.75" hidden="1" customHeight="1">
      <c r="A498" s="578"/>
      <c r="B498" s="449"/>
      <c r="C498" s="663"/>
      <c r="D498" s="626"/>
      <c r="E498" s="626"/>
      <c r="F498" s="674" t="s">
        <v>2393</v>
      </c>
      <c r="G498" s="665"/>
      <c r="H498" s="665"/>
      <c r="I498" s="626"/>
      <c r="J498" s="626"/>
      <c r="K498" s="626"/>
      <c r="L498" s="626"/>
      <c r="M498" s="626"/>
      <c r="N498" s="626"/>
      <c r="O498" s="626"/>
      <c r="P498" s="626"/>
      <c r="Q498" s="626"/>
      <c r="R498" s="626"/>
      <c r="S498" s="626"/>
      <c r="T498" s="626"/>
      <c r="U498" s="626"/>
      <c r="V498" s="2364" t="s">
        <v>807</v>
      </c>
      <c r="W498" s="2364"/>
      <c r="X498" s="2364"/>
      <c r="Y498" s="626"/>
      <c r="Z498" s="626"/>
      <c r="AA498" s="626"/>
      <c r="AB498" s="626"/>
      <c r="AC498" s="626"/>
      <c r="AD498" s="626"/>
      <c r="AE498" s="626"/>
      <c r="AF498" s="626"/>
      <c r="AG498" s="682">
        <f>IF(AND($C$482="Yes",$V$485="N/A",$V$487="N/A",$V$492="N/A",$V$496="N/A"),(VLOOKUP($V$498,$BF$481:$BG$483,2,FALSE)),0)</f>
        <v>0</v>
      </c>
      <c r="AH498" s="667" t="s">
        <v>2165</v>
      </c>
      <c r="AI498" s="626"/>
      <c r="AJ498" s="626"/>
      <c r="AK498" s="641"/>
      <c r="AL498" s="449"/>
      <c r="AM498" s="449"/>
      <c r="AN498" s="683"/>
      <c r="AP498" s="495"/>
      <c r="AQ498" s="495"/>
      <c r="AR498" s="495"/>
      <c r="AS498" s="495"/>
      <c r="AT498" s="495"/>
      <c r="AU498" s="495"/>
      <c r="AV498" s="495"/>
      <c r="AW498" s="495"/>
      <c r="AX498" s="495"/>
      <c r="AY498" s="495"/>
      <c r="AZ498" s="495"/>
      <c r="BA498" s="495"/>
      <c r="BB498" s="495"/>
      <c r="BC498" s="495"/>
      <c r="BE498" s="495"/>
      <c r="BF498" s="495"/>
      <c r="BG498" s="495"/>
      <c r="BH498" s="495"/>
      <c r="BI498" s="495"/>
      <c r="BJ498" s="495"/>
      <c r="BK498" s="495"/>
      <c r="BL498" s="495"/>
      <c r="BM498" s="495"/>
      <c r="BN498" s="495"/>
      <c r="BO498" s="495"/>
      <c r="BP498" s="495"/>
      <c r="BQ498" s="495"/>
      <c r="BR498" s="495"/>
    </row>
    <row r="499" spans="1:81" s="438" customFormat="1" ht="12.75" hidden="1" customHeight="1">
      <c r="A499" s="578"/>
      <c r="B499" s="449"/>
      <c r="C499" s="450"/>
      <c r="D499" s="449"/>
      <c r="E499" s="662"/>
      <c r="F499" s="449"/>
      <c r="G499" s="449"/>
      <c r="H499" s="449"/>
      <c r="I499" s="449"/>
      <c r="J499" s="449"/>
      <c r="K499" s="449"/>
      <c r="L499" s="449"/>
      <c r="M499" s="449"/>
      <c r="N499" s="449"/>
      <c r="O499" s="449"/>
      <c r="P499" s="449"/>
      <c r="Q499" s="449"/>
      <c r="R499" s="449"/>
      <c r="S499" s="449"/>
      <c r="T499" s="449"/>
      <c r="U499" s="449"/>
      <c r="V499" s="449"/>
      <c r="W499" s="449"/>
      <c r="X499" s="449"/>
      <c r="Y499" s="449"/>
      <c r="Z499" s="449"/>
      <c r="AA499" s="449"/>
      <c r="AB499" s="449"/>
      <c r="AC499" s="449"/>
      <c r="AD499" s="449"/>
      <c r="AE499" s="449"/>
      <c r="AF499" s="449"/>
      <c r="AG499" s="449"/>
      <c r="AH499" s="449"/>
      <c r="AI499" s="449"/>
      <c r="AJ499" s="449"/>
      <c r="AK499" s="449"/>
      <c r="AL499" s="449"/>
      <c r="AM499" s="449"/>
      <c r="AN499" s="683"/>
      <c r="AO499" s="684"/>
      <c r="AP499" s="449"/>
      <c r="AQ499" s="449"/>
      <c r="AR499" s="449"/>
      <c r="AS499" s="449"/>
      <c r="AT499" s="449"/>
      <c r="AU499" s="685"/>
      <c r="AV499" s="685"/>
      <c r="AW499" s="685"/>
      <c r="AX499" s="685"/>
      <c r="AY499" s="685"/>
      <c r="AZ499" s="685"/>
      <c r="BA499" s="685"/>
      <c r="BB499" s="495"/>
      <c r="BC499" s="495"/>
      <c r="BE499" s="449"/>
      <c r="BF499" s="449"/>
      <c r="BG499" s="449"/>
      <c r="BH499" s="449"/>
      <c r="BI499" s="449"/>
      <c r="BJ499" s="685"/>
      <c r="BK499" s="685"/>
      <c r="BL499" s="685"/>
      <c r="BM499" s="685"/>
      <c r="BN499" s="685"/>
      <c r="BO499" s="685"/>
      <c r="BP499" s="685"/>
      <c r="BQ499" s="495"/>
      <c r="BR499" s="449"/>
    </row>
    <row r="500" spans="1:81" s="438" customFormat="1" ht="12.75" hidden="1" customHeight="1">
      <c r="A500" s="578"/>
      <c r="B500" s="449"/>
      <c r="C500" s="611" t="s">
        <v>2407</v>
      </c>
      <c r="D500" s="449"/>
      <c r="E500" s="662"/>
      <c r="F500" s="450"/>
      <c r="G500" s="450"/>
      <c r="H500" s="450"/>
      <c r="I500" s="450"/>
      <c r="J500" s="450"/>
      <c r="K500" s="450"/>
      <c r="L500" s="450"/>
      <c r="M500" s="450"/>
      <c r="N500" s="450"/>
      <c r="O500" s="450"/>
      <c r="P500" s="450"/>
      <c r="Q500" s="450"/>
      <c r="R500" s="450"/>
      <c r="S500" s="450"/>
      <c r="T500" s="450"/>
      <c r="U500" s="450"/>
      <c r="V500" s="450"/>
      <c r="W500" s="450"/>
      <c r="X500" s="450"/>
      <c r="Y500" s="450"/>
      <c r="Z500" s="450"/>
      <c r="AA500" s="450"/>
      <c r="AB500" s="450"/>
      <c r="AC500" s="450"/>
      <c r="AD500" s="449"/>
      <c r="AE500" s="449"/>
      <c r="AF500" s="449"/>
      <c r="AG500" s="450"/>
      <c r="AH500" s="450"/>
      <c r="AI500" s="450"/>
      <c r="AJ500" s="450"/>
      <c r="AK500" s="449"/>
      <c r="AL500" s="449"/>
      <c r="AM500" s="449"/>
      <c r="AN500" s="683"/>
      <c r="AO500" s="684"/>
      <c r="AP500" s="449"/>
      <c r="AQ500" s="449"/>
      <c r="AR500" s="449"/>
      <c r="AS500" s="449"/>
      <c r="AT500" s="449"/>
      <c r="AU500" s="685"/>
      <c r="AV500" s="685"/>
      <c r="AW500" s="685"/>
      <c r="AX500" s="685"/>
      <c r="AY500" s="685"/>
      <c r="AZ500" s="685"/>
      <c r="BA500" s="685"/>
      <c r="BB500" s="495"/>
      <c r="BC500" s="495"/>
      <c r="BE500" s="449"/>
      <c r="BF500" s="449"/>
      <c r="BG500" s="449"/>
      <c r="BH500" s="449"/>
      <c r="BI500" s="449"/>
      <c r="BJ500" s="685"/>
      <c r="BK500" s="685"/>
      <c r="BL500" s="685"/>
      <c r="BM500" s="685"/>
      <c r="BN500" s="685"/>
      <c r="BO500" s="685"/>
      <c r="BP500" s="685"/>
      <c r="BQ500" s="495"/>
      <c r="BR500" s="449"/>
    </row>
    <row r="501" spans="1:81" s="469" customFormat="1" ht="12.75" hidden="1" customHeight="1">
      <c r="A501" s="578"/>
      <c r="B501" s="449"/>
      <c r="C501" s="2378" t="s">
        <v>807</v>
      </c>
      <c r="D501" s="2379"/>
      <c r="E501" s="660" t="s">
        <v>51</v>
      </c>
      <c r="F501" s="2456" t="s">
        <v>2380</v>
      </c>
      <c r="G501" s="2456"/>
      <c r="H501" s="2456"/>
      <c r="I501" s="2456"/>
      <c r="J501" s="2456"/>
      <c r="K501" s="2456"/>
      <c r="L501" s="2456"/>
      <c r="M501" s="2456"/>
      <c r="N501" s="2456"/>
      <c r="O501" s="2456"/>
      <c r="P501" s="2456"/>
      <c r="Q501" s="2456"/>
      <c r="R501" s="2456"/>
      <c r="S501" s="2456"/>
      <c r="T501" s="2456"/>
      <c r="U501" s="2456"/>
      <c r="V501" s="2456"/>
      <c r="W501" s="2456"/>
      <c r="X501" s="2456"/>
      <c r="Y501" s="2456"/>
      <c r="Z501" s="2456"/>
      <c r="AA501" s="2456"/>
      <c r="AB501" s="2456"/>
      <c r="AC501" s="2456"/>
      <c r="AD501" s="2456"/>
      <c r="AE501" s="2456"/>
      <c r="AF501" s="613"/>
      <c r="AG501" s="615"/>
      <c r="AH501" s="615"/>
      <c r="AI501" s="615"/>
      <c r="AJ501" s="615"/>
      <c r="AK501" s="644"/>
      <c r="AL501" s="449"/>
      <c r="AM501" s="449"/>
      <c r="AN501" s="433"/>
      <c r="AO501" s="25"/>
      <c r="AP501" s="449"/>
      <c r="AQ501" s="449"/>
      <c r="AR501" s="449"/>
      <c r="AS501" s="449"/>
      <c r="AT501" s="449"/>
      <c r="AU501" s="686"/>
      <c r="AV501" s="686"/>
      <c r="AW501" s="686"/>
      <c r="AX501" s="686"/>
      <c r="AY501" s="686"/>
      <c r="AZ501" s="686"/>
      <c r="BA501" s="686"/>
      <c r="BB501" s="449"/>
      <c r="BC501" s="449"/>
      <c r="BD501" s="435"/>
      <c r="BE501" s="449"/>
      <c r="BF501" s="449"/>
      <c r="BG501" s="449"/>
      <c r="BH501" s="449"/>
      <c r="BI501" s="449"/>
      <c r="BJ501" s="686"/>
      <c r="BK501" s="686"/>
      <c r="BL501" s="686"/>
      <c r="BM501" s="686"/>
      <c r="BN501" s="686"/>
      <c r="BO501" s="686"/>
      <c r="BP501" s="686"/>
      <c r="BQ501" s="449"/>
      <c r="BR501" s="449"/>
      <c r="BS501" s="435"/>
      <c r="BT501" s="435"/>
      <c r="BU501" s="435"/>
      <c r="BV501" s="435"/>
      <c r="BW501" s="435"/>
      <c r="BX501" s="435"/>
      <c r="BY501" s="435"/>
      <c r="BZ501" s="435"/>
      <c r="CA501" s="435"/>
      <c r="CB501" s="435"/>
      <c r="CC501" s="435"/>
    </row>
    <row r="502" spans="1:81" s="469" customFormat="1" ht="12.75" hidden="1" customHeight="1">
      <c r="A502" s="578"/>
      <c r="B502" s="449"/>
      <c r="C502" s="661"/>
      <c r="D502" s="449"/>
      <c r="E502" s="662"/>
      <c r="F502" s="2457"/>
      <c r="G502" s="2457"/>
      <c r="H502" s="2457"/>
      <c r="I502" s="2457"/>
      <c r="J502" s="2457"/>
      <c r="K502" s="2457"/>
      <c r="L502" s="2457"/>
      <c r="M502" s="2457"/>
      <c r="N502" s="2457"/>
      <c r="O502" s="2457"/>
      <c r="P502" s="2457"/>
      <c r="Q502" s="2457"/>
      <c r="R502" s="2457"/>
      <c r="S502" s="2457"/>
      <c r="T502" s="2457"/>
      <c r="U502" s="2457"/>
      <c r="V502" s="2457"/>
      <c r="W502" s="2457"/>
      <c r="X502" s="2457"/>
      <c r="Y502" s="2457"/>
      <c r="Z502" s="2457"/>
      <c r="AA502" s="2457"/>
      <c r="AB502" s="2457"/>
      <c r="AC502" s="2457"/>
      <c r="AD502" s="2457"/>
      <c r="AE502" s="2457"/>
      <c r="AF502" s="449"/>
      <c r="AG502" s="450"/>
      <c r="AH502" s="450"/>
      <c r="AI502" s="450"/>
      <c r="AJ502" s="450"/>
      <c r="AK502" s="631"/>
      <c r="AL502" s="449"/>
      <c r="AM502" s="449"/>
      <c r="AN502" s="433"/>
      <c r="AO502" s="25"/>
      <c r="AP502" s="687"/>
      <c r="AQ502" s="687"/>
      <c r="AR502" s="687"/>
      <c r="AS502" s="578"/>
      <c r="AT502" s="449"/>
      <c r="AU502" s="688"/>
      <c r="AV502" s="688"/>
      <c r="AW502" s="688"/>
      <c r="AX502" s="688"/>
      <c r="AY502" s="688"/>
      <c r="AZ502" s="688"/>
      <c r="BA502" s="688"/>
      <c r="BB502" s="13"/>
      <c r="BC502" s="13"/>
      <c r="BD502" s="435"/>
      <c r="BE502" s="687"/>
      <c r="BF502" s="687"/>
      <c r="BG502" s="687"/>
      <c r="BH502" s="578"/>
      <c r="BI502" s="449"/>
      <c r="BJ502" s="689"/>
      <c r="BK502" s="688"/>
      <c r="BL502" s="688"/>
      <c r="BM502" s="688"/>
      <c r="BN502" s="688"/>
      <c r="BO502" s="688"/>
      <c r="BP502" s="688"/>
      <c r="BQ502" s="13"/>
      <c r="BR502" s="449"/>
      <c r="BS502" s="435"/>
      <c r="BT502" s="435"/>
      <c r="BU502" s="435"/>
      <c r="BV502" s="435"/>
      <c r="BW502" s="435"/>
      <c r="BX502" s="435"/>
      <c r="BY502" s="435"/>
      <c r="BZ502" s="435"/>
      <c r="CA502" s="435"/>
      <c r="CB502" s="435"/>
      <c r="CC502" s="435"/>
    </row>
    <row r="503" spans="1:81" s="469" customFormat="1" ht="12.75" hidden="1" customHeight="1">
      <c r="A503" s="578"/>
      <c r="B503" s="449"/>
      <c r="C503" s="663"/>
      <c r="D503" s="626"/>
      <c r="E503" s="664"/>
      <c r="F503" s="2377" t="s">
        <v>807</v>
      </c>
      <c r="G503" s="2377"/>
      <c r="H503" s="2377"/>
      <c r="I503" s="2377"/>
      <c r="J503" s="2377"/>
      <c r="K503" s="2377"/>
      <c r="L503" s="2377"/>
      <c r="M503" s="2377"/>
      <c r="N503" s="2377"/>
      <c r="O503" s="2377"/>
      <c r="P503" s="2377"/>
      <c r="Q503" s="2377"/>
      <c r="R503" s="2377"/>
      <c r="S503" s="2377"/>
      <c r="T503" s="2377"/>
      <c r="U503" s="2377"/>
      <c r="V503" s="2377"/>
      <c r="W503" s="2377"/>
      <c r="X503" s="2377"/>
      <c r="Y503" s="2377"/>
      <c r="Z503" s="2377"/>
      <c r="AA503" s="665"/>
      <c r="AB503" s="557"/>
      <c r="AC503" s="557"/>
      <c r="AD503" s="626"/>
      <c r="AE503" s="626"/>
      <c r="AF503" s="626"/>
      <c r="AG503" s="666">
        <f>IF($C$501="Yes",(VLOOKUP($F$503,$AO$471:$AP$479,2,FALSE)),0)</f>
        <v>0</v>
      </c>
      <c r="AH503" s="667" t="s">
        <v>2165</v>
      </c>
      <c r="AI503" s="666"/>
      <c r="AJ503" s="557"/>
      <c r="AK503" s="641"/>
      <c r="AL503" s="449"/>
      <c r="AM503" s="449"/>
      <c r="AN503" s="433"/>
      <c r="AO503" s="25"/>
      <c r="AP503" s="687"/>
      <c r="AQ503" s="687"/>
      <c r="AR503" s="687"/>
      <c r="AS503" s="578"/>
      <c r="AT503" s="449"/>
      <c r="AU503" s="688"/>
      <c r="AV503" s="688"/>
      <c r="AW503" s="688"/>
      <c r="AX503" s="688"/>
      <c r="AY503" s="688"/>
      <c r="AZ503" s="688"/>
      <c r="BA503" s="688"/>
      <c r="BB503" s="13"/>
      <c r="BC503" s="13"/>
      <c r="BD503" s="435"/>
      <c r="BE503" s="687"/>
      <c r="BF503" s="687"/>
      <c r="BG503" s="687"/>
      <c r="BH503" s="578"/>
      <c r="BI503" s="449"/>
      <c r="BJ503" s="689"/>
      <c r="BK503" s="688"/>
      <c r="BL503" s="688"/>
      <c r="BM503" s="688"/>
      <c r="BN503" s="688"/>
      <c r="BO503" s="688"/>
      <c r="BP503" s="688"/>
      <c r="BQ503" s="13"/>
      <c r="BR503" s="449"/>
      <c r="BS503" s="435"/>
      <c r="BT503" s="435"/>
      <c r="BU503" s="435"/>
      <c r="BV503" s="435"/>
      <c r="BW503" s="435"/>
      <c r="BX503" s="435"/>
      <c r="BY503" s="435"/>
      <c r="BZ503" s="435"/>
      <c r="CA503" s="435"/>
      <c r="CB503" s="435"/>
      <c r="CC503" s="435"/>
    </row>
    <row r="504" spans="1:81" s="469" customFormat="1" ht="12.75" hidden="1" customHeight="1">
      <c r="A504" s="578"/>
      <c r="B504" s="449"/>
      <c r="C504" s="611"/>
      <c r="D504" s="449"/>
      <c r="E504" s="662"/>
      <c r="F504" s="450"/>
      <c r="G504" s="450"/>
      <c r="H504" s="450"/>
      <c r="I504" s="450"/>
      <c r="J504" s="450"/>
      <c r="K504" s="450"/>
      <c r="L504" s="450"/>
      <c r="M504" s="450"/>
      <c r="N504" s="450"/>
      <c r="O504" s="450"/>
      <c r="P504" s="450"/>
      <c r="Q504" s="450"/>
      <c r="R504" s="450"/>
      <c r="S504" s="450"/>
      <c r="T504" s="450"/>
      <c r="U504" s="450"/>
      <c r="V504" s="450"/>
      <c r="W504" s="450"/>
      <c r="X504" s="450"/>
      <c r="Y504" s="450"/>
      <c r="Z504" s="450"/>
      <c r="AA504" s="450"/>
      <c r="AB504" s="450"/>
      <c r="AC504" s="450"/>
      <c r="AD504" s="449"/>
      <c r="AE504" s="449"/>
      <c r="AF504" s="449"/>
      <c r="AG504" s="450"/>
      <c r="AH504" s="450"/>
      <c r="AI504" s="450"/>
      <c r="AJ504" s="450"/>
      <c r="AK504" s="449"/>
      <c r="AL504" s="449"/>
      <c r="AM504" s="449"/>
      <c r="AN504" s="433"/>
      <c r="AO504" s="25"/>
      <c r="AP504" s="687"/>
      <c r="AQ504" s="687"/>
      <c r="AR504" s="687"/>
      <c r="AS504" s="578"/>
      <c r="AT504" s="449"/>
      <c r="AU504" s="688"/>
      <c r="AV504" s="688"/>
      <c r="AW504" s="688"/>
      <c r="AX504" s="688"/>
      <c r="AY504" s="688"/>
      <c r="AZ504" s="688"/>
      <c r="BA504" s="688"/>
      <c r="BB504" s="13"/>
      <c r="BC504" s="13"/>
      <c r="BD504" s="435"/>
      <c r="BE504" s="687"/>
      <c r="BF504" s="687"/>
      <c r="BG504" s="687"/>
      <c r="BH504" s="578"/>
      <c r="BI504" s="449"/>
      <c r="BJ504" s="689"/>
      <c r="BK504" s="688"/>
      <c r="BL504" s="688"/>
      <c r="BM504" s="688"/>
      <c r="BN504" s="688"/>
      <c r="BO504" s="688"/>
      <c r="BP504" s="688"/>
      <c r="BQ504" s="13"/>
      <c r="BR504" s="449"/>
      <c r="BS504" s="435"/>
      <c r="BT504" s="435"/>
      <c r="BU504" s="435"/>
      <c r="BV504" s="435"/>
      <c r="BW504" s="435"/>
      <c r="BX504" s="435"/>
      <c r="BY504" s="435"/>
      <c r="BZ504" s="435"/>
      <c r="CA504" s="435"/>
      <c r="CB504" s="435"/>
      <c r="CC504" s="435"/>
    </row>
    <row r="505" spans="1:81" s="469" customFormat="1" ht="12.75" hidden="1" customHeight="1">
      <c r="A505" s="449"/>
      <c r="B505" s="449"/>
      <c r="C505" s="2378" t="s">
        <v>807</v>
      </c>
      <c r="D505" s="2379"/>
      <c r="E505" s="660" t="s">
        <v>53</v>
      </c>
      <c r="F505" s="2380" t="s">
        <v>2408</v>
      </c>
      <c r="G505" s="2380"/>
      <c r="H505" s="2380"/>
      <c r="I505" s="2380"/>
      <c r="J505" s="2380"/>
      <c r="K505" s="2380"/>
      <c r="L505" s="2380"/>
      <c r="M505" s="2380"/>
      <c r="N505" s="2380"/>
      <c r="O505" s="2380"/>
      <c r="P505" s="2380"/>
      <c r="Q505" s="2380"/>
      <c r="R505" s="2380"/>
      <c r="S505" s="2380"/>
      <c r="T505" s="2380"/>
      <c r="U505" s="2380"/>
      <c r="V505" s="2380"/>
      <c r="W505" s="2380"/>
      <c r="X505" s="2380"/>
      <c r="Y505" s="2380"/>
      <c r="Z505" s="2380"/>
      <c r="AA505" s="2380"/>
      <c r="AB505" s="2380"/>
      <c r="AC505" s="2380"/>
      <c r="AD505" s="2380"/>
      <c r="AE505" s="2380"/>
      <c r="AF505" s="613"/>
      <c r="AG505" s="548"/>
      <c r="AH505" s="548"/>
      <c r="AI505" s="548"/>
      <c r="AJ505" s="548"/>
      <c r="AK505" s="644"/>
      <c r="AL505" s="449"/>
      <c r="AM505" s="449"/>
      <c r="AN505" s="433"/>
      <c r="AO505" s="25"/>
      <c r="AP505" s="687"/>
      <c r="AQ505" s="687"/>
      <c r="AR505" s="687"/>
      <c r="AS505" s="578"/>
      <c r="AT505" s="449"/>
      <c r="AU505" s="688"/>
      <c r="AV505" s="688"/>
      <c r="AW505" s="688"/>
      <c r="AX505" s="688"/>
      <c r="AY505" s="688"/>
      <c r="AZ505" s="688"/>
      <c r="BA505" s="688"/>
      <c r="BB505" s="13"/>
      <c r="BC505" s="13"/>
      <c r="BD505" s="435"/>
      <c r="BE505" s="687"/>
      <c r="BF505" s="687"/>
      <c r="BG505" s="687"/>
      <c r="BH505" s="578"/>
      <c r="BI505" s="449"/>
      <c r="BJ505" s="689"/>
      <c r="BK505" s="688"/>
      <c r="BL505" s="688"/>
      <c r="BM505" s="688"/>
      <c r="BN505" s="688"/>
      <c r="BO505" s="688"/>
      <c r="BP505" s="688"/>
      <c r="BQ505" s="13"/>
      <c r="BR505" s="449"/>
      <c r="BS505" s="435"/>
      <c r="BT505" s="435"/>
      <c r="BU505" s="435"/>
      <c r="BV505" s="435"/>
      <c r="BW505" s="435"/>
      <c r="BX505" s="435"/>
      <c r="BY505" s="435"/>
      <c r="BZ505" s="435"/>
      <c r="CA505" s="435"/>
      <c r="CB505" s="435"/>
      <c r="CC505" s="435"/>
    </row>
    <row r="506" spans="1:81" s="469" customFormat="1" ht="12.75" hidden="1" customHeight="1">
      <c r="A506" s="449"/>
      <c r="B506" s="449"/>
      <c r="C506" s="661"/>
      <c r="D506" s="449"/>
      <c r="E506" s="662"/>
      <c r="F506" s="2381"/>
      <c r="G506" s="2381"/>
      <c r="H506" s="2381"/>
      <c r="I506" s="2381"/>
      <c r="J506" s="2381"/>
      <c r="K506" s="2381"/>
      <c r="L506" s="2381"/>
      <c r="M506" s="2381"/>
      <c r="N506" s="2381"/>
      <c r="O506" s="2381"/>
      <c r="P506" s="2381"/>
      <c r="Q506" s="2381"/>
      <c r="R506" s="2381"/>
      <c r="S506" s="2381"/>
      <c r="T506" s="2381"/>
      <c r="U506" s="2381"/>
      <c r="V506" s="2381"/>
      <c r="W506" s="2381"/>
      <c r="X506" s="2381"/>
      <c r="Y506" s="2381"/>
      <c r="Z506" s="2381"/>
      <c r="AA506" s="2381"/>
      <c r="AB506" s="2381"/>
      <c r="AC506" s="2381"/>
      <c r="AD506" s="2381"/>
      <c r="AE506" s="2381"/>
      <c r="AF506" s="449"/>
      <c r="AG506" s="450"/>
      <c r="AH506" s="450"/>
      <c r="AI506" s="450"/>
      <c r="AJ506" s="450"/>
      <c r="AK506" s="631"/>
      <c r="AL506" s="449"/>
      <c r="AM506" s="449"/>
      <c r="AN506" s="433"/>
      <c r="AO506" s="25"/>
      <c r="AP506" s="687"/>
      <c r="AQ506" s="687"/>
      <c r="AR506" s="687"/>
      <c r="AS506" s="578"/>
      <c r="AT506" s="449"/>
      <c r="AU506" s="688"/>
      <c r="AV506" s="688"/>
      <c r="AW506" s="688"/>
      <c r="AX506" s="688"/>
      <c r="AY506" s="688"/>
      <c r="AZ506" s="688"/>
      <c r="BA506" s="688"/>
      <c r="BB506" s="13"/>
      <c r="BC506" s="13"/>
      <c r="BD506" s="435"/>
      <c r="BE506" s="687"/>
      <c r="BF506" s="687"/>
      <c r="BG506" s="687"/>
      <c r="BH506" s="578"/>
      <c r="BI506" s="449"/>
      <c r="BJ506" s="689"/>
      <c r="BK506" s="688"/>
      <c r="BL506" s="688"/>
      <c r="BM506" s="688"/>
      <c r="BN506" s="688"/>
      <c r="BO506" s="688"/>
      <c r="BP506" s="688"/>
      <c r="BQ506" s="13"/>
      <c r="BR506" s="449"/>
      <c r="BS506" s="435"/>
      <c r="BT506" s="435"/>
      <c r="BU506" s="435"/>
      <c r="BV506" s="435"/>
      <c r="BW506" s="435"/>
      <c r="BX506" s="435"/>
      <c r="BY506" s="435"/>
      <c r="BZ506" s="435"/>
      <c r="CA506" s="435"/>
      <c r="CB506" s="435"/>
      <c r="CC506" s="435"/>
    </row>
    <row r="507" spans="1:81" s="469" customFormat="1" ht="12.75" hidden="1" customHeight="1">
      <c r="A507" s="449"/>
      <c r="B507" s="449"/>
      <c r="C507" s="638"/>
      <c r="D507" s="449"/>
      <c r="E507" s="449"/>
      <c r="F507" s="681" t="s">
        <v>2409</v>
      </c>
      <c r="G507" s="450"/>
      <c r="H507" s="450"/>
      <c r="I507" s="450"/>
      <c r="J507" s="450"/>
      <c r="K507" s="450"/>
      <c r="L507" s="450"/>
      <c r="M507" s="450"/>
      <c r="N507" s="450"/>
      <c r="O507" s="450"/>
      <c r="P507" s="450"/>
      <c r="Q507" s="450"/>
      <c r="R507" s="450"/>
      <c r="S507" s="450"/>
      <c r="T507" s="450"/>
      <c r="U507" s="450"/>
      <c r="V507" s="450"/>
      <c r="W507" s="450"/>
      <c r="X507" s="450"/>
      <c r="Y507" s="450"/>
      <c r="Z507" s="450"/>
      <c r="AA507" s="450"/>
      <c r="AB507" s="450"/>
      <c r="AC507" s="490"/>
      <c r="AD507" s="449"/>
      <c r="AE507" s="449"/>
      <c r="AF507" s="449"/>
      <c r="AG507" s="512"/>
      <c r="AH507" s="512"/>
      <c r="AI507" s="512"/>
      <c r="AJ507" s="512"/>
      <c r="AK507" s="631"/>
      <c r="AL507" s="449"/>
      <c r="AM507" s="449"/>
      <c r="AN507" s="433"/>
      <c r="AO507" s="435"/>
      <c r="AP507" s="687"/>
      <c r="AQ507" s="687"/>
      <c r="AR507" s="687"/>
      <c r="AS507" s="578"/>
      <c r="AT507" s="449"/>
      <c r="AU507" s="688"/>
      <c r="AV507" s="688"/>
      <c r="AW507" s="688"/>
      <c r="AX507" s="688"/>
      <c r="AY507" s="688"/>
      <c r="AZ507" s="688"/>
      <c r="BA507" s="688"/>
      <c r="BB507" s="435"/>
      <c r="BC507" s="435"/>
      <c r="BD507" s="435"/>
      <c r="BE507" s="687"/>
      <c r="BF507" s="687"/>
      <c r="BG507" s="687"/>
      <c r="BH507" s="578"/>
      <c r="BI507" s="449"/>
      <c r="BJ507" s="689"/>
      <c r="BK507" s="688"/>
      <c r="BL507" s="688"/>
      <c r="BM507" s="688"/>
      <c r="BN507" s="688"/>
      <c r="BO507" s="688"/>
      <c r="BP507" s="688"/>
      <c r="BQ507" s="435"/>
      <c r="BR507" s="449"/>
      <c r="BS507" s="435"/>
      <c r="BT507" s="435"/>
      <c r="BU507" s="435"/>
      <c r="BV507" s="435"/>
      <c r="BW507" s="435"/>
      <c r="BX507" s="435"/>
      <c r="BY507" s="435"/>
      <c r="BZ507" s="435"/>
      <c r="CA507" s="435"/>
      <c r="CB507" s="435"/>
      <c r="CC507" s="435"/>
    </row>
    <row r="508" spans="1:81" s="469" customFormat="1" ht="13" hidden="1">
      <c r="A508" s="449"/>
      <c r="B508" s="449"/>
      <c r="C508" s="663"/>
      <c r="D508" s="626"/>
      <c r="E508" s="664"/>
      <c r="F508" s="2382" t="s">
        <v>807</v>
      </c>
      <c r="G508" s="2382"/>
      <c r="H508" s="2382"/>
      <c r="I508" s="557"/>
      <c r="J508" s="557"/>
      <c r="K508" s="557"/>
      <c r="L508" s="557"/>
      <c r="M508" s="557"/>
      <c r="N508" s="557"/>
      <c r="O508" s="557"/>
      <c r="P508" s="557"/>
      <c r="Q508" s="557"/>
      <c r="R508" s="557"/>
      <c r="S508" s="557"/>
      <c r="T508" s="557"/>
      <c r="U508" s="557"/>
      <c r="V508" s="557"/>
      <c r="W508" s="557"/>
      <c r="X508" s="557"/>
      <c r="Y508" s="557"/>
      <c r="Z508" s="557"/>
      <c r="AA508" s="557"/>
      <c r="AB508" s="557"/>
      <c r="AC508" s="557"/>
      <c r="AD508" s="626"/>
      <c r="AE508" s="626"/>
      <c r="AF508" s="626"/>
      <c r="AG508" s="666">
        <f>IF($C$505="Yes",(VLOOKUP($F$508,$AO$481:$AP$483,2,FALSE)),0)</f>
        <v>0</v>
      </c>
      <c r="AH508" s="667" t="s">
        <v>2165</v>
      </c>
      <c r="AI508" s="557"/>
      <c r="AJ508" s="557"/>
      <c r="AK508" s="641"/>
      <c r="AL508" s="449"/>
      <c r="AM508" s="449"/>
      <c r="AN508" s="433"/>
      <c r="AO508" s="435"/>
      <c r="AP508" s="687"/>
      <c r="AQ508" s="687"/>
      <c r="AR508" s="687"/>
      <c r="AS508" s="686"/>
      <c r="AT508" s="449"/>
      <c r="AU508" s="688"/>
      <c r="AV508" s="688"/>
      <c r="AW508" s="688"/>
      <c r="AX508" s="688"/>
      <c r="AY508" s="688"/>
      <c r="AZ508" s="688"/>
      <c r="BA508" s="688"/>
      <c r="BB508" s="435"/>
      <c r="BC508" s="435"/>
      <c r="BD508" s="435"/>
      <c r="BE508" s="687"/>
      <c r="BF508" s="687"/>
      <c r="BG508" s="687"/>
      <c r="BH508" s="686"/>
      <c r="BI508" s="449"/>
      <c r="BJ508" s="689"/>
      <c r="BK508" s="688"/>
      <c r="BL508" s="688"/>
      <c r="BM508" s="688"/>
      <c r="BN508" s="688"/>
      <c r="BO508" s="688"/>
      <c r="BP508" s="688"/>
      <c r="BQ508" s="435"/>
      <c r="BR508" s="449"/>
      <c r="BS508" s="435"/>
      <c r="BT508" s="435"/>
      <c r="BU508" s="435"/>
      <c r="BV508" s="435"/>
      <c r="BW508" s="435"/>
      <c r="BX508" s="435"/>
      <c r="BY508" s="435"/>
      <c r="BZ508" s="435"/>
      <c r="CA508" s="435"/>
      <c r="CB508" s="435"/>
      <c r="CC508" s="435"/>
    </row>
    <row r="509" spans="1:81" s="469" customFormat="1" ht="13" hidden="1">
      <c r="A509" s="450"/>
      <c r="B509" s="450"/>
      <c r="C509" s="450"/>
      <c r="D509" s="450"/>
      <c r="E509" s="450"/>
      <c r="F509" s="450"/>
      <c r="G509" s="450"/>
      <c r="H509" s="450"/>
      <c r="I509" s="450"/>
      <c r="J509" s="450"/>
      <c r="K509" s="450"/>
      <c r="L509" s="450"/>
      <c r="M509" s="450"/>
      <c r="N509" s="450"/>
      <c r="O509" s="450"/>
      <c r="P509" s="450"/>
      <c r="Q509" s="450"/>
      <c r="R509" s="450"/>
      <c r="S509" s="450"/>
      <c r="T509" s="450"/>
      <c r="U509" s="450"/>
      <c r="V509" s="450"/>
      <c r="W509" s="450"/>
      <c r="X509" s="450"/>
      <c r="Y509" s="450"/>
      <c r="Z509" s="450"/>
      <c r="AA509" s="450"/>
      <c r="AB509" s="450"/>
      <c r="AC509" s="450"/>
      <c r="AD509" s="450"/>
      <c r="AE509" s="449"/>
      <c r="AF509" s="449"/>
      <c r="AG509" s="512"/>
      <c r="AH509" s="539"/>
      <c r="AI509" s="450"/>
      <c r="AJ509" s="450"/>
      <c r="AK509" s="449"/>
      <c r="AL509" s="449"/>
      <c r="AM509" s="449"/>
      <c r="AN509" s="433"/>
      <c r="AO509" s="435"/>
      <c r="AP509" s="687"/>
      <c r="AQ509" s="687"/>
      <c r="AR509" s="687"/>
      <c r="AS509" s="686"/>
      <c r="AT509" s="449"/>
      <c r="AU509" s="688"/>
      <c r="AV509" s="688"/>
      <c r="AW509" s="688"/>
      <c r="AX509" s="688"/>
      <c r="AY509" s="688"/>
      <c r="AZ509" s="688"/>
      <c r="BA509" s="688"/>
      <c r="BB509" s="435"/>
      <c r="BC509" s="435"/>
      <c r="BD509" s="435"/>
      <c r="BE509" s="687"/>
      <c r="BF509" s="687"/>
      <c r="BG509" s="687"/>
      <c r="BH509" s="686"/>
      <c r="BI509" s="449"/>
      <c r="BJ509" s="689"/>
      <c r="BK509" s="688"/>
      <c r="BL509" s="688"/>
      <c r="BM509" s="688"/>
      <c r="BN509" s="688"/>
      <c r="BO509" s="688"/>
      <c r="BP509" s="688"/>
      <c r="BQ509" s="435"/>
      <c r="BR509" s="449"/>
      <c r="BS509" s="435"/>
      <c r="BT509" s="435"/>
      <c r="BU509" s="435"/>
      <c r="BV509" s="435"/>
      <c r="BW509" s="435"/>
      <c r="BX509" s="435"/>
      <c r="BY509" s="435"/>
      <c r="BZ509" s="435"/>
      <c r="CA509" s="435"/>
      <c r="CB509" s="435"/>
      <c r="CC509" s="435"/>
    </row>
    <row r="510" spans="1:81" s="469" customFormat="1" ht="13" hidden="1">
      <c r="A510" s="449"/>
      <c r="B510" s="449"/>
      <c r="C510" s="2378" t="s">
        <v>807</v>
      </c>
      <c r="D510" s="2379"/>
      <c r="E510" s="660" t="s">
        <v>2410</v>
      </c>
      <c r="F510" s="679" t="s">
        <v>2411</v>
      </c>
      <c r="G510" s="548"/>
      <c r="H510" s="548"/>
      <c r="I510" s="548"/>
      <c r="J510" s="548"/>
      <c r="K510" s="548"/>
      <c r="L510" s="548"/>
      <c r="M510" s="548"/>
      <c r="N510" s="548"/>
      <c r="O510" s="548"/>
      <c r="P510" s="548"/>
      <c r="Q510" s="548"/>
      <c r="R510" s="548"/>
      <c r="S510" s="548"/>
      <c r="T510" s="548"/>
      <c r="U510" s="548"/>
      <c r="V510" s="548"/>
      <c r="W510" s="548"/>
      <c r="X510" s="548"/>
      <c r="Y510" s="548"/>
      <c r="Z510" s="548"/>
      <c r="AA510" s="548"/>
      <c r="AB510" s="548"/>
      <c r="AC510" s="690"/>
      <c r="AD510" s="613"/>
      <c r="AE510" s="613"/>
      <c r="AF510" s="613"/>
      <c r="AG510" s="691"/>
      <c r="AH510" s="691"/>
      <c r="AI510" s="691"/>
      <c r="AJ510" s="691"/>
      <c r="AK510" s="644"/>
      <c r="AL510" s="449"/>
      <c r="AM510" s="449"/>
      <c r="AN510" s="433"/>
      <c r="AO510" s="435"/>
      <c r="AP510" s="687"/>
      <c r="AQ510" s="687"/>
      <c r="AR510" s="687"/>
      <c r="AS510" s="686"/>
      <c r="AT510" s="449"/>
      <c r="AU510" s="688"/>
      <c r="AV510" s="688"/>
      <c r="AW510" s="688"/>
      <c r="AX510" s="688"/>
      <c r="AY510" s="688"/>
      <c r="AZ510" s="688"/>
      <c r="BA510" s="688"/>
      <c r="BB510" s="435"/>
      <c r="BC510" s="435"/>
      <c r="BD510" s="435"/>
      <c r="BE510" s="687"/>
      <c r="BF510" s="687"/>
      <c r="BG510" s="687"/>
      <c r="BH510" s="686"/>
      <c r="BI510" s="449"/>
      <c r="BJ510" s="689"/>
      <c r="BK510" s="688"/>
      <c r="BL510" s="688"/>
      <c r="BM510" s="688"/>
      <c r="BN510" s="688"/>
      <c r="BO510" s="688"/>
      <c r="BP510" s="688"/>
      <c r="BQ510" s="435"/>
      <c r="BR510" s="449"/>
      <c r="BS510" s="435"/>
      <c r="BT510" s="435"/>
      <c r="BU510" s="435"/>
      <c r="BV510" s="435"/>
      <c r="BW510" s="435"/>
      <c r="BX510" s="435"/>
      <c r="BY510" s="435"/>
      <c r="BZ510" s="435"/>
      <c r="CA510" s="435"/>
      <c r="CB510" s="435"/>
      <c r="CC510" s="435"/>
    </row>
    <row r="511" spans="1:81" s="469" customFormat="1" hidden="1">
      <c r="A511" s="449"/>
      <c r="B511" s="449"/>
      <c r="C511" s="661"/>
      <c r="D511" s="449"/>
      <c r="E511" s="662"/>
      <c r="F511" s="450"/>
      <c r="G511" s="450"/>
      <c r="H511" s="450"/>
      <c r="I511" s="450"/>
      <c r="J511" s="450"/>
      <c r="K511" s="450"/>
      <c r="L511" s="450"/>
      <c r="M511" s="450"/>
      <c r="N511" s="450"/>
      <c r="O511" s="450"/>
      <c r="P511" s="450"/>
      <c r="Q511" s="450"/>
      <c r="R511" s="450"/>
      <c r="S511" s="450"/>
      <c r="T511" s="450"/>
      <c r="U511" s="450"/>
      <c r="V511" s="450"/>
      <c r="W511" s="450"/>
      <c r="X511" s="450"/>
      <c r="Y511" s="450"/>
      <c r="Z511" s="450"/>
      <c r="AA511" s="450"/>
      <c r="AB511" s="450"/>
      <c r="AC511" s="450"/>
      <c r="AD511" s="449"/>
      <c r="AE511" s="449"/>
      <c r="AF511" s="449"/>
      <c r="AG511" s="450"/>
      <c r="AH511" s="450"/>
      <c r="AI511" s="450"/>
      <c r="AJ511" s="450"/>
      <c r="AK511" s="631"/>
      <c r="AL511" s="449"/>
      <c r="AM511" s="449"/>
      <c r="AN511" s="433"/>
      <c r="AO511" s="435"/>
      <c r="AP511" s="687"/>
      <c r="AQ511" s="687"/>
      <c r="AR511" s="687"/>
      <c r="AS511" s="686"/>
      <c r="AT511" s="449"/>
      <c r="AU511" s="688"/>
      <c r="AV511" s="688"/>
      <c r="AW511" s="688"/>
      <c r="AX511" s="688"/>
      <c r="AY511" s="688"/>
      <c r="AZ511" s="688"/>
      <c r="BA511" s="688"/>
      <c r="BB511" s="435"/>
      <c r="BC511" s="435"/>
      <c r="BD511" s="435"/>
      <c r="BE511" s="687"/>
      <c r="BF511" s="687"/>
      <c r="BG511" s="687"/>
      <c r="BH511" s="686"/>
      <c r="BI511" s="449"/>
      <c r="BJ511" s="689"/>
      <c r="BK511" s="688"/>
      <c r="BL511" s="688"/>
      <c r="BM511" s="688"/>
      <c r="BN511" s="688"/>
      <c r="BO511" s="688"/>
      <c r="BP511" s="688"/>
      <c r="BQ511" s="435"/>
      <c r="BR511" s="13"/>
      <c r="BS511" s="435"/>
      <c r="BT511" s="435"/>
      <c r="BU511" s="435"/>
      <c r="BV511" s="435"/>
      <c r="BW511" s="435"/>
      <c r="BX511" s="435"/>
      <c r="BY511" s="435"/>
      <c r="BZ511" s="435"/>
      <c r="CA511" s="435"/>
      <c r="CB511" s="435"/>
      <c r="CC511" s="435"/>
    </row>
    <row r="512" spans="1:81" s="469" customFormat="1" ht="13" hidden="1">
      <c r="A512" s="449"/>
      <c r="B512" s="449"/>
      <c r="C512" s="2398"/>
      <c r="D512" s="2383"/>
      <c r="E512" s="671"/>
      <c r="F512" s="450" t="s">
        <v>2412</v>
      </c>
      <c r="G512" s="450"/>
      <c r="H512" s="450"/>
      <c r="I512" s="450"/>
      <c r="J512" s="450"/>
      <c r="K512" s="450"/>
      <c r="L512" s="450"/>
      <c r="M512" s="450"/>
      <c r="N512" s="450"/>
      <c r="O512" s="450"/>
      <c r="P512" s="450"/>
      <c r="Q512" s="450"/>
      <c r="R512" s="450"/>
      <c r="S512" s="450"/>
      <c r="T512" s="450"/>
      <c r="U512" s="450"/>
      <c r="V512" s="450"/>
      <c r="W512" s="450"/>
      <c r="X512" s="450"/>
      <c r="Y512" s="450"/>
      <c r="Z512" s="450"/>
      <c r="AA512" s="450"/>
      <c r="AB512" s="450"/>
      <c r="AC512" s="490"/>
      <c r="AD512" s="449"/>
      <c r="AE512" s="449"/>
      <c r="AF512" s="449"/>
      <c r="AG512" s="512">
        <f>IF($C$510="Yes",(VLOOKUP($G$513,$AO$488:$AP$491,2,FALSE)),0)</f>
        <v>0</v>
      </c>
      <c r="AH512" s="539" t="s">
        <v>2165</v>
      </c>
      <c r="AI512" s="450"/>
      <c r="AJ512" s="512"/>
      <c r="AK512" s="631"/>
      <c r="AL512" s="449"/>
      <c r="AM512" s="449"/>
      <c r="AN512" s="433"/>
      <c r="AO512" s="435"/>
      <c r="AP512" s="687"/>
      <c r="AQ512" s="687"/>
      <c r="AR512" s="687"/>
      <c r="AS512" s="686"/>
      <c r="AT512" s="449"/>
      <c r="AU512" s="688"/>
      <c r="AV512" s="688"/>
      <c r="AW512" s="688"/>
      <c r="AX512" s="688"/>
      <c r="AY512" s="688"/>
      <c r="AZ512" s="688"/>
      <c r="BA512" s="688"/>
      <c r="BB512" s="435"/>
      <c r="BC512" s="435"/>
      <c r="BD512" s="435"/>
      <c r="BE512" s="687"/>
      <c r="BF512" s="687"/>
      <c r="BG512" s="687"/>
      <c r="BH512" s="686"/>
      <c r="BI512" s="449"/>
      <c r="BJ512" s="689"/>
      <c r="BK512" s="688"/>
      <c r="BL512" s="688"/>
      <c r="BM512" s="688"/>
      <c r="BN512" s="688"/>
      <c r="BO512" s="688"/>
      <c r="BP512" s="688"/>
      <c r="BQ512" s="435"/>
      <c r="BR512" s="449"/>
      <c r="BS512" s="435"/>
      <c r="BT512" s="435"/>
      <c r="BU512" s="435"/>
      <c r="BV512" s="435"/>
      <c r="BW512" s="435"/>
      <c r="BX512" s="435"/>
      <c r="BY512" s="435"/>
      <c r="BZ512" s="435"/>
      <c r="CA512" s="435"/>
      <c r="CB512" s="435"/>
      <c r="CC512" s="435"/>
    </row>
    <row r="513" spans="1:81" s="469" customFormat="1" hidden="1">
      <c r="A513" s="449"/>
      <c r="B513" s="449"/>
      <c r="C513" s="661"/>
      <c r="D513" s="449"/>
      <c r="E513" s="662"/>
      <c r="F513" s="450"/>
      <c r="G513" s="2399" t="s">
        <v>807</v>
      </c>
      <c r="H513" s="2399"/>
      <c r="I513" s="2399"/>
      <c r="J513" s="2399"/>
      <c r="K513" s="2399"/>
      <c r="L513" s="2399"/>
      <c r="M513" s="2399"/>
      <c r="N513" s="2399"/>
      <c r="O513" s="2399"/>
      <c r="P513" s="2399"/>
      <c r="Q513" s="2399"/>
      <c r="R513" s="2399"/>
      <c r="S513" s="2399"/>
      <c r="T513" s="2399"/>
      <c r="U513" s="2399"/>
      <c r="V513" s="2399"/>
      <c r="W513" s="2399"/>
      <c r="X513" s="2399"/>
      <c r="Y513" s="2399"/>
      <c r="Z513" s="2399"/>
      <c r="AA513" s="2399"/>
      <c r="AB513" s="2399"/>
      <c r="AC513" s="2399"/>
      <c r="AD513" s="2399"/>
      <c r="AE513" s="2399"/>
      <c r="AF513" s="2399"/>
      <c r="AG513" s="449"/>
      <c r="AH513" s="449"/>
      <c r="AI513" s="449"/>
      <c r="AJ513" s="450"/>
      <c r="AK513" s="631"/>
      <c r="AL513" s="449"/>
      <c r="AM513" s="449"/>
      <c r="AN513" s="433"/>
      <c r="AO513" s="435"/>
      <c r="AP513" s="687"/>
      <c r="AQ513" s="687"/>
      <c r="AR513" s="687"/>
      <c r="AS513" s="686"/>
      <c r="AT513" s="449"/>
      <c r="AU513" s="688"/>
      <c r="AV513" s="688"/>
      <c r="AW513" s="688"/>
      <c r="AX513" s="688"/>
      <c r="AY513" s="688"/>
      <c r="AZ513" s="688"/>
      <c r="BA513" s="688"/>
      <c r="BB513" s="435"/>
      <c r="BC513" s="435"/>
      <c r="BD513" s="435"/>
      <c r="BE513" s="687"/>
      <c r="BF513" s="687"/>
      <c r="BG513" s="687"/>
      <c r="BH513" s="686"/>
      <c r="BI513" s="449"/>
      <c r="BJ513" s="689"/>
      <c r="BK513" s="688"/>
      <c r="BL513" s="688"/>
      <c r="BM513" s="688"/>
      <c r="BN513" s="688"/>
      <c r="BO513" s="688"/>
      <c r="BP513" s="688"/>
      <c r="BQ513" s="435"/>
      <c r="BR513" s="449"/>
      <c r="BS513" s="435"/>
      <c r="BT513" s="435"/>
      <c r="BU513" s="435"/>
      <c r="BV513" s="435"/>
      <c r="BW513" s="435"/>
      <c r="BX513" s="435"/>
      <c r="BY513" s="435"/>
      <c r="BZ513" s="435"/>
      <c r="CA513" s="435"/>
      <c r="CB513" s="435"/>
      <c r="CC513" s="435"/>
    </row>
    <row r="514" spans="1:81" s="469" customFormat="1" hidden="1">
      <c r="A514" s="449"/>
      <c r="B514" s="449"/>
      <c r="C514" s="630"/>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49"/>
      <c r="AE514" s="449"/>
      <c r="AF514" s="449"/>
      <c r="AG514" s="13"/>
      <c r="AH514" s="13"/>
      <c r="AI514" s="13"/>
      <c r="AJ514" s="13"/>
      <c r="AK514" s="631"/>
      <c r="AL514" s="449"/>
      <c r="AM514" s="449"/>
      <c r="AN514" s="433"/>
      <c r="AO514" s="435"/>
      <c r="AP514" s="687"/>
      <c r="AQ514" s="687"/>
      <c r="AR514" s="687"/>
      <c r="AS514" s="686"/>
      <c r="AT514" s="449"/>
      <c r="AU514" s="688"/>
      <c r="AV514" s="688"/>
      <c r="AW514" s="688"/>
      <c r="AX514" s="688"/>
      <c r="AY514" s="688"/>
      <c r="AZ514" s="688"/>
      <c r="BA514" s="688"/>
      <c r="BB514" s="435"/>
      <c r="BC514" s="435"/>
      <c r="BD514" s="435"/>
      <c r="BE514" s="687"/>
      <c r="BF514" s="687"/>
      <c r="BG514" s="687"/>
      <c r="BH514" s="686"/>
      <c r="BI514" s="449"/>
      <c r="BJ514" s="689"/>
      <c r="BK514" s="688"/>
      <c r="BL514" s="688"/>
      <c r="BM514" s="688"/>
      <c r="BN514" s="688"/>
      <c r="BO514" s="688"/>
      <c r="BP514" s="688"/>
      <c r="BQ514" s="435"/>
      <c r="BR514" s="449"/>
      <c r="BS514" s="435"/>
      <c r="BT514" s="435"/>
      <c r="BU514" s="435"/>
      <c r="BV514" s="435"/>
      <c r="BW514" s="435"/>
      <c r="BX514" s="435"/>
      <c r="BY514" s="435"/>
      <c r="BZ514" s="435"/>
      <c r="CA514" s="435"/>
      <c r="CB514" s="435"/>
      <c r="CC514" s="435"/>
    </row>
    <row r="515" spans="1:81" s="469" customFormat="1" ht="12.75" hidden="1" customHeight="1">
      <c r="A515" s="13"/>
      <c r="B515" s="449"/>
      <c r="C515" s="2450" t="s">
        <v>807</v>
      </c>
      <c r="D515" s="2451"/>
      <c r="F515" s="450" t="s">
        <v>2413</v>
      </c>
      <c r="G515" s="450"/>
      <c r="H515" s="450"/>
      <c r="I515" s="450"/>
      <c r="J515" s="450"/>
      <c r="K515" s="450"/>
      <c r="L515" s="450"/>
      <c r="M515" s="450"/>
      <c r="N515" s="450"/>
      <c r="O515" s="450"/>
      <c r="P515" s="450"/>
      <c r="Q515" s="450"/>
      <c r="R515" s="450"/>
      <c r="S515" s="450"/>
      <c r="T515" s="450"/>
      <c r="U515" s="450"/>
      <c r="V515" s="450"/>
      <c r="W515" s="450"/>
      <c r="X515" s="450"/>
      <c r="Y515" s="450"/>
      <c r="Z515" s="450"/>
      <c r="AA515" s="450"/>
      <c r="AB515" s="450"/>
      <c r="AC515" s="490"/>
      <c r="AD515" s="449"/>
      <c r="AE515" s="449"/>
      <c r="AF515" s="449"/>
      <c r="AG515" s="512">
        <f>IF(AND($C$515="Yes",$C$510="Yes"),2,0)</f>
        <v>0</v>
      </c>
      <c r="AH515" s="539" t="s">
        <v>2165</v>
      </c>
      <c r="AI515" s="450"/>
      <c r="AJ515" s="493"/>
      <c r="AK515" s="631"/>
      <c r="AL515" s="449"/>
      <c r="AM515" s="449"/>
      <c r="AN515" s="433"/>
      <c r="AO515" s="435"/>
      <c r="AP515" s="687"/>
      <c r="AQ515" s="687"/>
      <c r="AR515" s="687"/>
      <c r="AS515" s="686"/>
      <c r="AT515" s="449"/>
      <c r="AU515" s="688"/>
      <c r="AV515" s="688"/>
      <c r="AW515" s="688"/>
      <c r="AX515" s="688"/>
      <c r="AY515" s="688"/>
      <c r="AZ515" s="688"/>
      <c r="BA515" s="688"/>
      <c r="BB515" s="435"/>
      <c r="BC515" s="435"/>
      <c r="BD515" s="435"/>
      <c r="BE515" s="687"/>
      <c r="BF515" s="687"/>
      <c r="BG515" s="687"/>
      <c r="BH515" s="686"/>
      <c r="BI515" s="449"/>
      <c r="BJ515" s="689"/>
      <c r="BK515" s="688"/>
      <c r="BL515" s="688"/>
      <c r="BM515" s="688"/>
      <c r="BN515" s="688"/>
      <c r="BO515" s="688"/>
      <c r="BP515" s="688"/>
      <c r="BQ515" s="435"/>
      <c r="BR515" s="449"/>
      <c r="BS515" s="435"/>
      <c r="BT515" s="435"/>
      <c r="BU515" s="435"/>
      <c r="BV515" s="435"/>
      <c r="BW515" s="435"/>
      <c r="BX515" s="435"/>
      <c r="BY515" s="435"/>
      <c r="BZ515" s="435"/>
      <c r="CA515" s="435"/>
      <c r="CB515" s="435"/>
      <c r="CC515" s="435"/>
    </row>
    <row r="516" spans="1:81" s="469" customFormat="1" ht="13" hidden="1">
      <c r="A516" s="13"/>
      <c r="B516" s="449"/>
      <c r="C516" s="680"/>
      <c r="D516" s="629"/>
      <c r="E516" s="629"/>
      <c r="F516" s="450"/>
      <c r="G516" s="450" t="s">
        <v>2414</v>
      </c>
      <c r="H516" s="450"/>
      <c r="I516" s="450"/>
      <c r="J516" s="450"/>
      <c r="K516" s="450"/>
      <c r="L516" s="450"/>
      <c r="M516" s="450"/>
      <c r="N516" s="450"/>
      <c r="O516" s="450"/>
      <c r="P516" s="450"/>
      <c r="Q516" s="450"/>
      <c r="R516" s="450"/>
      <c r="S516" s="450"/>
      <c r="T516" s="450"/>
      <c r="U516" s="450"/>
      <c r="V516" s="450"/>
      <c r="W516" s="450"/>
      <c r="X516" s="450"/>
      <c r="Y516" s="450"/>
      <c r="Z516" s="450"/>
      <c r="AA516" s="450"/>
      <c r="AB516" s="450"/>
      <c r="AC516" s="490"/>
      <c r="AD516" s="449"/>
      <c r="AE516" s="449"/>
      <c r="AF516" s="449"/>
      <c r="AG516" s="493"/>
      <c r="AH516" s="493"/>
      <c r="AI516" s="493"/>
      <c r="AJ516" s="493"/>
      <c r="AK516" s="631"/>
      <c r="AL516" s="449"/>
      <c r="AM516" s="449"/>
      <c r="AN516" s="496"/>
      <c r="AO516" s="435"/>
      <c r="AP516" s="687"/>
      <c r="AQ516" s="687"/>
      <c r="AR516" s="687"/>
      <c r="AS516" s="686"/>
      <c r="AT516" s="449"/>
      <c r="AU516" s="688"/>
      <c r="AV516" s="688"/>
      <c r="AW516" s="688"/>
      <c r="AX516" s="688"/>
      <c r="AY516" s="688"/>
      <c r="AZ516" s="688"/>
      <c r="BA516" s="688"/>
      <c r="BB516" s="435"/>
      <c r="BC516" s="435"/>
      <c r="BD516" s="435"/>
      <c r="BE516" s="687"/>
      <c r="BF516" s="687"/>
      <c r="BG516" s="687"/>
      <c r="BH516" s="686"/>
      <c r="BI516" s="449"/>
      <c r="BJ516" s="689"/>
      <c r="BK516" s="688"/>
      <c r="BL516" s="688"/>
      <c r="BM516" s="688"/>
      <c r="BN516" s="688"/>
      <c r="BO516" s="688"/>
      <c r="BP516" s="688"/>
      <c r="BQ516" s="435"/>
      <c r="BR516" s="449"/>
      <c r="BS516" s="435"/>
      <c r="BT516" s="435"/>
      <c r="BU516" s="435"/>
      <c r="BV516" s="435"/>
      <c r="BW516" s="435"/>
      <c r="BX516" s="435"/>
      <c r="BY516" s="435"/>
      <c r="BZ516" s="435"/>
      <c r="CA516" s="435"/>
      <c r="CB516" s="435"/>
      <c r="CC516" s="435"/>
    </row>
    <row r="517" spans="1:81" s="449" customFormat="1" ht="12.75" hidden="1" customHeight="1">
      <c r="A517" s="13"/>
      <c r="C517" s="680"/>
      <c r="D517" s="629"/>
      <c r="E517" s="629"/>
      <c r="F517" s="450"/>
      <c r="G517" s="450" t="s">
        <v>2415</v>
      </c>
      <c r="H517" s="450"/>
      <c r="I517" s="450"/>
      <c r="J517" s="450"/>
      <c r="K517" s="450"/>
      <c r="L517" s="450"/>
      <c r="M517" s="450"/>
      <c r="N517" s="450"/>
      <c r="O517" s="450"/>
      <c r="P517" s="450"/>
      <c r="Q517" s="450"/>
      <c r="R517" s="450"/>
      <c r="S517" s="450"/>
      <c r="T517" s="450"/>
      <c r="U517" s="450"/>
      <c r="V517" s="450"/>
      <c r="W517" s="450"/>
      <c r="X517" s="450"/>
      <c r="Y517" s="450"/>
      <c r="Z517" s="450"/>
      <c r="AA517" s="450"/>
      <c r="AB517" s="450"/>
      <c r="AC517" s="490"/>
      <c r="AG517" s="493"/>
      <c r="AH517" s="493"/>
      <c r="AI517" s="493"/>
      <c r="AJ517" s="493"/>
      <c r="AK517" s="631"/>
      <c r="AN517" s="434"/>
      <c r="AP517" s="435"/>
      <c r="AQ517" s="435"/>
      <c r="AR517" s="435"/>
    </row>
    <row r="518" spans="1:81" s="449" customFormat="1" ht="12.75" hidden="1" customHeight="1">
      <c r="A518" s="536"/>
      <c r="B518" s="13"/>
      <c r="C518" s="692"/>
      <c r="D518" s="13"/>
      <c r="G518" s="510"/>
      <c r="H518" s="510"/>
      <c r="I518" s="510"/>
      <c r="J518" s="510"/>
      <c r="K518" s="510"/>
      <c r="L518" s="510"/>
      <c r="M518" s="510"/>
      <c r="N518" s="510"/>
      <c r="O518" s="510"/>
      <c r="P518" s="510"/>
      <c r="Q518" s="510"/>
      <c r="R518" s="510"/>
      <c r="S518" s="510"/>
      <c r="T518" s="510"/>
      <c r="U518" s="510"/>
      <c r="V518" s="510"/>
      <c r="W518" s="510"/>
      <c r="X518" s="510"/>
      <c r="Y518" s="510"/>
      <c r="Z518" s="510"/>
      <c r="AA518" s="510"/>
      <c r="AB518" s="510"/>
      <c r="AC518" s="510"/>
      <c r="AD518" s="510"/>
      <c r="AE518" s="510"/>
      <c r="AF518" s="510"/>
      <c r="AG518" s="490"/>
      <c r="AH518" s="490"/>
      <c r="AI518" s="490"/>
      <c r="AJ518" s="490"/>
      <c r="AK518" s="693"/>
      <c r="AL518" s="13"/>
      <c r="AM518" s="13"/>
      <c r="AN518" s="434"/>
      <c r="AO518" s="435"/>
      <c r="AP518" s="435"/>
      <c r="AQ518" s="435"/>
      <c r="AR518" s="435"/>
    </row>
    <row r="519" spans="1:81" s="449" customFormat="1" ht="12.75" hidden="1" customHeight="1">
      <c r="A519" s="536"/>
      <c r="C519" s="2450" t="s">
        <v>807</v>
      </c>
      <c r="D519" s="2451"/>
      <c r="F519" s="694" t="s">
        <v>2416</v>
      </c>
      <c r="G519" s="2360" t="s">
        <v>2417</v>
      </c>
      <c r="H519" s="2360"/>
      <c r="I519" s="2360"/>
      <c r="J519" s="2360"/>
      <c r="K519" s="2360"/>
      <c r="L519" s="2360"/>
      <c r="M519" s="2360"/>
      <c r="N519" s="2360"/>
      <c r="O519" s="2360"/>
      <c r="P519" s="2360"/>
      <c r="Q519" s="2360"/>
      <c r="R519" s="2360"/>
      <c r="S519" s="2360"/>
      <c r="T519" s="2360"/>
      <c r="U519" s="2360"/>
      <c r="V519" s="2360"/>
      <c r="W519" s="2360"/>
      <c r="X519" s="2360"/>
      <c r="Y519" s="2360"/>
      <c r="Z519" s="2360"/>
      <c r="AA519" s="2360"/>
      <c r="AB519" s="2360"/>
      <c r="AC519" s="2360"/>
      <c r="AD519" s="2360"/>
      <c r="AE519" s="2360"/>
      <c r="AF519" s="2360"/>
      <c r="AG519" s="512">
        <f>IF(AND($C$519="Yes",$C$510="Yes"),2,0)</f>
        <v>0</v>
      </c>
      <c r="AH519" s="539" t="s">
        <v>2165</v>
      </c>
      <c r="AI519" s="450"/>
      <c r="AJ519" s="493"/>
      <c r="AK519" s="631"/>
      <c r="AN519" s="434"/>
      <c r="AZ519" s="438"/>
      <c r="BC519" s="442"/>
      <c r="BD519" s="438"/>
      <c r="BE519" s="438"/>
      <c r="BF519" s="438"/>
      <c r="BM519" s="435"/>
      <c r="BN519" s="438"/>
      <c r="BO519" s="435"/>
      <c r="BP519" s="438"/>
      <c r="BQ519" s="438"/>
      <c r="BR519" s="438"/>
      <c r="BS519" s="438"/>
      <c r="BT519" s="438"/>
      <c r="BU519" s="438"/>
      <c r="BV519" s="435"/>
      <c r="BW519" s="435"/>
      <c r="BX519" s="435"/>
      <c r="BY519" s="435"/>
      <c r="BZ519" s="435"/>
      <c r="CA519" s="435"/>
      <c r="CB519" s="435"/>
      <c r="CC519" s="435"/>
    </row>
    <row r="520" spans="1:81" s="449" customFormat="1" ht="12.75" hidden="1" customHeight="1">
      <c r="C520" s="695"/>
      <c r="D520" s="626"/>
      <c r="E520" s="664"/>
      <c r="F520" s="625"/>
      <c r="G520" s="2361"/>
      <c r="H520" s="2361"/>
      <c r="I520" s="2361"/>
      <c r="J520" s="2361"/>
      <c r="K520" s="2361"/>
      <c r="L520" s="2361"/>
      <c r="M520" s="2361"/>
      <c r="N520" s="2361"/>
      <c r="O520" s="2361"/>
      <c r="P520" s="2361"/>
      <c r="Q520" s="2361"/>
      <c r="R520" s="2361"/>
      <c r="S520" s="2361"/>
      <c r="T520" s="2361"/>
      <c r="U520" s="2361"/>
      <c r="V520" s="2361"/>
      <c r="W520" s="2361"/>
      <c r="X520" s="2361"/>
      <c r="Y520" s="2361"/>
      <c r="Z520" s="2361"/>
      <c r="AA520" s="2361"/>
      <c r="AB520" s="2361"/>
      <c r="AC520" s="2361"/>
      <c r="AD520" s="2361"/>
      <c r="AE520" s="2361"/>
      <c r="AF520" s="2361"/>
      <c r="AG520" s="557"/>
      <c r="AH520" s="557"/>
      <c r="AI520" s="557"/>
      <c r="AJ520" s="557"/>
      <c r="AK520" s="641"/>
      <c r="AN520" s="434"/>
      <c r="AZ520" s="438"/>
      <c r="BC520" s="442"/>
      <c r="BD520" s="438"/>
      <c r="BE520" s="438"/>
      <c r="BF520" s="438"/>
      <c r="BM520" s="494"/>
      <c r="BN520" s="494"/>
      <c r="BO520" s="494"/>
      <c r="BP520" s="494"/>
      <c r="BQ520" s="494"/>
      <c r="BR520" s="494"/>
      <c r="BS520" s="494"/>
      <c r="BT520" s="494"/>
      <c r="BU520" s="494"/>
      <c r="BV520" s="494"/>
      <c r="BW520" s="494"/>
      <c r="BX520" s="494"/>
      <c r="BY520" s="494"/>
      <c r="BZ520" s="494"/>
      <c r="CA520" s="494"/>
      <c r="CB520" s="494"/>
      <c r="CC520" s="494"/>
    </row>
    <row r="521" spans="1:81" s="449" customFormat="1" ht="12.75" hidden="1" customHeight="1">
      <c r="C521" s="435"/>
      <c r="E521" s="662"/>
      <c r="F521" s="502"/>
      <c r="G521" s="472"/>
      <c r="H521" s="472"/>
      <c r="I521" s="472"/>
      <c r="J521" s="472"/>
      <c r="K521" s="472"/>
      <c r="L521" s="472"/>
      <c r="M521" s="472"/>
      <c r="N521" s="472"/>
      <c r="O521" s="472"/>
      <c r="P521" s="472"/>
      <c r="Q521" s="472"/>
      <c r="R521" s="472"/>
      <c r="S521" s="472"/>
      <c r="T521" s="472"/>
      <c r="U521" s="472"/>
      <c r="V521" s="472"/>
      <c r="W521" s="472"/>
      <c r="X521" s="472"/>
      <c r="Y521" s="472"/>
      <c r="Z521" s="472"/>
      <c r="AA521" s="472"/>
      <c r="AB521" s="472"/>
      <c r="AC521" s="472"/>
      <c r="AD521" s="472"/>
      <c r="AE521" s="472"/>
      <c r="AF521" s="472"/>
      <c r="AG521" s="450"/>
      <c r="AH521" s="450"/>
      <c r="AI521" s="450"/>
      <c r="AJ521" s="450"/>
      <c r="AN521" s="434"/>
      <c r="AP521" s="438"/>
      <c r="AQ521" s="438"/>
      <c r="AR521" s="438"/>
      <c r="AS521" s="438"/>
      <c r="AT521" s="438"/>
      <c r="AU521" s="438"/>
      <c r="AV521" s="438"/>
      <c r="AW521" s="438"/>
      <c r="AX521" s="438"/>
      <c r="AY521" s="438"/>
      <c r="AZ521" s="438"/>
      <c r="BA521" s="438"/>
      <c r="BB521" s="438"/>
      <c r="BC521" s="438"/>
      <c r="BD521" s="438"/>
      <c r="BE521" s="438"/>
      <c r="BF521" s="438"/>
      <c r="BG521" s="438"/>
      <c r="BH521" s="438"/>
      <c r="BI521" s="442"/>
      <c r="BJ521" s="696"/>
      <c r="BK521" s="696"/>
      <c r="BM521" s="494"/>
      <c r="BN521" s="494"/>
      <c r="BO521" s="494"/>
      <c r="BP521" s="494"/>
      <c r="BQ521" s="494"/>
      <c r="BR521" s="494"/>
      <c r="BS521" s="494"/>
      <c r="BT521" s="494"/>
      <c r="BU521" s="494"/>
      <c r="BV521" s="494"/>
      <c r="BW521" s="494"/>
      <c r="BX521" s="494"/>
      <c r="BY521" s="494"/>
      <c r="BZ521" s="494"/>
      <c r="CA521" s="494"/>
      <c r="CB521" s="494"/>
      <c r="CC521" s="494"/>
    </row>
    <row r="522" spans="1:81" s="449" customFormat="1" ht="12.75" hidden="1" customHeight="1">
      <c r="C522" s="697" t="s">
        <v>2418</v>
      </c>
      <c r="D522" s="613"/>
      <c r="E522" s="698"/>
      <c r="F522" s="699"/>
      <c r="G522" s="700"/>
      <c r="H522" s="700"/>
      <c r="I522" s="700"/>
      <c r="J522" s="700"/>
      <c r="K522" s="700"/>
      <c r="L522" s="700"/>
      <c r="M522" s="700"/>
      <c r="N522" s="700"/>
      <c r="O522" s="700"/>
      <c r="P522" s="700"/>
      <c r="Q522" s="700"/>
      <c r="R522" s="700"/>
      <c r="S522" s="700"/>
      <c r="T522" s="700"/>
      <c r="U522" s="700"/>
      <c r="V522" s="700"/>
      <c r="W522" s="700"/>
      <c r="X522" s="700"/>
      <c r="Y522" s="700"/>
      <c r="Z522" s="700"/>
      <c r="AA522" s="700"/>
      <c r="AB522" s="700"/>
      <c r="AC522" s="700"/>
      <c r="AD522" s="700"/>
      <c r="AE522" s="700"/>
      <c r="AF522" s="700"/>
      <c r="AG522" s="548"/>
      <c r="AH522" s="548"/>
      <c r="AI522" s="548"/>
      <c r="AJ522" s="548"/>
      <c r="AK522" s="644"/>
      <c r="AN522" s="496"/>
      <c r="AP522" s="438"/>
      <c r="AQ522" s="438"/>
      <c r="AR522" s="438"/>
      <c r="AS522" s="438"/>
      <c r="AT522" s="438"/>
      <c r="AU522" s="438"/>
      <c r="AV522" s="438"/>
      <c r="AW522" s="438"/>
      <c r="AX522" s="438"/>
      <c r="AY522" s="438"/>
      <c r="AZ522" s="438"/>
      <c r="BA522" s="438"/>
      <c r="BB522" s="438"/>
      <c r="BC522" s="438"/>
      <c r="BD522" s="438"/>
      <c r="BE522" s="438"/>
      <c r="BF522" s="438"/>
      <c r="BG522" s="438"/>
      <c r="BH522" s="438"/>
      <c r="BI522" s="536"/>
      <c r="BJ522" s="696"/>
      <c r="BK522" s="696"/>
      <c r="BM522" s="494"/>
      <c r="BN522" s="494"/>
      <c r="BO522" s="494"/>
      <c r="BP522" s="494"/>
      <c r="BQ522" s="494"/>
      <c r="BR522" s="494"/>
      <c r="BS522" s="494"/>
      <c r="BT522" s="494"/>
      <c r="BU522" s="494"/>
      <c r="BV522" s="494"/>
      <c r="BW522" s="494"/>
      <c r="BX522" s="494"/>
      <c r="BY522" s="494"/>
      <c r="BZ522" s="494"/>
      <c r="CA522" s="494"/>
      <c r="CB522" s="494"/>
      <c r="CC522" s="494"/>
    </row>
    <row r="523" spans="1:81" s="449" customFormat="1" ht="12.75" hidden="1" customHeight="1">
      <c r="C523" s="2452" t="s">
        <v>807</v>
      </c>
      <c r="D523" s="2453"/>
      <c r="E523" s="701" t="s">
        <v>2419</v>
      </c>
      <c r="F523" s="670" t="s">
        <v>2420</v>
      </c>
      <c r="G523" s="472"/>
      <c r="H523" s="472"/>
      <c r="I523" s="472"/>
      <c r="J523" s="472"/>
      <c r="K523" s="472"/>
      <c r="L523" s="472"/>
      <c r="M523" s="472"/>
      <c r="N523" s="472"/>
      <c r="O523" s="472"/>
      <c r="P523" s="472"/>
      <c r="Q523" s="472"/>
      <c r="R523" s="472"/>
      <c r="S523" s="472"/>
      <c r="T523" s="472"/>
      <c r="U523" s="472"/>
      <c r="V523" s="472"/>
      <c r="W523" s="472"/>
      <c r="X523" s="472"/>
      <c r="Y523" s="472"/>
      <c r="Z523" s="472"/>
      <c r="AA523" s="472"/>
      <c r="AB523" s="472"/>
      <c r="AC523" s="472"/>
      <c r="AD523" s="472"/>
      <c r="AE523" s="472"/>
      <c r="AF523" s="472"/>
      <c r="AG523" s="512">
        <f>IF(C$523="Yes",(VLOOKUP(F$524,$AO$494:$AP$497,2,FALSE)),0)</f>
        <v>0</v>
      </c>
      <c r="AH523" s="539" t="s">
        <v>2165</v>
      </c>
      <c r="AI523" s="450"/>
      <c r="AJ523" s="450"/>
      <c r="AK523" s="631"/>
      <c r="AN523" s="496"/>
      <c r="AP523" s="438"/>
      <c r="AQ523" s="438"/>
      <c r="AR523" s="438"/>
      <c r="AS523" s="438"/>
      <c r="AT523" s="438"/>
      <c r="AU523" s="438"/>
      <c r="AV523" s="438"/>
      <c r="AW523" s="438"/>
      <c r="AX523" s="438"/>
      <c r="AY523" s="438"/>
      <c r="AZ523" s="438"/>
      <c r="BA523" s="438"/>
      <c r="BB523" s="438"/>
      <c r="BC523" s="438"/>
      <c r="BD523" s="438"/>
      <c r="BE523" s="438"/>
      <c r="BF523" s="438"/>
      <c r="BG523" s="438"/>
      <c r="BH523" s="438"/>
      <c r="BI523" s="536"/>
      <c r="BJ523" s="696"/>
      <c r="BK523" s="696"/>
      <c r="BM523" s="435"/>
      <c r="BN523" s="435"/>
      <c r="BO523" s="435"/>
      <c r="BP523" s="435"/>
      <c r="BQ523" s="435"/>
      <c r="BR523" s="435"/>
      <c r="BS523" s="435"/>
      <c r="BT523" s="435"/>
      <c r="BU523" s="435"/>
      <c r="BV523" s="435"/>
      <c r="BW523" s="435"/>
      <c r="BX523" s="435"/>
      <c r="BY523" s="435"/>
      <c r="BZ523" s="435"/>
      <c r="CA523" s="435"/>
      <c r="CB523" s="435"/>
      <c r="CC523" s="435"/>
    </row>
    <row r="524" spans="1:81" s="449" customFormat="1" ht="12.75" hidden="1" customHeight="1">
      <c r="C524" s="617"/>
      <c r="E524" s="662"/>
      <c r="F524" s="2454" t="s">
        <v>807</v>
      </c>
      <c r="G524" s="2454"/>
      <c r="H524" s="2454"/>
      <c r="I524" s="2454"/>
      <c r="J524" s="2454"/>
      <c r="K524" s="2454"/>
      <c r="L524" s="2454"/>
      <c r="M524" s="2454"/>
      <c r="N524" s="2454"/>
      <c r="O524" s="2454"/>
      <c r="P524" s="2454"/>
      <c r="Q524" s="2454"/>
      <c r="R524" s="2454"/>
      <c r="S524" s="2454"/>
      <c r="T524" s="2454"/>
      <c r="U524" s="2454"/>
      <c r="V524" s="2454"/>
      <c r="W524" s="2454"/>
      <c r="X524" s="2454"/>
      <c r="Y524" s="2454"/>
      <c r="Z524" s="2454"/>
      <c r="AA524" s="2454"/>
      <c r="AB524" s="2454"/>
      <c r="AC524" s="2454"/>
      <c r="AD524" s="2454"/>
      <c r="AE524" s="2454"/>
      <c r="AF524" s="2454"/>
      <c r="AG524" s="450"/>
      <c r="AH524" s="450"/>
      <c r="AI524" s="450"/>
      <c r="AJ524" s="450"/>
      <c r="AK524" s="631"/>
      <c r="AN524" s="496"/>
      <c r="BM524" s="435"/>
      <c r="BN524" s="435"/>
      <c r="BO524" s="435"/>
      <c r="BP524" s="435"/>
      <c r="BQ524" s="435"/>
      <c r="BR524" s="435"/>
      <c r="BS524" s="435"/>
      <c r="BT524" s="435"/>
      <c r="BU524" s="435"/>
      <c r="BV524" s="435"/>
      <c r="BW524" s="435"/>
      <c r="BX524" s="435"/>
      <c r="BY524" s="435"/>
      <c r="BZ524" s="435"/>
      <c r="CA524" s="435"/>
      <c r="CB524" s="435"/>
      <c r="CC524" s="435"/>
    </row>
    <row r="525" spans="1:81" s="449" customFormat="1" ht="12.75" hidden="1" customHeight="1">
      <c r="C525" s="695"/>
      <c r="D525" s="626"/>
      <c r="E525" s="664"/>
      <c r="F525" s="2455"/>
      <c r="G525" s="2455"/>
      <c r="H525" s="2455"/>
      <c r="I525" s="2455"/>
      <c r="J525" s="2455"/>
      <c r="K525" s="2455"/>
      <c r="L525" s="2455"/>
      <c r="M525" s="2455"/>
      <c r="N525" s="2455"/>
      <c r="O525" s="2455"/>
      <c r="P525" s="2455"/>
      <c r="Q525" s="2455"/>
      <c r="R525" s="2455"/>
      <c r="S525" s="2455"/>
      <c r="T525" s="2455"/>
      <c r="U525" s="2455"/>
      <c r="V525" s="2455"/>
      <c r="W525" s="2455"/>
      <c r="X525" s="2455"/>
      <c r="Y525" s="2455"/>
      <c r="Z525" s="2455"/>
      <c r="AA525" s="2455"/>
      <c r="AB525" s="2455"/>
      <c r="AC525" s="2455"/>
      <c r="AD525" s="2455"/>
      <c r="AE525" s="2455"/>
      <c r="AF525" s="2455"/>
      <c r="AG525" s="557"/>
      <c r="AH525" s="557"/>
      <c r="AI525" s="557"/>
      <c r="AJ525" s="557"/>
      <c r="AK525" s="641"/>
      <c r="AN525" s="496"/>
      <c r="BM525" s="435"/>
      <c r="BN525" s="435"/>
      <c r="BO525" s="435"/>
      <c r="BP525" s="435"/>
      <c r="BQ525" s="435"/>
      <c r="BR525" s="435"/>
      <c r="BS525" s="435"/>
      <c r="BT525" s="435"/>
      <c r="BU525" s="435"/>
      <c r="BV525" s="435"/>
      <c r="BW525" s="435"/>
      <c r="BX525" s="435"/>
      <c r="BY525" s="435"/>
      <c r="BZ525" s="435"/>
      <c r="CA525" s="435"/>
      <c r="CB525" s="435"/>
      <c r="CC525" s="435"/>
    </row>
    <row r="526" spans="1:81" s="449" customFormat="1" ht="12.75" hidden="1" customHeight="1">
      <c r="A526" s="536"/>
      <c r="C526" s="450"/>
      <c r="E526" s="450"/>
      <c r="F526" s="670"/>
      <c r="G526" s="450"/>
      <c r="H526" s="450"/>
      <c r="I526" s="450"/>
      <c r="J526" s="450"/>
      <c r="K526" s="450"/>
      <c r="L526" s="450"/>
      <c r="M526" s="450"/>
      <c r="N526" s="450"/>
      <c r="O526" s="450"/>
      <c r="P526" s="450"/>
      <c r="Q526" s="450"/>
      <c r="R526" s="450"/>
      <c r="S526" s="450"/>
      <c r="T526" s="450"/>
      <c r="U526" s="450"/>
      <c r="V526" s="450"/>
      <c r="W526" s="450"/>
      <c r="X526" s="450"/>
      <c r="Y526" s="450"/>
      <c r="Z526" s="450"/>
      <c r="AA526" s="450"/>
      <c r="AB526" s="450"/>
      <c r="AC526" s="450"/>
      <c r="AD526" s="515"/>
      <c r="AE526" s="450"/>
      <c r="AF526" s="450"/>
      <c r="AG526" s="450"/>
      <c r="AH526" s="450"/>
      <c r="AN526" s="496"/>
      <c r="BM526" s="435"/>
      <c r="BN526" s="435"/>
      <c r="BO526" s="435"/>
      <c r="BP526" s="435"/>
      <c r="BQ526" s="435"/>
      <c r="BR526" s="435"/>
      <c r="BS526" s="435"/>
      <c r="BT526" s="435"/>
      <c r="BU526" s="435"/>
      <c r="BV526" s="435"/>
      <c r="BW526" s="435"/>
      <c r="BX526" s="435"/>
      <c r="BY526" s="435"/>
      <c r="BZ526" s="435"/>
      <c r="CA526" s="435"/>
      <c r="CB526" s="435"/>
      <c r="CC526" s="435"/>
    </row>
    <row r="527" spans="1:81" s="449" customFormat="1" ht="12.75" hidden="1" customHeight="1">
      <c r="A527" s="536"/>
      <c r="B527" s="449" t="s">
        <v>2421</v>
      </c>
      <c r="C527" s="450"/>
      <c r="E527" s="450"/>
      <c r="F527" s="450"/>
      <c r="G527" s="450"/>
      <c r="H527" s="450"/>
      <c r="I527" s="450"/>
      <c r="J527" s="450"/>
      <c r="K527" s="450"/>
      <c r="L527" s="450"/>
      <c r="M527" s="450"/>
      <c r="N527" s="450"/>
      <c r="O527" s="450"/>
      <c r="P527" s="450"/>
      <c r="Q527" s="450"/>
      <c r="R527" s="450"/>
      <c r="S527" s="450"/>
      <c r="T527" s="450"/>
      <c r="U527" s="450"/>
      <c r="V527" s="450"/>
      <c r="W527" s="450"/>
      <c r="X527" s="450"/>
      <c r="Y527" s="450"/>
      <c r="Z527" s="450"/>
      <c r="AA527" s="450"/>
      <c r="AB527" s="450"/>
      <c r="AC527" s="450"/>
      <c r="AD527" s="515"/>
      <c r="AE527" s="450"/>
      <c r="AF527" s="450"/>
      <c r="AG527" s="450"/>
      <c r="AH527" s="450"/>
      <c r="AN527" s="496"/>
      <c r="AP527" s="685"/>
      <c r="AQ527" s="685"/>
      <c r="AR527" s="685"/>
      <c r="AS527" s="685"/>
      <c r="AT527" s="685"/>
      <c r="AU527" s="685"/>
      <c r="AV527" s="685"/>
      <c r="AW527" s="685"/>
      <c r="AX527" s="685"/>
      <c r="AY527" s="685"/>
      <c r="BM527" s="435"/>
      <c r="BN527" s="435"/>
      <c r="BO527" s="435"/>
      <c r="BP527" s="435"/>
      <c r="BQ527" s="435"/>
      <c r="BR527" s="435"/>
      <c r="BS527" s="435"/>
      <c r="BT527" s="435"/>
      <c r="BU527" s="435"/>
      <c r="BV527" s="435"/>
      <c r="BW527" s="435"/>
      <c r="BX527" s="435"/>
      <c r="BY527" s="435"/>
      <c r="BZ527" s="435"/>
      <c r="CA527" s="435"/>
      <c r="CB527" s="435"/>
      <c r="CC527" s="435"/>
    </row>
    <row r="528" spans="1:81" s="449" customFormat="1" ht="12.75" hidden="1" customHeight="1">
      <c r="A528" s="536"/>
      <c r="B528" s="449" t="s">
        <v>2422</v>
      </c>
      <c r="C528" s="450"/>
      <c r="E528" s="450"/>
      <c r="F528" s="450"/>
      <c r="G528" s="450"/>
      <c r="H528" s="450"/>
      <c r="I528" s="450"/>
      <c r="J528" s="450"/>
      <c r="K528" s="450"/>
      <c r="L528" s="450"/>
      <c r="M528" s="450"/>
      <c r="N528" s="450"/>
      <c r="O528" s="450"/>
      <c r="P528" s="450"/>
      <c r="Q528" s="450"/>
      <c r="R528" s="450"/>
      <c r="S528" s="450"/>
      <c r="T528" s="450"/>
      <c r="U528" s="450"/>
      <c r="V528" s="450"/>
      <c r="W528" s="450"/>
      <c r="X528" s="450"/>
      <c r="Y528" s="450"/>
      <c r="Z528" s="450"/>
      <c r="AA528" s="450"/>
      <c r="AB528" s="450"/>
      <c r="AC528" s="450"/>
      <c r="AD528" s="515"/>
      <c r="AE528" s="450"/>
      <c r="AF528" s="450"/>
      <c r="AG528" s="450"/>
      <c r="AH528" s="450"/>
      <c r="AN528" s="496"/>
      <c r="AP528" s="702"/>
      <c r="AQ528" s="702"/>
      <c r="AR528" s="702"/>
      <c r="AS528" s="702"/>
      <c r="AT528" s="702"/>
      <c r="AU528" s="702"/>
      <c r="AV528" s="702"/>
      <c r="AW528" s="702"/>
      <c r="AX528" s="702"/>
      <c r="AY528" s="702"/>
      <c r="BM528" s="435"/>
      <c r="BN528" s="435"/>
      <c r="BO528" s="435"/>
      <c r="BP528" s="435"/>
      <c r="BQ528" s="435"/>
      <c r="BR528" s="435"/>
      <c r="BS528" s="435"/>
      <c r="BT528" s="435"/>
      <c r="BU528" s="435"/>
      <c r="BV528" s="435"/>
      <c r="BW528" s="435"/>
      <c r="BX528" s="435"/>
      <c r="BY528" s="435"/>
      <c r="BZ528" s="435"/>
      <c r="CA528" s="435"/>
      <c r="CB528" s="435"/>
      <c r="CC528" s="435"/>
    </row>
    <row r="529" spans="1:81" s="449" customFormat="1" ht="12.75" hidden="1" customHeight="1">
      <c r="A529" s="536"/>
      <c r="B529" s="449" t="s">
        <v>2423</v>
      </c>
      <c r="C529" s="450"/>
      <c r="E529" s="450"/>
      <c r="F529" s="450"/>
      <c r="G529" s="450"/>
      <c r="H529" s="450"/>
      <c r="I529" s="450"/>
      <c r="J529" s="450"/>
      <c r="K529" s="450"/>
      <c r="L529" s="450"/>
      <c r="M529" s="450"/>
      <c r="N529" s="450"/>
      <c r="O529" s="450"/>
      <c r="P529" s="450"/>
      <c r="Q529" s="450"/>
      <c r="R529" s="450"/>
      <c r="S529" s="450"/>
      <c r="T529" s="450"/>
      <c r="U529" s="450"/>
      <c r="V529" s="450"/>
      <c r="W529" s="450"/>
      <c r="X529" s="450"/>
      <c r="Y529" s="450"/>
      <c r="Z529" s="450"/>
      <c r="AA529" s="450"/>
      <c r="AB529" s="450"/>
      <c r="AC529" s="450"/>
      <c r="AD529" s="515"/>
      <c r="AE529" s="450"/>
      <c r="AF529" s="450"/>
      <c r="AG529" s="450"/>
      <c r="AH529" s="450"/>
      <c r="AN529" s="496"/>
      <c r="AP529" s="702"/>
      <c r="AQ529" s="702"/>
      <c r="AR529" s="702"/>
      <c r="AS529" s="702"/>
      <c r="AT529" s="702"/>
      <c r="AU529" s="702"/>
      <c r="AV529" s="702"/>
      <c r="AW529" s="702"/>
      <c r="AX529" s="702"/>
      <c r="AY529" s="702"/>
      <c r="BM529" s="435"/>
      <c r="BN529" s="435"/>
      <c r="BO529" s="435"/>
      <c r="BP529" s="435"/>
      <c r="BQ529" s="435"/>
      <c r="BR529" s="435"/>
      <c r="BS529" s="435"/>
      <c r="BT529" s="435"/>
      <c r="BU529" s="435"/>
      <c r="BV529" s="435"/>
      <c r="BW529" s="435"/>
      <c r="BX529" s="435"/>
      <c r="BY529" s="435"/>
      <c r="BZ529" s="435"/>
      <c r="CA529" s="435"/>
      <c r="CB529" s="435"/>
      <c r="CC529" s="435"/>
    </row>
    <row r="530" spans="1:81" s="449" customFormat="1" ht="12.75" hidden="1" customHeight="1">
      <c r="A530" s="536"/>
      <c r="B530" s="449" t="s">
        <v>2424</v>
      </c>
      <c r="C530" s="450"/>
      <c r="E530" s="450"/>
      <c r="F530" s="450"/>
      <c r="G530" s="450"/>
      <c r="H530" s="450"/>
      <c r="I530" s="450"/>
      <c r="J530" s="450"/>
      <c r="K530" s="450"/>
      <c r="L530" s="450"/>
      <c r="M530" s="450"/>
      <c r="N530" s="450"/>
      <c r="O530" s="450"/>
      <c r="P530" s="450"/>
      <c r="Q530" s="450"/>
      <c r="R530" s="450"/>
      <c r="S530" s="450"/>
      <c r="T530" s="450"/>
      <c r="U530" s="450"/>
      <c r="V530" s="450"/>
      <c r="W530" s="450"/>
      <c r="X530" s="450"/>
      <c r="Y530" s="450"/>
      <c r="Z530" s="450"/>
      <c r="AA530" s="450"/>
      <c r="AB530" s="450"/>
      <c r="AC530" s="450"/>
      <c r="AD530" s="515"/>
      <c r="AE530" s="450"/>
      <c r="AF530" s="450"/>
      <c r="AG530" s="450"/>
      <c r="AH530" s="450"/>
      <c r="AN530" s="496"/>
      <c r="AP530" s="702"/>
      <c r="AQ530" s="702"/>
      <c r="AR530" s="702"/>
      <c r="AS530" s="702"/>
      <c r="AT530" s="702"/>
      <c r="AU530" s="702"/>
      <c r="AV530" s="702"/>
      <c r="AW530" s="702"/>
      <c r="AX530" s="702"/>
      <c r="AY530" s="702"/>
      <c r="BM530" s="435"/>
      <c r="BN530" s="435"/>
      <c r="BO530" s="435"/>
      <c r="BP530" s="435"/>
      <c r="BQ530" s="435"/>
      <c r="BR530" s="435"/>
      <c r="BS530" s="435"/>
      <c r="BT530" s="435"/>
      <c r="BU530" s="435"/>
      <c r="BV530" s="435"/>
      <c r="BW530" s="435"/>
      <c r="BX530" s="435"/>
      <c r="BY530" s="435"/>
      <c r="BZ530" s="435"/>
      <c r="CA530" s="435"/>
      <c r="CB530" s="435"/>
      <c r="CC530" s="435"/>
    </row>
    <row r="531" spans="1:81" s="449" customFormat="1" ht="12.75" hidden="1" customHeight="1">
      <c r="A531" s="536"/>
      <c r="B531" s="449" t="s">
        <v>2425</v>
      </c>
      <c r="C531" s="450"/>
      <c r="E531" s="450"/>
      <c r="F531" s="450"/>
      <c r="G531" s="450"/>
      <c r="H531" s="450"/>
      <c r="I531" s="450"/>
      <c r="J531" s="450"/>
      <c r="K531" s="450"/>
      <c r="L531" s="450"/>
      <c r="M531" s="450"/>
      <c r="N531" s="450"/>
      <c r="O531" s="450"/>
      <c r="P531" s="450"/>
      <c r="Q531" s="450"/>
      <c r="R531" s="450"/>
      <c r="S531" s="450"/>
      <c r="T531" s="450"/>
      <c r="U531" s="450"/>
      <c r="V531" s="450"/>
      <c r="W531" s="450"/>
      <c r="X531" s="450"/>
      <c r="Y531" s="450"/>
      <c r="Z531" s="450"/>
      <c r="AA531" s="450"/>
      <c r="AB531" s="450"/>
      <c r="AC531" s="450"/>
      <c r="AD531" s="515"/>
      <c r="AE531" s="450"/>
      <c r="AF531" s="450"/>
      <c r="AG531" s="450"/>
      <c r="AH531" s="450"/>
      <c r="AN531" s="496"/>
      <c r="AP531" s="702"/>
      <c r="AQ531" s="702"/>
      <c r="AR531" s="702"/>
      <c r="AS531" s="702"/>
      <c r="AT531" s="702"/>
      <c r="AU531" s="702"/>
      <c r="AV531" s="702"/>
      <c r="AW531" s="702"/>
      <c r="AX531" s="702"/>
      <c r="AY531" s="702"/>
      <c r="BM531" s="435"/>
      <c r="BN531" s="435"/>
      <c r="BO531" s="435"/>
      <c r="BP531" s="435"/>
      <c r="BQ531" s="435"/>
      <c r="BR531" s="435"/>
      <c r="BS531" s="435"/>
      <c r="BT531" s="435"/>
      <c r="BU531" s="435"/>
      <c r="BV531" s="435"/>
      <c r="BW531" s="435"/>
      <c r="BX531" s="435"/>
      <c r="BY531" s="435"/>
      <c r="BZ531" s="435"/>
      <c r="CA531" s="435"/>
      <c r="CB531" s="435"/>
      <c r="CC531" s="435"/>
    </row>
    <row r="532" spans="1:81" s="449" customFormat="1" ht="12.75" hidden="1" customHeight="1">
      <c r="A532" s="536"/>
      <c r="B532" s="449" t="s">
        <v>2426</v>
      </c>
      <c r="C532" s="450"/>
      <c r="E532" s="450"/>
      <c r="F532" s="450"/>
      <c r="G532" s="450"/>
      <c r="H532" s="450"/>
      <c r="I532" s="450"/>
      <c r="J532" s="450"/>
      <c r="K532" s="450"/>
      <c r="L532" s="450"/>
      <c r="M532" s="450"/>
      <c r="N532" s="450"/>
      <c r="O532" s="450"/>
      <c r="P532" s="450"/>
      <c r="Q532" s="450"/>
      <c r="R532" s="450"/>
      <c r="S532" s="450"/>
      <c r="T532" s="450"/>
      <c r="U532" s="450"/>
      <c r="V532" s="450"/>
      <c r="W532" s="450"/>
      <c r="X532" s="450"/>
      <c r="Y532" s="450"/>
      <c r="Z532" s="450"/>
      <c r="AA532" s="450"/>
      <c r="AB532" s="450"/>
      <c r="AC532" s="450"/>
      <c r="AD532" s="515"/>
      <c r="AE532" s="450"/>
      <c r="AF532" s="450"/>
      <c r="AG532" s="450"/>
      <c r="AH532" s="450"/>
      <c r="AN532" s="496"/>
      <c r="AP532" s="702"/>
      <c r="AQ532" s="702"/>
      <c r="AR532" s="702"/>
      <c r="AS532" s="702"/>
      <c r="AT532" s="702"/>
      <c r="AU532" s="702"/>
      <c r="AV532" s="702"/>
      <c r="AW532" s="702"/>
      <c r="AX532" s="702"/>
      <c r="AY532" s="702"/>
      <c r="BM532" s="435"/>
      <c r="BN532" s="435"/>
      <c r="BO532" s="435"/>
      <c r="BP532" s="435"/>
      <c r="BQ532" s="435"/>
      <c r="BR532" s="435"/>
      <c r="BS532" s="435"/>
      <c r="BT532" s="435"/>
      <c r="BU532" s="435"/>
      <c r="BV532" s="435"/>
      <c r="BW532" s="435"/>
      <c r="BX532" s="435"/>
      <c r="BY532" s="435"/>
      <c r="BZ532" s="435"/>
      <c r="CA532" s="435"/>
      <c r="CB532" s="435"/>
      <c r="CC532" s="435"/>
    </row>
    <row r="533" spans="1:81" s="449" customFormat="1" ht="12.75" hidden="1" customHeight="1">
      <c r="A533" s="536"/>
      <c r="B533" s="449" t="s">
        <v>2427</v>
      </c>
      <c r="C533" s="450"/>
      <c r="E533" s="450"/>
      <c r="F533" s="450"/>
      <c r="G533" s="450"/>
      <c r="H533" s="450"/>
      <c r="I533" s="450"/>
      <c r="J533" s="450"/>
      <c r="K533" s="450"/>
      <c r="L533" s="450"/>
      <c r="M533" s="450"/>
      <c r="N533" s="450"/>
      <c r="O533" s="450"/>
      <c r="P533" s="450"/>
      <c r="Q533" s="450"/>
      <c r="R533" s="450"/>
      <c r="S533" s="450"/>
      <c r="T533" s="450"/>
      <c r="U533" s="450"/>
      <c r="V533" s="450"/>
      <c r="W533" s="450"/>
      <c r="X533" s="450"/>
      <c r="Y533" s="450"/>
      <c r="Z533" s="450"/>
      <c r="AA533" s="450"/>
      <c r="AB533" s="450"/>
      <c r="AC533" s="450"/>
      <c r="AD533" s="515"/>
      <c r="AE533" s="450"/>
      <c r="AF533" s="450"/>
      <c r="AG533" s="450"/>
      <c r="AH533" s="450"/>
      <c r="AN533" s="496"/>
    </row>
    <row r="534" spans="1:81" s="449" customFormat="1" ht="12.75" hidden="1" customHeight="1">
      <c r="A534" s="703"/>
      <c r="C534" s="450"/>
      <c r="E534" s="450"/>
      <c r="F534" s="450"/>
      <c r="G534" s="450"/>
      <c r="H534" s="450"/>
      <c r="I534" s="450"/>
      <c r="J534" s="450"/>
      <c r="K534" s="450"/>
      <c r="L534" s="450"/>
      <c r="M534" s="450"/>
      <c r="N534" s="450"/>
      <c r="O534" s="450"/>
      <c r="P534" s="450"/>
      <c r="Q534" s="450"/>
      <c r="R534" s="450"/>
      <c r="S534" s="450"/>
      <c r="T534" s="450"/>
      <c r="U534" s="450"/>
      <c r="V534" s="450"/>
      <c r="W534" s="450"/>
      <c r="X534" s="450"/>
      <c r="Y534" s="450"/>
      <c r="Z534" s="450"/>
      <c r="AA534" s="450"/>
      <c r="AB534" s="450"/>
      <c r="AC534" s="450"/>
      <c r="AD534" s="515"/>
      <c r="AE534" s="450"/>
      <c r="AF534" s="450"/>
      <c r="AG534" s="450"/>
      <c r="AH534" s="450"/>
      <c r="AN534" s="496"/>
    </row>
    <row r="535" spans="1:81" s="449" customFormat="1" ht="12.75" hidden="1" customHeight="1">
      <c r="A535" s="505"/>
      <c r="B535" s="563"/>
      <c r="C535" s="563"/>
      <c r="D535" s="563"/>
      <c r="E535" s="563"/>
      <c r="F535" s="563"/>
      <c r="G535" s="563"/>
      <c r="H535" s="563"/>
      <c r="I535" s="563"/>
      <c r="J535" s="563"/>
      <c r="K535" s="563"/>
      <c r="L535" s="563"/>
      <c r="M535" s="563"/>
      <c r="N535" s="563"/>
      <c r="O535" s="563"/>
      <c r="P535" s="563"/>
      <c r="Q535" s="563"/>
      <c r="R535" s="563"/>
      <c r="S535" s="563"/>
      <c r="T535" s="563"/>
      <c r="U535" s="563"/>
      <c r="V535" s="563"/>
      <c r="W535" s="563"/>
      <c r="X535" s="563"/>
      <c r="Y535" s="563"/>
      <c r="Z535" s="563"/>
      <c r="AA535" s="563"/>
      <c r="AB535" s="563"/>
      <c r="AC535" s="564"/>
      <c r="AD535" s="563"/>
      <c r="AE535" s="563"/>
      <c r="AF535" s="563"/>
      <c r="AG535" s="563"/>
      <c r="AH535" s="463"/>
      <c r="AI535" s="464"/>
      <c r="AJ535" s="464" t="s">
        <v>2428</v>
      </c>
      <c r="AK535" s="2356">
        <f>SUM(AG479:AG524)</f>
        <v>0</v>
      </c>
      <c r="AL535" s="2357"/>
      <c r="AM535" s="2358"/>
      <c r="AN535" s="496"/>
      <c r="AP535" s="435"/>
      <c r="AQ535" s="435"/>
      <c r="AR535" s="435"/>
      <c r="AS535" s="435"/>
      <c r="AT535" s="435"/>
      <c r="AU535" s="435"/>
      <c r="AV535" s="435"/>
      <c r="AW535" s="435"/>
      <c r="AX535" s="435"/>
      <c r="AY535" s="435"/>
      <c r="AZ535" s="435"/>
    </row>
    <row r="536" spans="1:81" s="449" customFormat="1" ht="12.75" hidden="1" customHeight="1">
      <c r="B536" s="450"/>
      <c r="C536" s="450"/>
      <c r="D536" s="450"/>
      <c r="E536" s="450"/>
      <c r="F536" s="450"/>
      <c r="G536" s="450"/>
      <c r="H536" s="450"/>
      <c r="I536" s="450"/>
      <c r="J536" s="450"/>
      <c r="K536" s="450"/>
      <c r="L536" s="450"/>
      <c r="M536" s="450"/>
      <c r="N536" s="450"/>
      <c r="O536" s="450"/>
      <c r="P536" s="450"/>
      <c r="Q536" s="450"/>
      <c r="R536" s="450"/>
      <c r="S536" s="450"/>
      <c r="T536" s="450"/>
      <c r="U536" s="450"/>
      <c r="V536" s="450"/>
      <c r="W536" s="450"/>
      <c r="X536" s="450"/>
      <c r="Y536" s="450"/>
      <c r="Z536" s="450"/>
      <c r="AA536" s="450"/>
      <c r="AB536" s="450"/>
      <c r="AC536" s="515"/>
      <c r="AD536" s="450"/>
      <c r="AE536" s="450"/>
      <c r="AF536" s="450"/>
      <c r="AG536" s="450"/>
      <c r="AI536" s="442"/>
      <c r="AJ536" s="442"/>
      <c r="AK536" s="494"/>
      <c r="AL536" s="494"/>
      <c r="AM536" s="494"/>
      <c r="AN536" s="496"/>
      <c r="AP536" s="435"/>
      <c r="AQ536" s="435"/>
      <c r="AR536" s="435"/>
      <c r="AS536" s="435"/>
      <c r="AT536" s="435"/>
      <c r="AU536" s="435"/>
      <c r="AV536" s="435"/>
      <c r="AW536" s="435"/>
      <c r="AX536" s="435"/>
      <c r="AY536" s="435"/>
      <c r="AZ536" s="435"/>
    </row>
    <row r="537" spans="1:81" ht="13" thickTop="1"/>
    <row r="538" spans="1:81" s="449" customFormat="1" ht="12.75" customHeight="1">
      <c r="A538" s="438" t="s">
        <v>2429</v>
      </c>
      <c r="B538" s="438" t="s">
        <v>2430</v>
      </c>
      <c r="C538" s="450"/>
      <c r="D538" s="450"/>
      <c r="E538" s="450"/>
      <c r="F538" s="450"/>
      <c r="G538" s="450"/>
      <c r="H538" s="450"/>
      <c r="I538" s="450"/>
      <c r="J538" s="450"/>
      <c r="K538" s="450"/>
      <c r="L538" s="450"/>
      <c r="M538" s="450"/>
      <c r="N538" s="450"/>
      <c r="O538" s="450"/>
      <c r="P538" s="450"/>
      <c r="Q538" s="450"/>
      <c r="R538" s="450"/>
      <c r="S538" s="450"/>
      <c r="T538" s="450"/>
      <c r="U538" s="450"/>
      <c r="V538" s="450"/>
      <c r="W538" s="450"/>
      <c r="X538" s="450"/>
      <c r="Y538" s="450"/>
      <c r="Z538" s="450"/>
      <c r="AA538" s="450"/>
      <c r="AB538" s="450"/>
      <c r="AC538" s="515"/>
      <c r="AD538" s="450"/>
      <c r="AE538" s="2389" t="s">
        <v>2431</v>
      </c>
      <c r="AF538" s="2389"/>
      <c r="AG538" s="2389"/>
      <c r="AH538" s="2389"/>
      <c r="AI538" s="2389"/>
      <c r="AJ538" s="2389"/>
      <c r="AK538" s="2389"/>
      <c r="AL538" s="494"/>
      <c r="AM538" s="494"/>
      <c r="AN538" s="496"/>
    </row>
    <row r="539" spans="1:81" s="449" customFormat="1" ht="12.75" customHeight="1">
      <c r="A539" s="438"/>
      <c r="B539" s="438" t="s">
        <v>2161</v>
      </c>
      <c r="C539" s="450"/>
      <c r="D539" s="450"/>
      <c r="E539" s="450"/>
      <c r="F539" s="450"/>
      <c r="G539" s="450"/>
      <c r="H539" s="450"/>
      <c r="I539" s="450"/>
      <c r="J539" s="450"/>
      <c r="K539" s="450"/>
      <c r="L539" s="450"/>
      <c r="M539" s="450"/>
      <c r="N539" s="450"/>
      <c r="O539" s="450"/>
      <c r="P539" s="450"/>
      <c r="Q539" s="450"/>
      <c r="R539" s="450"/>
      <c r="S539" s="450"/>
      <c r="T539" s="450"/>
      <c r="U539" s="450"/>
      <c r="V539" s="450"/>
      <c r="W539" s="450"/>
      <c r="X539" s="450"/>
      <c r="Y539" s="450"/>
      <c r="Z539" s="450"/>
      <c r="AA539" s="450"/>
      <c r="AB539" s="450"/>
      <c r="AC539" s="515"/>
      <c r="AD539" s="450"/>
      <c r="AE539" s="442"/>
      <c r="AF539" s="442"/>
      <c r="AG539" s="442"/>
      <c r="AH539" s="442"/>
      <c r="AI539" s="442"/>
      <c r="AJ539" s="442"/>
      <c r="AK539" s="442"/>
      <c r="AL539" s="494"/>
      <c r="AM539" s="494"/>
      <c r="AN539" s="496"/>
    </row>
    <row r="540" spans="1:81" s="449" customFormat="1" ht="12.75" customHeight="1">
      <c r="A540" s="438"/>
      <c r="B540" s="438"/>
      <c r="C540" s="450"/>
      <c r="D540" s="450"/>
      <c r="E540" s="450"/>
      <c r="F540" s="450"/>
      <c r="G540" s="450"/>
      <c r="H540" s="450"/>
      <c r="I540" s="450"/>
      <c r="J540" s="450"/>
      <c r="K540" s="450"/>
      <c r="L540" s="450"/>
      <c r="M540" s="450"/>
      <c r="N540" s="450"/>
      <c r="O540" s="450"/>
      <c r="P540" s="450"/>
      <c r="Q540" s="450"/>
      <c r="R540" s="450"/>
      <c r="S540" s="450"/>
      <c r="T540" s="450"/>
      <c r="U540" s="450"/>
      <c r="V540" s="450"/>
      <c r="W540" s="450"/>
      <c r="X540" s="450"/>
      <c r="Y540" s="450"/>
      <c r="Z540" s="450"/>
      <c r="AA540" s="450"/>
      <c r="AB540" s="450"/>
      <c r="AC540" s="515"/>
      <c r="AD540" s="450"/>
      <c r="AE540" s="442"/>
      <c r="AF540" s="442"/>
      <c r="AG540" s="442"/>
      <c r="AH540" s="442"/>
      <c r="AI540" s="442"/>
      <c r="AJ540" s="442"/>
      <c r="AK540" s="442"/>
      <c r="AL540" s="494"/>
      <c r="AM540" s="494"/>
      <c r="AN540" s="496"/>
    </row>
    <row r="541" spans="1:81" s="449" customFormat="1" ht="12.75" customHeight="1">
      <c r="A541" s="438"/>
      <c r="B541" s="438"/>
      <c r="C541" s="2370" t="s">
        <v>842</v>
      </c>
      <c r="D541" s="2370"/>
      <c r="E541" s="450"/>
      <c r="F541" s="2392" t="s">
        <v>2432</v>
      </c>
      <c r="G541" s="2393"/>
      <c r="H541" s="2393"/>
      <c r="I541" s="2393"/>
      <c r="J541" s="2393"/>
      <c r="K541" s="2393"/>
      <c r="L541" s="2393"/>
      <c r="M541" s="2393"/>
      <c r="N541" s="2393"/>
      <c r="O541" s="2393"/>
      <c r="P541" s="2393"/>
      <c r="Q541" s="2393"/>
      <c r="R541" s="2393"/>
      <c r="S541" s="2393"/>
      <c r="T541" s="2393"/>
      <c r="U541" s="2393"/>
      <c r="V541" s="2393"/>
      <c r="W541" s="2393"/>
      <c r="X541" s="2393"/>
      <c r="Y541" s="2393"/>
      <c r="Z541" s="2393"/>
      <c r="AA541" s="2393"/>
      <c r="AB541" s="2393"/>
      <c r="AC541" s="2393"/>
      <c r="AD541" s="2393"/>
      <c r="AE541" s="2393"/>
      <c r="AF541" s="2393"/>
      <c r="AG541" s="2393"/>
      <c r="AH541" s="2393"/>
      <c r="AI541" s="2393"/>
      <c r="AJ541" s="2393"/>
      <c r="AK541" s="2393"/>
      <c r="AL541" s="2394"/>
      <c r="AM541" s="494"/>
      <c r="AN541" s="496"/>
    </row>
    <row r="542" spans="1:81" s="449" customFormat="1" ht="12.75" customHeight="1">
      <c r="A542" s="438"/>
      <c r="B542" s="438"/>
      <c r="C542" s="450"/>
      <c r="D542" s="450"/>
      <c r="E542" s="450"/>
      <c r="F542" s="2395"/>
      <c r="G542" s="2396"/>
      <c r="H542" s="2396"/>
      <c r="I542" s="2396"/>
      <c r="J542" s="2396"/>
      <c r="K542" s="2396"/>
      <c r="L542" s="2396"/>
      <c r="M542" s="2396"/>
      <c r="N542" s="2396"/>
      <c r="O542" s="2396"/>
      <c r="P542" s="2396"/>
      <c r="Q542" s="2396"/>
      <c r="R542" s="2396"/>
      <c r="S542" s="2396"/>
      <c r="T542" s="2396"/>
      <c r="U542" s="2396"/>
      <c r="V542" s="2396"/>
      <c r="W542" s="2396"/>
      <c r="X542" s="2396"/>
      <c r="Y542" s="2396"/>
      <c r="Z542" s="2396"/>
      <c r="AA542" s="2396"/>
      <c r="AB542" s="2396"/>
      <c r="AC542" s="2396"/>
      <c r="AD542" s="2396"/>
      <c r="AE542" s="2396"/>
      <c r="AF542" s="2396"/>
      <c r="AG542" s="2396"/>
      <c r="AH542" s="2396"/>
      <c r="AI542" s="2396"/>
      <c r="AJ542" s="2396"/>
      <c r="AK542" s="2396"/>
      <c r="AL542" s="2397"/>
      <c r="AM542" s="494"/>
      <c r="AN542" s="496"/>
    </row>
    <row r="543" spans="1:81" s="449" customFormat="1" ht="12.75" customHeight="1">
      <c r="A543" s="438"/>
      <c r="B543" s="438"/>
      <c r="C543" s="450"/>
      <c r="D543" s="450"/>
      <c r="E543" s="450"/>
      <c r="F543" s="704"/>
      <c r="G543" s="704"/>
      <c r="H543" s="704"/>
      <c r="I543" s="704"/>
      <c r="J543" s="704"/>
      <c r="K543" s="704"/>
      <c r="L543" s="704"/>
      <c r="M543" s="704"/>
      <c r="N543" s="704"/>
      <c r="O543" s="704"/>
      <c r="P543" s="704"/>
      <c r="Q543" s="704"/>
      <c r="R543" s="704"/>
      <c r="S543" s="704"/>
      <c r="T543" s="704"/>
      <c r="U543" s="704"/>
      <c r="V543" s="704"/>
      <c r="W543" s="704"/>
      <c r="X543" s="704"/>
      <c r="Y543" s="704"/>
      <c r="Z543" s="704"/>
      <c r="AA543" s="704"/>
      <c r="AB543" s="704"/>
      <c r="AC543" s="704"/>
      <c r="AD543" s="704"/>
      <c r="AE543" s="704"/>
      <c r="AF543" s="704"/>
      <c r="AG543" s="704"/>
      <c r="AH543" s="704"/>
      <c r="AI543" s="704"/>
      <c r="AJ543" s="704"/>
      <c r="AK543" s="704"/>
      <c r="AL543" s="704"/>
      <c r="AM543" s="494"/>
      <c r="AN543" s="496"/>
    </row>
    <row r="544" spans="1:81" s="449" customFormat="1" ht="12.75" customHeight="1">
      <c r="A544" s="438"/>
      <c r="B544" s="705"/>
      <c r="C544" s="2370" t="s">
        <v>807</v>
      </c>
      <c r="D544" s="2370"/>
      <c r="E544" s="705"/>
      <c r="F544" s="543" t="s">
        <v>2433</v>
      </c>
      <c r="G544" s="706"/>
      <c r="H544" s="707"/>
      <c r="I544" s="707"/>
      <c r="J544" s="707"/>
      <c r="K544" s="707"/>
      <c r="L544" s="707"/>
      <c r="M544" s="707"/>
      <c r="N544" s="707"/>
      <c r="O544" s="707"/>
      <c r="P544" s="707"/>
      <c r="Q544" s="707"/>
      <c r="R544" s="707"/>
      <c r="S544" s="707"/>
      <c r="T544" s="707"/>
      <c r="U544" s="707"/>
      <c r="V544" s="707"/>
      <c r="W544" s="707"/>
      <c r="X544" s="707"/>
      <c r="Y544" s="707"/>
      <c r="Z544" s="707"/>
      <c r="AA544" s="707"/>
      <c r="AB544" s="707"/>
      <c r="AC544" s="707"/>
      <c r="AD544" s="707"/>
      <c r="AE544" s="707"/>
      <c r="AF544" s="707"/>
      <c r="AG544" s="707"/>
      <c r="AH544" s="707"/>
      <c r="AI544" s="707"/>
      <c r="AJ544" s="707"/>
      <c r="AK544" s="708"/>
      <c r="AL544" s="709"/>
      <c r="AM544" s="494"/>
      <c r="AN544" s="496"/>
    </row>
    <row r="545" spans="1:49" s="449" customFormat="1" ht="12.75" customHeight="1">
      <c r="B545" s="705"/>
      <c r="C545" s="705"/>
      <c r="D545" s="705"/>
      <c r="E545" s="705"/>
      <c r="F545" s="2348" t="s">
        <v>2434</v>
      </c>
      <c r="G545" s="2349"/>
      <c r="H545" s="2349"/>
      <c r="I545" s="2349"/>
      <c r="J545" s="2349"/>
      <c r="K545" s="2349"/>
      <c r="L545" s="2349"/>
      <c r="M545" s="2349"/>
      <c r="N545" s="2349"/>
      <c r="O545" s="2349"/>
      <c r="P545" s="2349"/>
      <c r="Q545" s="2349"/>
      <c r="R545" s="2349"/>
      <c r="S545" s="2349"/>
      <c r="T545" s="2349"/>
      <c r="U545" s="2349"/>
      <c r="V545" s="2349"/>
      <c r="W545" s="2349"/>
      <c r="X545" s="2349"/>
      <c r="Y545" s="2349"/>
      <c r="Z545" s="2349"/>
      <c r="AA545" s="2349"/>
      <c r="AB545" s="2349"/>
      <c r="AC545" s="2349"/>
      <c r="AD545" s="2349"/>
      <c r="AE545" s="2349"/>
      <c r="AF545" s="2349"/>
      <c r="AG545" s="2349"/>
      <c r="AH545" s="2349"/>
      <c r="AI545" s="2349"/>
      <c r="AJ545" s="2349"/>
      <c r="AK545" s="2349"/>
      <c r="AL545" s="2350"/>
      <c r="AM545" s="494"/>
      <c r="AN545" s="496"/>
      <c r="AS545" s="768"/>
      <c r="AT545" s="768"/>
      <c r="AU545" s="768"/>
      <c r="AV545" s="768"/>
      <c r="AW545" s="768"/>
    </row>
    <row r="546" spans="1:49" s="449" customFormat="1" ht="12.75" customHeight="1">
      <c r="B546" s="705"/>
      <c r="C546" s="705"/>
      <c r="D546" s="705"/>
      <c r="E546" s="705"/>
      <c r="F546" s="2348"/>
      <c r="G546" s="2349"/>
      <c r="H546" s="2349"/>
      <c r="I546" s="2349"/>
      <c r="J546" s="2349"/>
      <c r="K546" s="2349"/>
      <c r="L546" s="2349"/>
      <c r="M546" s="2349"/>
      <c r="N546" s="2349"/>
      <c r="O546" s="2349"/>
      <c r="P546" s="2349"/>
      <c r="Q546" s="2349"/>
      <c r="R546" s="2349"/>
      <c r="S546" s="2349"/>
      <c r="T546" s="2349"/>
      <c r="U546" s="2349"/>
      <c r="V546" s="2349"/>
      <c r="W546" s="2349"/>
      <c r="X546" s="2349"/>
      <c r="Y546" s="2349"/>
      <c r="Z546" s="2349"/>
      <c r="AA546" s="2349"/>
      <c r="AB546" s="2349"/>
      <c r="AC546" s="2349"/>
      <c r="AD546" s="2349"/>
      <c r="AE546" s="2349"/>
      <c r="AF546" s="2349"/>
      <c r="AG546" s="2349"/>
      <c r="AH546" s="2349"/>
      <c r="AI546" s="2349"/>
      <c r="AJ546" s="2349"/>
      <c r="AK546" s="2349"/>
      <c r="AL546" s="2350"/>
      <c r="AM546" s="494"/>
      <c r="AN546" s="496"/>
    </row>
    <row r="547" spans="1:49" s="449" customFormat="1" ht="12.75" customHeight="1">
      <c r="B547" s="705"/>
      <c r="C547" s="705"/>
      <c r="D547" s="705"/>
      <c r="E547" s="705"/>
      <c r="F547" s="710" t="s">
        <v>2435</v>
      </c>
      <c r="G547" s="515"/>
      <c r="H547" s="515"/>
      <c r="I547" s="515"/>
      <c r="J547" s="515"/>
      <c r="K547" s="515"/>
      <c r="L547" s="515"/>
      <c r="M547" s="515"/>
      <c r="N547" s="515"/>
      <c r="O547" s="515"/>
      <c r="P547" s="515"/>
      <c r="Q547" s="515"/>
      <c r="R547" s="515"/>
      <c r="S547" s="515"/>
      <c r="T547" s="515"/>
      <c r="U547" s="515"/>
      <c r="V547" s="515"/>
      <c r="W547" s="515"/>
      <c r="X547" s="515"/>
      <c r="Y547" s="515"/>
      <c r="Z547" s="515"/>
      <c r="AA547" s="515"/>
      <c r="AB547" s="515"/>
      <c r="AC547" s="515"/>
      <c r="AD547" s="515"/>
      <c r="AE547" s="515"/>
      <c r="AF547" s="515"/>
      <c r="AG547" s="515"/>
      <c r="AH547" s="515"/>
      <c r="AI547" s="515"/>
      <c r="AJ547" s="515"/>
      <c r="AK547" s="515"/>
      <c r="AL547" s="711"/>
      <c r="AM547" s="494"/>
      <c r="AN547" s="496"/>
    </row>
    <row r="548" spans="1:49" s="449" customFormat="1" ht="12.75" customHeight="1">
      <c r="B548" s="705"/>
      <c r="C548" s="705"/>
      <c r="D548" s="705"/>
      <c r="E548" s="705"/>
      <c r="F548" s="2348" t="s">
        <v>2436</v>
      </c>
      <c r="G548" s="2349"/>
      <c r="H548" s="2349"/>
      <c r="I548" s="2349"/>
      <c r="J548" s="2349"/>
      <c r="K548" s="2349"/>
      <c r="L548" s="2349"/>
      <c r="M548" s="2349"/>
      <c r="N548" s="2349"/>
      <c r="O548" s="2349"/>
      <c r="P548" s="2349"/>
      <c r="Q548" s="2349"/>
      <c r="R548" s="2349"/>
      <c r="S548" s="2349"/>
      <c r="T548" s="2349"/>
      <c r="U548" s="2349"/>
      <c r="V548" s="2349"/>
      <c r="W548" s="2349"/>
      <c r="X548" s="2349"/>
      <c r="Y548" s="2349"/>
      <c r="Z548" s="2349"/>
      <c r="AA548" s="2349"/>
      <c r="AB548" s="2349"/>
      <c r="AC548" s="2349"/>
      <c r="AD548" s="2349"/>
      <c r="AE548" s="2349"/>
      <c r="AF548" s="2349"/>
      <c r="AG548" s="2349"/>
      <c r="AH548" s="2349"/>
      <c r="AI548" s="2349"/>
      <c r="AJ548" s="2349"/>
      <c r="AK548" s="2349"/>
      <c r="AL548" s="712"/>
      <c r="AM548" s="494"/>
      <c r="AN548" s="496"/>
    </row>
    <row r="549" spans="1:49" s="449" customFormat="1" ht="12.75" customHeight="1">
      <c r="B549" s="705"/>
      <c r="C549" s="705"/>
      <c r="D549" s="705"/>
      <c r="E549" s="705"/>
      <c r="F549" s="2351"/>
      <c r="G549" s="2352"/>
      <c r="H549" s="2352"/>
      <c r="I549" s="2352"/>
      <c r="J549" s="2352"/>
      <c r="K549" s="2352"/>
      <c r="L549" s="2352"/>
      <c r="M549" s="2352"/>
      <c r="N549" s="2352"/>
      <c r="O549" s="2352"/>
      <c r="P549" s="2352"/>
      <c r="Q549" s="2352"/>
      <c r="R549" s="2352"/>
      <c r="S549" s="2352"/>
      <c r="T549" s="2352"/>
      <c r="U549" s="2352"/>
      <c r="V549" s="2352"/>
      <c r="W549" s="2352"/>
      <c r="X549" s="2352"/>
      <c r="Y549" s="2352"/>
      <c r="Z549" s="2352"/>
      <c r="AA549" s="2352"/>
      <c r="AB549" s="2352"/>
      <c r="AC549" s="2352"/>
      <c r="AD549" s="2352"/>
      <c r="AE549" s="2352"/>
      <c r="AF549" s="2352"/>
      <c r="AG549" s="2352"/>
      <c r="AH549" s="2352"/>
      <c r="AI549" s="2352"/>
      <c r="AJ549" s="2352"/>
      <c r="AK549" s="2352"/>
      <c r="AL549" s="713"/>
      <c r="AM549" s="494"/>
      <c r="AN549" s="496"/>
    </row>
    <row r="550" spans="1:49" s="449" customFormat="1" ht="12.75" customHeight="1">
      <c r="B550" s="705"/>
      <c r="C550" s="705"/>
      <c r="D550" s="705"/>
      <c r="E550" s="705"/>
      <c r="F550" s="541"/>
      <c r="G550" s="541"/>
      <c r="H550" s="541"/>
      <c r="I550" s="541"/>
      <c r="J550" s="541"/>
      <c r="K550" s="541"/>
      <c r="L550" s="541"/>
      <c r="M550" s="541"/>
      <c r="N550" s="541"/>
      <c r="O550" s="541"/>
      <c r="P550" s="541"/>
      <c r="Q550" s="541"/>
      <c r="R550" s="541"/>
      <c r="S550" s="541"/>
      <c r="T550" s="541"/>
      <c r="U550" s="541"/>
      <c r="V550" s="541"/>
      <c r="W550" s="541"/>
      <c r="X550" s="541"/>
      <c r="Y550" s="541"/>
      <c r="Z550" s="541"/>
      <c r="AA550" s="541"/>
      <c r="AB550" s="541"/>
      <c r="AC550" s="541"/>
      <c r="AD550" s="541"/>
      <c r="AE550" s="541"/>
      <c r="AF550" s="541"/>
      <c r="AG550" s="541"/>
      <c r="AH550" s="541"/>
      <c r="AI550" s="541"/>
      <c r="AJ550" s="541"/>
      <c r="AK550" s="541"/>
      <c r="AL550" s="494"/>
      <c r="AM550" s="494"/>
      <c r="AN550" s="496"/>
      <c r="AP550" s="2347">
        <f>Application!AJ992</f>
        <v>44039378</v>
      </c>
      <c r="AQ550" s="2347"/>
      <c r="AR550" s="2347"/>
      <c r="AS550" s="449" t="s">
        <v>2437</v>
      </c>
    </row>
    <row r="551" spans="1:49" s="449" customFormat="1" ht="12.75" customHeight="1">
      <c r="A551" s="398"/>
      <c r="B551" s="348" t="s">
        <v>2438</v>
      </c>
      <c r="C551" s="522"/>
      <c r="D551" s="522"/>
      <c r="E551" s="522"/>
      <c r="F551" s="13"/>
      <c r="G551" s="523"/>
      <c r="H551" s="523"/>
      <c r="I551" s="523"/>
      <c r="J551" s="523"/>
      <c r="K551" s="523"/>
      <c r="L551" s="523"/>
      <c r="M551" s="523"/>
      <c r="N551" s="523"/>
      <c r="O551" s="523"/>
      <c r="P551" s="523"/>
      <c r="Q551" s="523"/>
      <c r="R551" s="13"/>
      <c r="S551" s="13"/>
      <c r="T551" s="13"/>
      <c r="U551" s="13"/>
      <c r="V551" s="13"/>
      <c r="W551" s="13"/>
      <c r="X551" s="523"/>
      <c r="Y551" s="523"/>
      <c r="Z551" s="523"/>
      <c r="AA551" s="521"/>
      <c r="AB551" s="521"/>
      <c r="AC551" s="521"/>
      <c r="AD551" s="521"/>
      <c r="AE551" s="13"/>
      <c r="AF551" s="2353">
        <f>'Sources and Uses Budget'!S107+'Sources and Uses Budget'!T107</f>
        <v>54009503</v>
      </c>
      <c r="AG551" s="2353"/>
      <c r="AH551" s="2353"/>
      <c r="AI551" s="2353"/>
      <c r="AJ551" s="2353"/>
      <c r="AK551" s="494"/>
      <c r="AL551" s="494"/>
      <c r="AM551" s="494"/>
      <c r="AN551" s="496"/>
    </row>
    <row r="552" spans="1:49" s="449" customFormat="1" ht="12.75" customHeight="1">
      <c r="A552" s="524"/>
      <c r="B552" s="524" t="s">
        <v>2439</v>
      </c>
      <c r="C552" s="523"/>
      <c r="D552" s="523"/>
      <c r="E552" s="525"/>
      <c r="F552" s="525"/>
      <c r="G552" s="525"/>
      <c r="H552" s="525"/>
      <c r="I552" s="525"/>
      <c r="J552" s="525"/>
      <c r="K552" s="525"/>
      <c r="L552" s="523"/>
      <c r="M552" s="525"/>
      <c r="N552" s="525"/>
      <c r="O552" s="525"/>
      <c r="P552" s="525"/>
      <c r="Q552" s="525"/>
      <c r="R552" s="13"/>
      <c r="S552" s="13"/>
      <c r="T552" s="13"/>
      <c r="U552" s="13"/>
      <c r="V552" s="13"/>
      <c r="W552" s="13"/>
      <c r="X552" s="523"/>
      <c r="Y552" s="523"/>
      <c r="Z552" s="523"/>
      <c r="AA552" s="521"/>
      <c r="AB552" s="521"/>
      <c r="AC552" s="521"/>
      <c r="AD552" s="521"/>
      <c r="AE552" s="13"/>
      <c r="AF552" s="2354">
        <f>IFERROR(AP559,0)</f>
        <v>79270880.399999991</v>
      </c>
      <c r="AG552" s="2354"/>
      <c r="AH552" s="2354"/>
      <c r="AI552" s="2354"/>
      <c r="AJ552" s="2354"/>
      <c r="AK552" s="494"/>
      <c r="AL552" s="494"/>
      <c r="AM552" s="494"/>
      <c r="AN552" s="496"/>
      <c r="AP552" s="2347">
        <f>Application!AJ1045</f>
        <v>15413782.299999999</v>
      </c>
      <c r="AQ552" s="2347"/>
      <c r="AR552" s="2347"/>
      <c r="AS552" s="449" t="s">
        <v>1710</v>
      </c>
    </row>
    <row r="553" spans="1:49" s="449" customFormat="1" ht="12.75" customHeight="1">
      <c r="A553" s="523"/>
      <c r="B553" s="523" t="s">
        <v>1638</v>
      </c>
      <c r="C553" s="523"/>
      <c r="D553" s="523"/>
      <c r="E553" s="523"/>
      <c r="F553" s="523"/>
      <c r="G553" s="523"/>
      <c r="H553" s="523"/>
      <c r="I553" s="523"/>
      <c r="J553" s="523"/>
      <c r="K553" s="523"/>
      <c r="L553" s="523"/>
      <c r="M553" s="523"/>
      <c r="N553" s="523"/>
      <c r="O553" s="523"/>
      <c r="P553" s="523"/>
      <c r="Q553" s="523"/>
      <c r="R553" s="13"/>
      <c r="S553" s="13"/>
      <c r="T553" s="13"/>
      <c r="U553" s="13"/>
      <c r="V553" s="13"/>
      <c r="W553" s="13"/>
      <c r="X553" s="523"/>
      <c r="Y553" s="523"/>
      <c r="Z553" s="523"/>
      <c r="AA553" s="521"/>
      <c r="AB553" s="521"/>
      <c r="AC553" s="521"/>
      <c r="AD553" s="521"/>
      <c r="AE553" s="13"/>
      <c r="AF553" s="2355">
        <f>IFERROR(ROUNDDOWN(IF(C544="YES",((1-(AF551/AF552))*2),(1-(AF551/AF552))),2),0)</f>
        <v>0.31</v>
      </c>
      <c r="AG553" s="2355"/>
      <c r="AH553" s="2355"/>
      <c r="AI553" s="2355"/>
      <c r="AJ553" s="2355"/>
      <c r="AK553" s="494"/>
      <c r="AL553" s="494"/>
      <c r="AM553" s="494"/>
      <c r="AN553" s="496"/>
      <c r="AP553" s="2343">
        <f>Application!AJ1049</f>
        <v>36112289.960000001</v>
      </c>
      <c r="AQ553" s="2343"/>
      <c r="AR553" s="2343"/>
      <c r="AS553" s="449" t="s">
        <v>1720</v>
      </c>
    </row>
    <row r="554" spans="1:49" s="449" customFormat="1" ht="12.75" customHeight="1">
      <c r="A554" s="523"/>
      <c r="B554" s="523"/>
      <c r="C554" s="523"/>
      <c r="D554" s="523"/>
      <c r="E554" s="523"/>
      <c r="F554" s="523"/>
      <c r="G554" s="523"/>
      <c r="H554" s="523"/>
      <c r="I554" s="523"/>
      <c r="J554" s="523"/>
      <c r="K554" s="523"/>
      <c r="L554" s="523"/>
      <c r="M554" s="523"/>
      <c r="N554" s="523"/>
      <c r="O554" s="523"/>
      <c r="P554" s="523"/>
      <c r="Q554" s="523"/>
      <c r="R554" s="13"/>
      <c r="S554" s="13"/>
      <c r="T554" s="13"/>
      <c r="U554" s="13"/>
      <c r="V554" s="13"/>
      <c r="W554" s="13"/>
      <c r="X554" s="523"/>
      <c r="Y554" s="523"/>
      <c r="Z554" s="523"/>
      <c r="AA554" s="521"/>
      <c r="AB554" s="521"/>
      <c r="AC554" s="521"/>
      <c r="AD554" s="521"/>
      <c r="AE554" s="13"/>
      <c r="AF554" s="714"/>
      <c r="AG554" s="714"/>
      <c r="AH554" s="714"/>
      <c r="AI554" s="714"/>
      <c r="AJ554" s="714"/>
      <c r="AK554" s="494"/>
      <c r="AL554" s="494"/>
      <c r="AM554" s="494"/>
      <c r="AN554" s="496"/>
      <c r="AP554" s="2362">
        <f>IF(((AP552+AP553)/AP550)&gt;0.8,0.8,((AP552+AP553)/AP550))</f>
        <v>0.8</v>
      </c>
      <c r="AQ554" s="2362"/>
      <c r="AR554" s="2362"/>
      <c r="AS554" s="449" t="s">
        <v>2440</v>
      </c>
    </row>
    <row r="555" spans="1:49" s="449" customFormat="1" ht="12.75" customHeight="1">
      <c r="A555" s="523"/>
      <c r="B555" s="2429" t="s">
        <v>2441</v>
      </c>
      <c r="C555" s="2430"/>
      <c r="D555" s="2430"/>
      <c r="E555" s="2430"/>
      <c r="F555" s="2430"/>
      <c r="G555" s="2430"/>
      <c r="H555" s="2430"/>
      <c r="I555" s="2430"/>
      <c r="J555" s="2430"/>
      <c r="K555" s="2430"/>
      <c r="L555" s="2430"/>
      <c r="M555" s="2430"/>
      <c r="N555" s="2430"/>
      <c r="O555" s="2430"/>
      <c r="P555" s="2430"/>
      <c r="Q555" s="2430"/>
      <c r="R555" s="2430"/>
      <c r="S555" s="2430"/>
      <c r="T555" s="2430"/>
      <c r="U555" s="2430"/>
      <c r="V555" s="2430"/>
      <c r="W555" s="2430"/>
      <c r="X555" s="2430"/>
      <c r="Y555" s="2430"/>
      <c r="Z555" s="2430"/>
      <c r="AA555" s="2430"/>
      <c r="AB555" s="2430"/>
      <c r="AC555" s="2430"/>
      <c r="AD555" s="2430"/>
      <c r="AE555" s="2430"/>
      <c r="AF555" s="2430"/>
      <c r="AG555" s="2430"/>
      <c r="AH555" s="2430"/>
      <c r="AI555" s="2430"/>
      <c r="AJ555" s="2431"/>
      <c r="AK555" s="494"/>
      <c r="AL555" s="494"/>
      <c r="AM555" s="494"/>
      <c r="AN555" s="496"/>
    </row>
    <row r="556" spans="1:49" s="449" customFormat="1" ht="12.75" customHeight="1">
      <c r="A556" s="523"/>
      <c r="B556" s="2432"/>
      <c r="C556" s="2433"/>
      <c r="D556" s="2433"/>
      <c r="E556" s="2433"/>
      <c r="F556" s="2433"/>
      <c r="G556" s="2433"/>
      <c r="H556" s="2433"/>
      <c r="I556" s="2433"/>
      <c r="J556" s="2433"/>
      <c r="K556" s="2433"/>
      <c r="L556" s="2433"/>
      <c r="M556" s="2433"/>
      <c r="N556" s="2433"/>
      <c r="O556" s="2433"/>
      <c r="P556" s="2433"/>
      <c r="Q556" s="2433"/>
      <c r="R556" s="2433"/>
      <c r="S556" s="2433"/>
      <c r="T556" s="2433"/>
      <c r="U556" s="2433"/>
      <c r="V556" s="2433"/>
      <c r="W556" s="2433"/>
      <c r="X556" s="2433"/>
      <c r="Y556" s="2433"/>
      <c r="Z556" s="2433"/>
      <c r="AA556" s="2433"/>
      <c r="AB556" s="2433"/>
      <c r="AC556" s="2433"/>
      <c r="AD556" s="2433"/>
      <c r="AE556" s="2433"/>
      <c r="AF556" s="2433"/>
      <c r="AG556" s="2433"/>
      <c r="AH556" s="2433"/>
      <c r="AI556" s="2433"/>
      <c r="AJ556" s="2434"/>
      <c r="AK556" s="494"/>
      <c r="AL556" s="494"/>
      <c r="AM556" s="494"/>
      <c r="AN556" s="496"/>
      <c r="AP556" s="2347">
        <f>AP557-AP552-AP553</f>
        <v>44039377.999999993</v>
      </c>
      <c r="AQ556" s="2363"/>
      <c r="AR556" s="2363"/>
      <c r="AS556" s="449" t="s">
        <v>2442</v>
      </c>
    </row>
    <row r="557" spans="1:49" s="449" customFormat="1" ht="12.75" customHeight="1">
      <c r="A557" s="523"/>
      <c r="B557" s="2435"/>
      <c r="C557" s="2436"/>
      <c r="D557" s="2436"/>
      <c r="E557" s="2436"/>
      <c r="F557" s="2436"/>
      <c r="G557" s="2436"/>
      <c r="H557" s="2436"/>
      <c r="I557" s="2436"/>
      <c r="J557" s="2436"/>
      <c r="K557" s="2436"/>
      <c r="L557" s="2436"/>
      <c r="M557" s="2436"/>
      <c r="N557" s="2436"/>
      <c r="O557" s="2436"/>
      <c r="P557" s="2436"/>
      <c r="Q557" s="2436"/>
      <c r="R557" s="2436"/>
      <c r="S557" s="2436"/>
      <c r="T557" s="2436"/>
      <c r="U557" s="2436"/>
      <c r="V557" s="2436"/>
      <c r="W557" s="2436"/>
      <c r="X557" s="2436"/>
      <c r="Y557" s="2436"/>
      <c r="Z557" s="2436"/>
      <c r="AA557" s="2436"/>
      <c r="AB557" s="2436"/>
      <c r="AC557" s="2436"/>
      <c r="AD557" s="2436"/>
      <c r="AE557" s="2436"/>
      <c r="AF557" s="2436"/>
      <c r="AG557" s="2436"/>
      <c r="AH557" s="2436"/>
      <c r="AI557" s="2436"/>
      <c r="AJ557" s="2437"/>
      <c r="AK557" s="494"/>
      <c r="AL557" s="494"/>
      <c r="AM557" s="494"/>
      <c r="AN557" s="496"/>
      <c r="AP557" s="2347">
        <f>Application!AJ1053</f>
        <v>95565450.25999999</v>
      </c>
      <c r="AQ557" s="2347"/>
      <c r="AR557" s="2347"/>
      <c r="AS557" s="449" t="s">
        <v>2443</v>
      </c>
    </row>
    <row r="558" spans="1:49" s="449" customFormat="1" ht="12.75" customHeight="1">
      <c r="B558" s="450"/>
      <c r="C558" s="450"/>
      <c r="D558" s="450"/>
      <c r="E558" s="450"/>
      <c r="F558" s="450"/>
      <c r="G558" s="450"/>
      <c r="H558" s="450"/>
      <c r="I558" s="450"/>
      <c r="J558" s="450"/>
      <c r="K558" s="450"/>
      <c r="L558" s="450"/>
      <c r="M558" s="450"/>
      <c r="N558" s="450"/>
      <c r="O558" s="450"/>
      <c r="P558" s="450"/>
      <c r="Q558" s="450"/>
      <c r="R558" s="450"/>
      <c r="S558" s="450"/>
      <c r="T558" s="450"/>
      <c r="U558" s="450"/>
      <c r="V558" s="450"/>
      <c r="W558" s="450"/>
      <c r="X558" s="450"/>
      <c r="Y558" s="450"/>
      <c r="Z558" s="450"/>
      <c r="AA558" s="450"/>
      <c r="AB558" s="450"/>
      <c r="AC558" s="515"/>
      <c r="AD558" s="450"/>
      <c r="AI558" s="442"/>
      <c r="AJ558" s="442"/>
      <c r="AK558" s="494"/>
      <c r="AL558" s="494"/>
      <c r="AM558" s="494"/>
      <c r="AN558" s="496"/>
    </row>
    <row r="559" spans="1:49" s="449" customFormat="1" ht="12.75" customHeight="1">
      <c r="A559" s="527"/>
      <c r="B559" s="527"/>
      <c r="C559" s="527"/>
      <c r="D559" s="527"/>
      <c r="E559" s="527"/>
      <c r="F559" s="527"/>
      <c r="G559" s="527"/>
      <c r="H559" s="527"/>
      <c r="I559" s="527"/>
      <c r="J559" s="527"/>
      <c r="K559" s="527"/>
      <c r="L559" s="527"/>
      <c r="M559" s="527"/>
      <c r="N559" s="527"/>
      <c r="O559" s="527"/>
      <c r="P559" s="527"/>
      <c r="Q559" s="527"/>
      <c r="R559" s="527"/>
      <c r="S559" s="527"/>
      <c r="T559" s="527"/>
      <c r="U559" s="527"/>
      <c r="V559" s="527"/>
      <c r="W559" s="527"/>
      <c r="X559" s="527"/>
      <c r="Y559" s="527"/>
      <c r="Z559" s="527"/>
      <c r="AA559" s="527"/>
      <c r="AB559" s="527"/>
      <c r="AC559" s="527"/>
      <c r="AD559" s="527"/>
      <c r="AE559" s="527"/>
      <c r="AF559" s="527"/>
      <c r="AG559" s="527"/>
      <c r="AH559" s="528"/>
      <c r="AI559" s="464"/>
      <c r="AJ559" s="464" t="s">
        <v>2444</v>
      </c>
      <c r="AK559" s="2438">
        <f>IFERROR(IF(AND(C541="N/A",C544="N/A"),0,IF(AF553=0,0,IF((AF553*100)&gt;12,12,(AF553*100)))),0)</f>
        <v>12</v>
      </c>
      <c r="AL559" s="2438"/>
      <c r="AM559" s="2439"/>
      <c r="AN559" s="496"/>
      <c r="AP559" s="2332">
        <f>AP556+(AP550*AP554)</f>
        <v>79270880.399999991</v>
      </c>
      <c r="AQ559" s="2333"/>
      <c r="AR559" s="2334"/>
    </row>
    <row r="560" spans="1:49" s="449" customFormat="1" ht="12.75" customHeight="1" thickBot="1">
      <c r="A560" s="658"/>
      <c r="B560" s="658"/>
      <c r="C560" s="658"/>
      <c r="D560" s="658"/>
      <c r="E560" s="658"/>
      <c r="F560" s="658"/>
      <c r="G560" s="658"/>
      <c r="H560" s="658"/>
      <c r="I560" s="658"/>
      <c r="J560" s="658"/>
      <c r="K560" s="658"/>
      <c r="L560" s="658"/>
      <c r="M560" s="658"/>
      <c r="N560" s="658"/>
      <c r="O560" s="658"/>
      <c r="P560" s="658"/>
      <c r="Q560" s="658"/>
      <c r="R560" s="658"/>
      <c r="S560" s="658"/>
      <c r="T560" s="658"/>
      <c r="U560" s="658"/>
      <c r="V560" s="658"/>
      <c r="W560" s="658"/>
      <c r="X560" s="658"/>
      <c r="Y560" s="658"/>
      <c r="Z560" s="658"/>
      <c r="AA560" s="658"/>
      <c r="AB560" s="658"/>
      <c r="AC560" s="658"/>
      <c r="AD560" s="658"/>
      <c r="AE560" s="658"/>
      <c r="AF560" s="658"/>
      <c r="AG560" s="658"/>
      <c r="AH560" s="658"/>
      <c r="AI560" s="658"/>
      <c r="AJ560" s="658"/>
      <c r="AK560" s="658"/>
      <c r="AL560" s="658"/>
      <c r="AM560" s="659"/>
      <c r="AN560" s="496"/>
    </row>
    <row r="561" spans="1:42" s="449" customFormat="1" ht="12.75" customHeight="1" thickTop="1">
      <c r="A561" s="565"/>
      <c r="B561" s="566"/>
      <c r="C561" s="565"/>
      <c r="D561" s="566"/>
      <c r="E561" s="566"/>
      <c r="F561" s="566"/>
      <c r="G561" s="566"/>
      <c r="H561" s="566"/>
      <c r="I561" s="566"/>
      <c r="J561" s="566"/>
      <c r="K561" s="566"/>
      <c r="L561" s="566"/>
      <c r="M561" s="566"/>
      <c r="N561" s="566"/>
      <c r="O561" s="566"/>
      <c r="P561" s="566"/>
      <c r="Q561" s="566"/>
      <c r="R561" s="566"/>
      <c r="S561" s="566"/>
      <c r="T561" s="566"/>
      <c r="U561" s="566"/>
      <c r="V561" s="566"/>
      <c r="W561" s="566"/>
      <c r="X561" s="566"/>
      <c r="Y561" s="566"/>
      <c r="Z561" s="566"/>
      <c r="AA561" s="566"/>
      <c r="AB561" s="566"/>
      <c r="AC561" s="567"/>
      <c r="AD561" s="567"/>
      <c r="AE561" s="567"/>
      <c r="AF561" s="566"/>
      <c r="AG561" s="566"/>
      <c r="AH561" s="566"/>
      <c r="AI561" s="566"/>
      <c r="AJ561" s="566"/>
      <c r="AK561" s="566"/>
      <c r="AL561" s="566"/>
      <c r="AM561" s="568"/>
      <c r="AN561" s="496"/>
    </row>
    <row r="562" spans="1:42" s="449" customFormat="1" ht="12.75" customHeight="1">
      <c r="A562" s="437" t="s">
        <v>2445</v>
      </c>
      <c r="C562" s="437"/>
      <c r="D562" s="502"/>
      <c r="E562" s="502"/>
      <c r="F562" s="502"/>
      <c r="G562" s="502"/>
      <c r="H562" s="502"/>
      <c r="I562" s="502"/>
      <c r="J562" s="502"/>
      <c r="K562" s="502"/>
      <c r="L562" s="502"/>
      <c r="M562" s="502"/>
      <c r="N562" s="502"/>
      <c r="O562" s="502"/>
      <c r="P562" s="502"/>
      <c r="Q562" s="502"/>
      <c r="R562" s="502"/>
      <c r="S562" s="502"/>
      <c r="T562" s="502"/>
      <c r="U562" s="502"/>
      <c r="V562" s="502"/>
      <c r="W562" s="502"/>
      <c r="X562" s="502"/>
      <c r="Y562" s="502"/>
      <c r="Z562" s="502"/>
      <c r="AA562" s="502"/>
      <c r="AB562" s="502"/>
      <c r="AC562" s="502"/>
      <c r="AD562" s="502"/>
      <c r="AE562" s="2389" t="s">
        <v>2145</v>
      </c>
      <c r="AF562" s="2389"/>
      <c r="AG562" s="2389"/>
      <c r="AH562" s="2389"/>
      <c r="AI562" s="2389"/>
      <c r="AJ562" s="2389"/>
      <c r="AK562" s="2389"/>
      <c r="AL562" s="490"/>
      <c r="AM562" s="502"/>
      <c r="AN562" s="496"/>
    </row>
    <row r="563" spans="1:42" s="449" customFormat="1" ht="12.75" customHeight="1">
      <c r="C563" s="502"/>
      <c r="D563" s="502"/>
      <c r="E563" s="502"/>
      <c r="F563" s="502"/>
      <c r="G563" s="502"/>
      <c r="H563" s="502"/>
      <c r="I563" s="502"/>
      <c r="J563" s="502"/>
      <c r="K563" s="502"/>
      <c r="L563" s="502"/>
      <c r="M563" s="502"/>
      <c r="N563" s="502"/>
      <c r="O563" s="502"/>
      <c r="P563" s="502"/>
      <c r="Q563" s="502"/>
      <c r="R563" s="502"/>
      <c r="S563" s="502"/>
      <c r="T563" s="502"/>
      <c r="U563" s="502"/>
      <c r="V563" s="502"/>
      <c r="W563" s="502"/>
      <c r="X563" s="502"/>
      <c r="Y563" s="502"/>
      <c r="Z563" s="502"/>
      <c r="AA563" s="502"/>
      <c r="AB563" s="502"/>
      <c r="AC563" s="502"/>
      <c r="AD563" s="502"/>
      <c r="AE563" s="502"/>
      <c r="AF563" s="502"/>
      <c r="AG563" s="502"/>
      <c r="AH563" s="502"/>
      <c r="AI563" s="502"/>
      <c r="AJ563" s="502"/>
      <c r="AK563" s="502"/>
      <c r="AL563" s="502"/>
      <c r="AM563" s="502"/>
      <c r="AN563" s="496"/>
    </row>
    <row r="564" spans="1:42" s="449" customFormat="1" ht="12.75" customHeight="1">
      <c r="A564" s="502"/>
      <c r="B564" s="2349" t="s">
        <v>2446</v>
      </c>
      <c r="C564" s="2349"/>
      <c r="D564" s="2349"/>
      <c r="E564" s="2349"/>
      <c r="F564" s="2349"/>
      <c r="G564" s="2349"/>
      <c r="H564" s="2349"/>
      <c r="I564" s="2349"/>
      <c r="J564" s="2349"/>
      <c r="K564" s="2349"/>
      <c r="L564" s="2349"/>
      <c r="M564" s="2349"/>
      <c r="N564" s="2349"/>
      <c r="O564" s="2349"/>
      <c r="P564" s="2349"/>
      <c r="Q564" s="2349"/>
      <c r="R564" s="2349"/>
      <c r="S564" s="2349"/>
      <c r="T564" s="2349"/>
      <c r="U564" s="2349"/>
      <c r="V564" s="2349"/>
      <c r="W564" s="2349"/>
      <c r="X564" s="2349"/>
      <c r="Y564" s="2349"/>
      <c r="Z564" s="2349"/>
      <c r="AA564" s="2349"/>
      <c r="AB564" s="2349"/>
      <c r="AC564" s="2349"/>
      <c r="AD564" s="2349"/>
      <c r="AE564" s="2349"/>
      <c r="AF564" s="2349"/>
      <c r="AG564" s="2349"/>
      <c r="AH564" s="2349"/>
      <c r="AI564" s="2349"/>
      <c r="AJ564" s="2349"/>
      <c r="AK564" s="541"/>
      <c r="AL564" s="472"/>
      <c r="AM564" s="502"/>
      <c r="AN564" s="496"/>
    </row>
    <row r="565" spans="1:42" s="449" customFormat="1" ht="12.75" customHeight="1">
      <c r="A565" s="502"/>
      <c r="B565" s="2349"/>
      <c r="C565" s="2349"/>
      <c r="D565" s="2349"/>
      <c r="E565" s="2349"/>
      <c r="F565" s="2349"/>
      <c r="G565" s="2349"/>
      <c r="H565" s="2349"/>
      <c r="I565" s="2349"/>
      <c r="J565" s="2349"/>
      <c r="K565" s="2349"/>
      <c r="L565" s="2349"/>
      <c r="M565" s="2349"/>
      <c r="N565" s="2349"/>
      <c r="O565" s="2349"/>
      <c r="P565" s="2349"/>
      <c r="Q565" s="2349"/>
      <c r="R565" s="2349"/>
      <c r="S565" s="2349"/>
      <c r="T565" s="2349"/>
      <c r="U565" s="2349"/>
      <c r="V565" s="2349"/>
      <c r="W565" s="2349"/>
      <c r="X565" s="2349"/>
      <c r="Y565" s="2349"/>
      <c r="Z565" s="2349"/>
      <c r="AA565" s="2349"/>
      <c r="AB565" s="2349"/>
      <c r="AC565" s="2349"/>
      <c r="AD565" s="2349"/>
      <c r="AE565" s="2349"/>
      <c r="AF565" s="2349"/>
      <c r="AG565" s="2349"/>
      <c r="AH565" s="2349"/>
      <c r="AI565" s="2349"/>
      <c r="AJ565" s="2349"/>
      <c r="AK565" s="541"/>
      <c r="AL565" s="472"/>
      <c r="AM565" s="502"/>
      <c r="AN565" s="496"/>
    </row>
    <row r="566" spans="1:42" s="449" customFormat="1" ht="12.75" customHeight="1">
      <c r="A566" s="502"/>
      <c r="B566" s="2349"/>
      <c r="C566" s="2349"/>
      <c r="D566" s="2349"/>
      <c r="E566" s="2349"/>
      <c r="F566" s="2349"/>
      <c r="G566" s="2349"/>
      <c r="H566" s="2349"/>
      <c r="I566" s="2349"/>
      <c r="J566" s="2349"/>
      <c r="K566" s="2349"/>
      <c r="L566" s="2349"/>
      <c r="M566" s="2349"/>
      <c r="N566" s="2349"/>
      <c r="O566" s="2349"/>
      <c r="P566" s="2349"/>
      <c r="Q566" s="2349"/>
      <c r="R566" s="2349"/>
      <c r="S566" s="2349"/>
      <c r="T566" s="2349"/>
      <c r="U566" s="2349"/>
      <c r="V566" s="2349"/>
      <c r="W566" s="2349"/>
      <c r="X566" s="2349"/>
      <c r="Y566" s="2349"/>
      <c r="Z566" s="2349"/>
      <c r="AA566" s="2349"/>
      <c r="AB566" s="2349"/>
      <c r="AC566" s="2349"/>
      <c r="AD566" s="2349"/>
      <c r="AE566" s="2349"/>
      <c r="AF566" s="2349"/>
      <c r="AG566" s="2349"/>
      <c r="AH566" s="2349"/>
      <c r="AI566" s="2349"/>
      <c r="AJ566" s="2349"/>
      <c r="AK566" s="541"/>
      <c r="AL566" s="472"/>
      <c r="AM566" s="502"/>
      <c r="AN566" s="496"/>
    </row>
    <row r="567" spans="1:42" s="449" customFormat="1" ht="12.75" customHeight="1">
      <c r="A567" s="502"/>
      <c r="B567" s="2349"/>
      <c r="C567" s="2349"/>
      <c r="D567" s="2349"/>
      <c r="E567" s="2349"/>
      <c r="F567" s="2349"/>
      <c r="G567" s="2349"/>
      <c r="H567" s="2349"/>
      <c r="I567" s="2349"/>
      <c r="J567" s="2349"/>
      <c r="K567" s="2349"/>
      <c r="L567" s="2349"/>
      <c r="M567" s="2349"/>
      <c r="N567" s="2349"/>
      <c r="O567" s="2349"/>
      <c r="P567" s="2349"/>
      <c r="Q567" s="2349"/>
      <c r="R567" s="2349"/>
      <c r="S567" s="2349"/>
      <c r="T567" s="2349"/>
      <c r="U567" s="2349"/>
      <c r="V567" s="2349"/>
      <c r="W567" s="2349"/>
      <c r="X567" s="2349"/>
      <c r="Y567" s="2349"/>
      <c r="Z567" s="2349"/>
      <c r="AA567" s="2349"/>
      <c r="AB567" s="2349"/>
      <c r="AC567" s="2349"/>
      <c r="AD567" s="2349"/>
      <c r="AE567" s="2349"/>
      <c r="AF567" s="2349"/>
      <c r="AG567" s="2349"/>
      <c r="AH567" s="2349"/>
      <c r="AI567" s="2349"/>
      <c r="AJ567" s="2349"/>
      <c r="AK567" s="541"/>
      <c r="AL567" s="472"/>
      <c r="AM567" s="502"/>
      <c r="AN567" s="496"/>
    </row>
    <row r="568" spans="1:42" s="449" customFormat="1" ht="12.75" customHeight="1">
      <c r="A568" s="502"/>
      <c r="B568" s="2349"/>
      <c r="C568" s="2349"/>
      <c r="D568" s="2349"/>
      <c r="E568" s="2349"/>
      <c r="F568" s="2349"/>
      <c r="G568" s="2349"/>
      <c r="H568" s="2349"/>
      <c r="I568" s="2349"/>
      <c r="J568" s="2349"/>
      <c r="K568" s="2349"/>
      <c r="L568" s="2349"/>
      <c r="M568" s="2349"/>
      <c r="N568" s="2349"/>
      <c r="O568" s="2349"/>
      <c r="P568" s="2349"/>
      <c r="Q568" s="2349"/>
      <c r="R568" s="2349"/>
      <c r="S568" s="2349"/>
      <c r="T568" s="2349"/>
      <c r="U568" s="2349"/>
      <c r="V568" s="2349"/>
      <c r="W568" s="2349"/>
      <c r="X568" s="2349"/>
      <c r="Y568" s="2349"/>
      <c r="Z568" s="2349"/>
      <c r="AA568" s="2349"/>
      <c r="AB568" s="2349"/>
      <c r="AC568" s="2349"/>
      <c r="AD568" s="2349"/>
      <c r="AE568" s="2349"/>
      <c r="AF568" s="2349"/>
      <c r="AG568" s="2349"/>
      <c r="AH568" s="2349"/>
      <c r="AI568" s="2349"/>
      <c r="AJ568" s="2349"/>
      <c r="AK568" s="541"/>
      <c r="AL568" s="472"/>
      <c r="AM568" s="502"/>
      <c r="AN568" s="496"/>
    </row>
    <row r="569" spans="1:42" s="449" customFormat="1" ht="12.75" customHeight="1">
      <c r="A569" s="502"/>
      <c r="B569" s="2349"/>
      <c r="C569" s="2349"/>
      <c r="D569" s="2349"/>
      <c r="E569" s="2349"/>
      <c r="F569" s="2349"/>
      <c r="G569" s="2349"/>
      <c r="H569" s="2349"/>
      <c r="I569" s="2349"/>
      <c r="J569" s="2349"/>
      <c r="K569" s="2349"/>
      <c r="L569" s="2349"/>
      <c r="M569" s="2349"/>
      <c r="N569" s="2349"/>
      <c r="O569" s="2349"/>
      <c r="P569" s="2349"/>
      <c r="Q569" s="2349"/>
      <c r="R569" s="2349"/>
      <c r="S569" s="2349"/>
      <c r="T569" s="2349"/>
      <c r="U569" s="2349"/>
      <c r="V569" s="2349"/>
      <c r="W569" s="2349"/>
      <c r="X569" s="2349"/>
      <c r="Y569" s="2349"/>
      <c r="Z569" s="2349"/>
      <c r="AA569" s="2349"/>
      <c r="AB569" s="2349"/>
      <c r="AC569" s="2349"/>
      <c r="AD569" s="2349"/>
      <c r="AE569" s="2349"/>
      <c r="AF569" s="2349"/>
      <c r="AG569" s="2349"/>
      <c r="AH569" s="2349"/>
      <c r="AI569" s="2349"/>
      <c r="AJ569" s="2349"/>
      <c r="AK569" s="541"/>
      <c r="AL569" s="472"/>
      <c r="AM569" s="502"/>
      <c r="AN569" s="496"/>
    </row>
    <row r="570" spans="1:42" s="449" customFormat="1" ht="12.75" customHeight="1">
      <c r="A570" s="502"/>
      <c r="B570" s="2349"/>
      <c r="C570" s="2349"/>
      <c r="D570" s="2349"/>
      <c r="E570" s="2349"/>
      <c r="F570" s="2349"/>
      <c r="G570" s="2349"/>
      <c r="H570" s="2349"/>
      <c r="I570" s="2349"/>
      <c r="J570" s="2349"/>
      <c r="K570" s="2349"/>
      <c r="L570" s="2349"/>
      <c r="M570" s="2349"/>
      <c r="N570" s="2349"/>
      <c r="O570" s="2349"/>
      <c r="P570" s="2349"/>
      <c r="Q570" s="2349"/>
      <c r="R570" s="2349"/>
      <c r="S570" s="2349"/>
      <c r="T570" s="2349"/>
      <c r="U570" s="2349"/>
      <c r="V570" s="2349"/>
      <c r="W570" s="2349"/>
      <c r="X570" s="2349"/>
      <c r="Y570" s="2349"/>
      <c r="Z570" s="2349"/>
      <c r="AA570" s="2349"/>
      <c r="AB570" s="2349"/>
      <c r="AC570" s="2349"/>
      <c r="AD570" s="2349"/>
      <c r="AE570" s="2349"/>
      <c r="AF570" s="2349"/>
      <c r="AG570" s="2349"/>
      <c r="AH570" s="2349"/>
      <c r="AI570" s="2349"/>
      <c r="AJ570" s="2349"/>
      <c r="AK570" s="541"/>
      <c r="AL570" s="472"/>
      <c r="AM570" s="502"/>
      <c r="AN570" s="496"/>
    </row>
    <row r="571" spans="1:42" ht="12.75" customHeight="1">
      <c r="A571" s="502"/>
      <c r="B571" s="2349"/>
      <c r="C571" s="2349"/>
      <c r="D571" s="2349"/>
      <c r="E571" s="2349"/>
      <c r="F571" s="2349"/>
      <c r="G571" s="2349"/>
      <c r="H571" s="2349"/>
      <c r="I571" s="2349"/>
      <c r="J571" s="2349"/>
      <c r="K571" s="2349"/>
      <c r="L571" s="2349"/>
      <c r="M571" s="2349"/>
      <c r="N571" s="2349"/>
      <c r="O571" s="2349"/>
      <c r="P571" s="2349"/>
      <c r="Q571" s="2349"/>
      <c r="R571" s="2349"/>
      <c r="S571" s="2349"/>
      <c r="T571" s="2349"/>
      <c r="U571" s="2349"/>
      <c r="V571" s="2349"/>
      <c r="W571" s="2349"/>
      <c r="X571" s="2349"/>
      <c r="Y571" s="2349"/>
      <c r="Z571" s="2349"/>
      <c r="AA571" s="2349"/>
      <c r="AB571" s="2349"/>
      <c r="AC571" s="2349"/>
      <c r="AD571" s="2349"/>
      <c r="AE571" s="2349"/>
      <c r="AF571" s="2349"/>
      <c r="AG571" s="2349"/>
      <c r="AH571" s="2349"/>
      <c r="AI571" s="2349"/>
      <c r="AJ571" s="2349"/>
      <c r="AK571" s="541"/>
      <c r="AL571" s="472"/>
      <c r="AM571" s="502"/>
    </row>
    <row r="572" spans="1:42" s="449" customFormat="1" ht="12.75" customHeight="1">
      <c r="B572" s="2349"/>
      <c r="C572" s="2349"/>
      <c r="D572" s="2349"/>
      <c r="E572" s="2349"/>
      <c r="F572" s="2349"/>
      <c r="G572" s="2349"/>
      <c r="H572" s="2349"/>
      <c r="I572" s="2349"/>
      <c r="J572" s="2349"/>
      <c r="K572" s="2349"/>
      <c r="L572" s="2349"/>
      <c r="M572" s="2349"/>
      <c r="N572" s="2349"/>
      <c r="O572" s="2349"/>
      <c r="P572" s="2349"/>
      <c r="Q572" s="2349"/>
      <c r="R572" s="2349"/>
      <c r="S572" s="2349"/>
      <c r="T572" s="2349"/>
      <c r="U572" s="2349"/>
      <c r="V572" s="2349"/>
      <c r="W572" s="2349"/>
      <c r="X572" s="2349"/>
      <c r="Y572" s="2349"/>
      <c r="Z572" s="2349"/>
      <c r="AA572" s="2349"/>
      <c r="AB572" s="2349"/>
      <c r="AC572" s="2349"/>
      <c r="AD572" s="2349"/>
      <c r="AE572" s="2349"/>
      <c r="AF572" s="2349"/>
      <c r="AG572" s="2349"/>
      <c r="AH572" s="2349"/>
      <c r="AI572" s="2349"/>
      <c r="AJ572" s="2349"/>
      <c r="AK572" s="541"/>
      <c r="AL572" s="472"/>
      <c r="AN572" s="496"/>
    </row>
    <row r="573" spans="1:42" s="449" customFormat="1" ht="12.75" customHeight="1">
      <c r="B573" s="541"/>
      <c r="C573" s="541"/>
      <c r="D573" s="541"/>
      <c r="E573" s="541"/>
      <c r="F573" s="541"/>
      <c r="G573" s="541"/>
      <c r="H573" s="541"/>
      <c r="I573" s="541"/>
      <c r="J573" s="541"/>
      <c r="K573" s="541"/>
      <c r="L573" s="541"/>
      <c r="M573" s="541"/>
      <c r="N573" s="541"/>
      <c r="O573" s="541"/>
      <c r="P573" s="541"/>
      <c r="Q573" s="541"/>
      <c r="R573" s="541"/>
      <c r="S573" s="541"/>
      <c r="T573" s="541"/>
      <c r="U573" s="541"/>
      <c r="V573" s="541"/>
      <c r="W573" s="541"/>
      <c r="X573" s="541"/>
      <c r="Y573" s="541"/>
      <c r="Z573" s="541"/>
      <c r="AA573" s="541"/>
      <c r="AB573" s="541"/>
      <c r="AC573" s="541"/>
      <c r="AD573" s="541"/>
      <c r="AE573" s="541"/>
      <c r="AF573" s="541"/>
      <c r="AG573" s="541"/>
      <c r="AH573" s="541"/>
      <c r="AI573" s="541"/>
      <c r="AJ573" s="541"/>
      <c r="AK573" s="541"/>
      <c r="AL573" s="472"/>
      <c r="AN573" s="496"/>
    </row>
    <row r="574" spans="1:42" s="449" customFormat="1" ht="12.75" customHeight="1">
      <c r="B574" s="562" t="s">
        <v>2447</v>
      </c>
      <c r="C574" s="570"/>
      <c r="D574" s="472"/>
      <c r="E574" s="472"/>
      <c r="F574" s="472"/>
      <c r="G574" s="472"/>
      <c r="H574" s="472"/>
      <c r="I574" s="472"/>
      <c r="J574" s="472"/>
      <c r="K574" s="472"/>
      <c r="L574" s="472"/>
      <c r="M574" s="472"/>
      <c r="N574" s="472"/>
      <c r="O574" s="472"/>
      <c r="P574" s="472"/>
      <c r="Q574" s="472"/>
      <c r="R574" s="472"/>
      <c r="S574" s="472"/>
      <c r="T574" s="472"/>
      <c r="U574" s="472"/>
      <c r="V574" s="472"/>
      <c r="W574" s="472"/>
      <c r="X574" s="472"/>
      <c r="Y574" s="472"/>
      <c r="Z574" s="472"/>
      <c r="AA574" s="472"/>
      <c r="AB574" s="472"/>
      <c r="AC574" s="472"/>
      <c r="AD574" s="472"/>
      <c r="AE574" s="472"/>
      <c r="AF574" s="472"/>
      <c r="AG574" s="472"/>
      <c r="AH574" s="472"/>
      <c r="AI574" s="472"/>
      <c r="AN574" s="496"/>
      <c r="AP574" s="449" t="s">
        <v>807</v>
      </c>
    </row>
    <row r="575" spans="1:42" s="449" customFormat="1" ht="12.75" customHeight="1">
      <c r="B575" s="435"/>
      <c r="C575" s="570"/>
      <c r="D575" s="472"/>
      <c r="E575" s="472"/>
      <c r="F575" s="472"/>
      <c r="G575" s="472"/>
      <c r="H575" s="472"/>
      <c r="I575" s="472"/>
      <c r="J575" s="472"/>
      <c r="K575" s="472"/>
      <c r="L575" s="472"/>
      <c r="M575" s="472"/>
      <c r="N575" s="472"/>
      <c r="O575" s="472"/>
      <c r="P575" s="472"/>
      <c r="Q575" s="472"/>
      <c r="R575" s="472"/>
      <c r="S575" s="472"/>
      <c r="T575" s="472"/>
      <c r="U575" s="472"/>
      <c r="V575" s="472"/>
      <c r="W575" s="472"/>
      <c r="X575" s="472"/>
      <c r="Y575" s="472"/>
      <c r="Z575" s="472"/>
      <c r="AA575" s="472"/>
      <c r="AB575" s="472"/>
      <c r="AC575" s="472"/>
      <c r="AD575" s="472"/>
      <c r="AE575" s="472"/>
      <c r="AF575" s="472"/>
      <c r="AG575" s="472"/>
      <c r="AH575" s="472"/>
      <c r="AI575" s="472"/>
      <c r="AN575" s="496"/>
      <c r="AP575" s="449" t="s">
        <v>842</v>
      </c>
    </row>
    <row r="576" spans="1:42" s="449" customFormat="1" ht="12.75" customHeight="1">
      <c r="C576" s="438" t="s">
        <v>2448</v>
      </c>
      <c r="D576" s="571"/>
      <c r="E576" s="472"/>
      <c r="F576" s="472"/>
      <c r="G576" s="472"/>
      <c r="H576" s="472"/>
      <c r="I576" s="472"/>
      <c r="J576" s="472"/>
      <c r="K576" s="472"/>
      <c r="L576" s="472"/>
      <c r="M576" s="472"/>
      <c r="N576" s="472"/>
      <c r="O576" s="472"/>
      <c r="P576" s="472"/>
      <c r="Q576" s="472"/>
      <c r="R576" s="472"/>
      <c r="S576" s="472"/>
      <c r="T576" s="472"/>
      <c r="U576" s="472"/>
      <c r="V576" s="472"/>
      <c r="W576" s="472"/>
      <c r="X576" s="472"/>
      <c r="Y576" s="472"/>
      <c r="Z576" s="472"/>
      <c r="AA576" s="472"/>
      <c r="AB576" s="472"/>
      <c r="AC576" s="472"/>
      <c r="AD576" s="472"/>
      <c r="AE576" s="472"/>
      <c r="AF576" s="472"/>
      <c r="AG576" s="472"/>
      <c r="AH576" s="472"/>
      <c r="AI576" s="472"/>
      <c r="AN576" s="496"/>
    </row>
    <row r="577" spans="1:42" s="449" customFormat="1" ht="12.75" customHeight="1">
      <c r="B577" s="435"/>
      <c r="C577" s="435"/>
      <c r="D577" s="539"/>
      <c r="E577" s="542"/>
      <c r="F577" s="542"/>
      <c r="G577" s="542"/>
      <c r="H577" s="542"/>
      <c r="I577" s="542"/>
      <c r="J577" s="542"/>
      <c r="K577" s="542"/>
      <c r="L577" s="542"/>
      <c r="M577" s="542"/>
      <c r="N577" s="542"/>
      <c r="O577" s="542"/>
      <c r="P577" s="542"/>
      <c r="Q577" s="542"/>
      <c r="R577" s="542"/>
      <c r="S577" s="542"/>
      <c r="T577" s="542"/>
      <c r="U577" s="542"/>
      <c r="V577" s="542"/>
      <c r="W577" s="542"/>
      <c r="X577" s="542"/>
      <c r="Y577" s="542"/>
      <c r="Z577" s="542"/>
      <c r="AA577" s="542"/>
      <c r="AB577" s="542"/>
      <c r="AC577" s="542"/>
      <c r="AD577" s="542"/>
      <c r="AE577" s="542"/>
      <c r="AF577" s="435"/>
      <c r="AG577" s="435"/>
      <c r="AH577" s="435"/>
      <c r="AI577" s="435"/>
      <c r="AJ577" s="435"/>
      <c r="AK577" s="435"/>
      <c r="AL577" s="435"/>
      <c r="AN577" s="496"/>
    </row>
    <row r="578" spans="1:42" s="449" customFormat="1" ht="12.75" customHeight="1">
      <c r="B578" s="435"/>
      <c r="C578" s="435"/>
      <c r="D578" s="562" t="s">
        <v>22</v>
      </c>
      <c r="E578" s="737" t="s">
        <v>2449</v>
      </c>
      <c r="F578" s="541"/>
      <c r="G578" s="541"/>
      <c r="H578" s="541"/>
      <c r="I578" s="541"/>
      <c r="J578" s="541"/>
      <c r="K578" s="541"/>
      <c r="L578" s="541"/>
      <c r="M578" s="541"/>
      <c r="N578" s="541"/>
      <c r="O578" s="541"/>
      <c r="P578" s="541"/>
      <c r="Q578" s="541"/>
      <c r="R578" s="541"/>
      <c r="S578" s="541"/>
      <c r="T578" s="541"/>
      <c r="U578" s="541"/>
      <c r="V578" s="541"/>
      <c r="W578" s="541"/>
      <c r="X578" s="541"/>
      <c r="Y578" s="541"/>
      <c r="Z578" s="541"/>
      <c r="AA578" s="541"/>
      <c r="AB578" s="541"/>
      <c r="AC578" s="435"/>
      <c r="AD578" s="435"/>
      <c r="AE578" s="435"/>
      <c r="AF578" s="2449" t="s">
        <v>2189</v>
      </c>
      <c r="AG578" s="2449"/>
      <c r="AH578" s="2449"/>
      <c r="AI578" s="2449"/>
      <c r="AJ578" s="2449"/>
      <c r="AK578" s="2449"/>
      <c r="AL578" s="2449"/>
      <c r="AN578" s="496"/>
    </row>
    <row r="579" spans="1:42" s="449" customFormat="1" ht="12.75" customHeight="1">
      <c r="B579" s="435"/>
      <c r="C579" s="515"/>
      <c r="D579" s="562"/>
      <c r="E579" s="737" t="s">
        <v>2450</v>
      </c>
      <c r="F579" s="541"/>
      <c r="G579" s="541"/>
      <c r="H579" s="541"/>
      <c r="I579" s="541"/>
      <c r="J579" s="541"/>
      <c r="K579" s="541"/>
      <c r="L579" s="541"/>
      <c r="M579" s="541"/>
      <c r="N579" s="541"/>
      <c r="O579" s="541"/>
      <c r="P579" s="541"/>
      <c r="Q579" s="541"/>
      <c r="R579" s="541"/>
      <c r="S579" s="541"/>
      <c r="T579" s="541"/>
      <c r="U579" s="541"/>
      <c r="V579" s="541"/>
      <c r="W579" s="541"/>
      <c r="X579" s="541"/>
      <c r="Y579" s="541"/>
      <c r="Z579" s="541"/>
      <c r="AA579" s="541"/>
      <c r="AB579" s="541"/>
      <c r="AC579" s="435"/>
      <c r="AD579" s="435"/>
      <c r="AE579" s="515"/>
      <c r="AF579" s="515"/>
      <c r="AG579" s="515"/>
      <c r="AH579" s="515"/>
      <c r="AI579" s="515"/>
      <c r="AJ579" s="515"/>
      <c r="AK579" s="515"/>
      <c r="AL579" s="515"/>
      <c r="AN579" s="496"/>
    </row>
    <row r="580" spans="1:42" s="449" customFormat="1" ht="12.75" customHeight="1">
      <c r="B580" s="435"/>
      <c r="C580" s="515"/>
      <c r="D580" s="562"/>
      <c r="E580" s="737" t="s">
        <v>2451</v>
      </c>
      <c r="F580" s="541"/>
      <c r="G580" s="541"/>
      <c r="H580" s="541"/>
      <c r="I580" s="541"/>
      <c r="J580" s="541"/>
      <c r="K580" s="541"/>
      <c r="L580" s="541"/>
      <c r="M580" s="541"/>
      <c r="N580" s="541"/>
      <c r="O580" s="541"/>
      <c r="P580" s="541"/>
      <c r="Q580" s="541"/>
      <c r="R580" s="541"/>
      <c r="S580" s="541"/>
      <c r="T580" s="541"/>
      <c r="U580" s="541"/>
      <c r="V580" s="541"/>
      <c r="W580" s="541"/>
      <c r="X580" s="541"/>
      <c r="Y580" s="541"/>
      <c r="Z580" s="541"/>
      <c r="AA580" s="541"/>
      <c r="AB580" s="541"/>
      <c r="AC580" s="435"/>
      <c r="AD580" s="435"/>
      <c r="AE580" s="515"/>
      <c r="AF580" s="515"/>
      <c r="AG580" s="515"/>
      <c r="AH580" s="515"/>
      <c r="AI580" s="515"/>
      <c r="AJ580" s="515"/>
      <c r="AK580" s="515"/>
      <c r="AL580" s="515"/>
      <c r="AN580" s="496"/>
    </row>
    <row r="581" spans="1:42" s="449" customFormat="1" ht="12.75" customHeight="1">
      <c r="B581" s="435"/>
      <c r="C581" s="515"/>
      <c r="D581" s="562"/>
      <c r="E581" s="737" t="s">
        <v>2452</v>
      </c>
      <c r="F581" s="541"/>
      <c r="G581" s="541"/>
      <c r="H581" s="541"/>
      <c r="I581" s="541"/>
      <c r="J581" s="541"/>
      <c r="K581" s="541"/>
      <c r="L581" s="541"/>
      <c r="M581" s="541"/>
      <c r="N581" s="541"/>
      <c r="O581" s="541"/>
      <c r="P581" s="541"/>
      <c r="Q581" s="541"/>
      <c r="R581" s="541"/>
      <c r="S581" s="541"/>
      <c r="T581" s="541"/>
      <c r="U581" s="541"/>
      <c r="V581" s="541"/>
      <c r="W581" s="541"/>
      <c r="X581" s="541"/>
      <c r="Y581" s="541"/>
      <c r="Z581" s="541"/>
      <c r="AA581" s="541"/>
      <c r="AB581" s="541"/>
      <c r="AC581" s="435"/>
      <c r="AD581" s="435"/>
      <c r="AE581" s="515"/>
      <c r="AF581" s="515"/>
      <c r="AG581" s="515"/>
      <c r="AH581" s="515"/>
      <c r="AI581" s="515"/>
      <c r="AJ581" s="515"/>
      <c r="AK581" s="515"/>
      <c r="AL581" s="515"/>
      <c r="AN581" s="496"/>
    </row>
    <row r="582" spans="1:42" s="449" customFormat="1" ht="12.75" customHeight="1">
      <c r="B582" s="435"/>
      <c r="C582" s="515"/>
      <c r="D582" s="562"/>
      <c r="E582" s="737" t="s">
        <v>2453</v>
      </c>
      <c r="F582" s="541"/>
      <c r="G582" s="541"/>
      <c r="H582" s="541"/>
      <c r="I582" s="541"/>
      <c r="J582" s="541"/>
      <c r="K582" s="541"/>
      <c r="L582" s="541"/>
      <c r="M582" s="541"/>
      <c r="N582" s="541"/>
      <c r="O582" s="541"/>
      <c r="P582" s="541"/>
      <c r="Q582" s="541"/>
      <c r="R582" s="541"/>
      <c r="S582" s="541"/>
      <c r="T582" s="541"/>
      <c r="U582" s="541"/>
      <c r="V582" s="541"/>
      <c r="W582" s="541"/>
      <c r="X582" s="541"/>
      <c r="Y582" s="541"/>
      <c r="Z582" s="541"/>
      <c r="AA582" s="541"/>
      <c r="AB582" s="541"/>
      <c r="AC582" s="435"/>
      <c r="AD582" s="435"/>
      <c r="AE582" s="515"/>
      <c r="AF582" s="515"/>
      <c r="AG582" s="515"/>
      <c r="AH582" s="515"/>
      <c r="AI582" s="515"/>
      <c r="AJ582" s="515"/>
      <c r="AK582" s="515"/>
      <c r="AL582" s="515"/>
      <c r="AN582" s="496"/>
      <c r="AO582" s="19" t="s">
        <v>2454</v>
      </c>
      <c r="AP582" s="449" t="b">
        <f>IF(Application!AF418&gt;=25,TRUE,FALSE)</f>
        <v>1</v>
      </c>
    </row>
    <row r="583" spans="1:42" s="449" customFormat="1" ht="12.75" customHeight="1">
      <c r="B583" s="435"/>
      <c r="C583" s="515"/>
      <c r="D583" s="562"/>
      <c r="E583" s="737" t="s">
        <v>2455</v>
      </c>
      <c r="F583" s="541"/>
      <c r="G583" s="541"/>
      <c r="H583" s="541"/>
      <c r="I583" s="541"/>
      <c r="J583" s="541"/>
      <c r="K583" s="541"/>
      <c r="L583" s="541"/>
      <c r="M583" s="541"/>
      <c r="N583" s="541"/>
      <c r="O583" s="541"/>
      <c r="P583" s="541"/>
      <c r="Q583" s="541"/>
      <c r="R583" s="541"/>
      <c r="S583" s="541"/>
      <c r="T583" s="541"/>
      <c r="U583" s="541"/>
      <c r="V583" s="541"/>
      <c r="W583" s="541"/>
      <c r="X583" s="541"/>
      <c r="Y583" s="541"/>
      <c r="Z583" s="541"/>
      <c r="AA583" s="541"/>
      <c r="AB583" s="541"/>
      <c r="AC583" s="435"/>
      <c r="AD583" s="435"/>
      <c r="AE583" s="515"/>
      <c r="AF583" s="515"/>
      <c r="AG583" s="515"/>
      <c r="AH583" s="515"/>
      <c r="AI583" s="515"/>
      <c r="AJ583" s="515"/>
      <c r="AK583" s="515"/>
      <c r="AL583" s="515"/>
      <c r="AN583" s="496"/>
      <c r="AO583" s="19" t="s">
        <v>779</v>
      </c>
      <c r="AP583" s="449" t="b">
        <f>Application!T199="Yes"</f>
        <v>0</v>
      </c>
    </row>
    <row r="584" spans="1:42" s="449" customFormat="1" ht="12.75" customHeight="1">
      <c r="B584" s="435"/>
      <c r="C584" s="515"/>
      <c r="D584" s="562"/>
      <c r="E584" s="737"/>
      <c r="F584" s="541"/>
      <c r="G584" s="541"/>
      <c r="H584" s="541"/>
      <c r="I584" s="541"/>
      <c r="J584" s="541"/>
      <c r="K584" s="541"/>
      <c r="L584" s="541"/>
      <c r="M584" s="541"/>
      <c r="N584" s="541"/>
      <c r="O584" s="541"/>
      <c r="P584" s="541"/>
      <c r="Q584" s="541"/>
      <c r="R584" s="541"/>
      <c r="S584" s="541"/>
      <c r="T584" s="541"/>
      <c r="U584" s="541"/>
      <c r="V584" s="541"/>
      <c r="W584" s="541"/>
      <c r="X584" s="541"/>
      <c r="Y584" s="541"/>
      <c r="Z584" s="541"/>
      <c r="AA584" s="541"/>
      <c r="AB584" s="541"/>
      <c r="AC584" s="435"/>
      <c r="AD584" s="435"/>
      <c r="AE584" s="515"/>
      <c r="AF584" s="435"/>
      <c r="AG584" s="435"/>
      <c r="AH584" s="435"/>
      <c r="AI584" s="435"/>
      <c r="AJ584" s="435"/>
      <c r="AK584" s="435"/>
      <c r="AL584" s="435"/>
      <c r="AN584" s="496"/>
    </row>
    <row r="585" spans="1:42" s="449" customFormat="1" ht="12.75" customHeight="1">
      <c r="A585" s="536"/>
      <c r="B585" s="435"/>
      <c r="C585" s="824"/>
      <c r="D585" s="562" t="s">
        <v>27</v>
      </c>
      <c r="E585" s="737" t="s">
        <v>2456</v>
      </c>
      <c r="F585" s="825"/>
      <c r="G585" s="825"/>
      <c r="H585" s="825"/>
      <c r="I585" s="825"/>
      <c r="J585" s="825"/>
      <c r="K585" s="825"/>
      <c r="L585" s="825"/>
      <c r="M585" s="825"/>
      <c r="N585" s="825"/>
      <c r="O585" s="825"/>
      <c r="P585" s="825"/>
      <c r="Q585" s="825"/>
      <c r="R585" s="825"/>
      <c r="S585" s="825"/>
      <c r="T585" s="825"/>
      <c r="U585" s="825"/>
      <c r="V585" s="825"/>
      <c r="W585" s="825"/>
      <c r="X585" s="825"/>
      <c r="Y585" s="825"/>
      <c r="Z585" s="825"/>
      <c r="AA585" s="825"/>
      <c r="AB585" s="825"/>
      <c r="AC585" s="435"/>
      <c r="AD585" s="435"/>
      <c r="AE585" s="435"/>
      <c r="AF585" s="2449" t="s">
        <v>2457</v>
      </c>
      <c r="AG585" s="2449"/>
      <c r="AH585" s="2449"/>
      <c r="AI585" s="2449"/>
      <c r="AJ585" s="2449"/>
      <c r="AK585" s="2449"/>
      <c r="AL585" s="2449"/>
      <c r="AN585" s="496"/>
    </row>
    <row r="586" spans="1:42" s="449" customFormat="1" ht="12.75" customHeight="1">
      <c r="B586" s="435"/>
      <c r="C586" s="826"/>
      <c r="D586" s="562"/>
      <c r="E586" s="737" t="s">
        <v>2458</v>
      </c>
      <c r="F586" s="825"/>
      <c r="G586" s="825"/>
      <c r="H586" s="825"/>
      <c r="I586" s="825"/>
      <c r="J586" s="825"/>
      <c r="K586" s="825"/>
      <c r="L586" s="825"/>
      <c r="M586" s="825"/>
      <c r="N586" s="825"/>
      <c r="O586" s="825"/>
      <c r="P586" s="825"/>
      <c r="Q586" s="825"/>
      <c r="R586" s="825"/>
      <c r="S586" s="825"/>
      <c r="T586" s="825"/>
      <c r="U586" s="825"/>
      <c r="V586" s="825"/>
      <c r="W586" s="825"/>
      <c r="X586" s="825"/>
      <c r="Y586" s="825"/>
      <c r="Z586" s="825"/>
      <c r="AA586" s="825"/>
      <c r="AB586" s="825"/>
      <c r="AC586" s="435"/>
      <c r="AD586" s="435"/>
      <c r="AE586" s="435"/>
      <c r="AF586" s="435"/>
      <c r="AG586" s="435"/>
      <c r="AH586" s="435"/>
      <c r="AI586" s="435"/>
      <c r="AJ586" s="435"/>
      <c r="AK586" s="435"/>
      <c r="AL586" s="435"/>
      <c r="AN586" s="496"/>
      <c r="AO586" s="449" t="s">
        <v>807</v>
      </c>
      <c r="AP586" s="572">
        <v>0</v>
      </c>
    </row>
    <row r="587" spans="1:42" s="449" customFormat="1" ht="12.75" customHeight="1">
      <c r="B587" s="509"/>
      <c r="C587" s="824"/>
      <c r="D587" s="562"/>
      <c r="E587" s="737" t="s">
        <v>2459</v>
      </c>
      <c r="F587" s="825"/>
      <c r="G587" s="825"/>
      <c r="H587" s="825"/>
      <c r="I587" s="825"/>
      <c r="J587" s="825"/>
      <c r="K587" s="825"/>
      <c r="L587" s="825"/>
      <c r="M587" s="825"/>
      <c r="N587" s="825"/>
      <c r="O587" s="825"/>
      <c r="P587" s="825"/>
      <c r="Q587" s="825"/>
      <c r="R587" s="825"/>
      <c r="S587" s="825"/>
      <c r="T587" s="825"/>
      <c r="U587" s="825"/>
      <c r="V587" s="825"/>
      <c r="W587" s="825"/>
      <c r="X587" s="825"/>
      <c r="Y587" s="825"/>
      <c r="Z587" s="825"/>
      <c r="AA587" s="825"/>
      <c r="AB587" s="825"/>
      <c r="AC587" s="435"/>
      <c r="AD587" s="435"/>
      <c r="AE587" s="435"/>
      <c r="AF587" s="435"/>
      <c r="AG587" s="435"/>
      <c r="AH587" s="435"/>
      <c r="AI587" s="435"/>
      <c r="AJ587" s="435"/>
      <c r="AK587" s="435"/>
      <c r="AL587" s="435"/>
      <c r="AN587" s="496"/>
      <c r="AO587" s="510" t="s">
        <v>22</v>
      </c>
      <c r="AP587" s="449">
        <f>7*AP582</f>
        <v>7</v>
      </c>
    </row>
    <row r="588" spans="1:42" s="449" customFormat="1" ht="12.75" customHeight="1">
      <c r="B588" s="509"/>
      <c r="C588" s="824"/>
      <c r="D588" s="562"/>
      <c r="E588" s="737" t="s">
        <v>2460</v>
      </c>
      <c r="F588" s="825"/>
      <c r="G588" s="825"/>
      <c r="H588" s="825"/>
      <c r="I588" s="825"/>
      <c r="J588" s="825"/>
      <c r="K588" s="825"/>
      <c r="L588" s="825"/>
      <c r="M588" s="825"/>
      <c r="N588" s="825"/>
      <c r="O588" s="825"/>
      <c r="P588" s="825"/>
      <c r="Q588" s="825"/>
      <c r="R588" s="825"/>
      <c r="S588" s="825"/>
      <c r="T588" s="825"/>
      <c r="U588" s="825"/>
      <c r="V588" s="825"/>
      <c r="W588" s="825"/>
      <c r="X588" s="825"/>
      <c r="Y588" s="825"/>
      <c r="Z588" s="825"/>
      <c r="AA588" s="825"/>
      <c r="AB588" s="825"/>
      <c r="AC588" s="435"/>
      <c r="AD588" s="435"/>
      <c r="AE588" s="435"/>
      <c r="AF588" s="435"/>
      <c r="AG588" s="435"/>
      <c r="AH588" s="435"/>
      <c r="AI588" s="435"/>
      <c r="AJ588" s="435"/>
      <c r="AK588" s="435"/>
      <c r="AL588" s="435"/>
      <c r="AN588" s="496"/>
      <c r="AO588" s="510" t="s">
        <v>27</v>
      </c>
      <c r="AP588" s="449">
        <v>6</v>
      </c>
    </row>
    <row r="589" spans="1:42" s="449" customFormat="1" ht="12.75" customHeight="1">
      <c r="B589" s="509"/>
      <c r="C589" s="824"/>
      <c r="D589" s="562"/>
      <c r="E589" s="737" t="s">
        <v>2461</v>
      </c>
      <c r="F589" s="825"/>
      <c r="G589" s="825"/>
      <c r="H589" s="825"/>
      <c r="I589" s="825"/>
      <c r="J589" s="825"/>
      <c r="K589" s="825"/>
      <c r="L589" s="825"/>
      <c r="M589" s="825"/>
      <c r="N589" s="825"/>
      <c r="O589" s="825"/>
      <c r="P589" s="825"/>
      <c r="Q589" s="825"/>
      <c r="R589" s="825"/>
      <c r="S589" s="825"/>
      <c r="T589" s="825"/>
      <c r="U589" s="825"/>
      <c r="V589" s="825"/>
      <c r="W589" s="825"/>
      <c r="X589" s="825"/>
      <c r="Y589" s="825"/>
      <c r="Z589" s="825"/>
      <c r="AA589" s="825"/>
      <c r="AB589" s="825"/>
      <c r="AC589" s="435"/>
      <c r="AD589" s="435"/>
      <c r="AE589" s="435"/>
      <c r="AF589" s="435"/>
      <c r="AG589" s="435"/>
      <c r="AH589" s="435"/>
      <c r="AI589" s="435"/>
      <c r="AJ589" s="435"/>
      <c r="AK589" s="435"/>
      <c r="AL589" s="435"/>
      <c r="AN589" s="496"/>
      <c r="AO589" s="510" t="s">
        <v>49</v>
      </c>
      <c r="AP589" s="449">
        <v>5</v>
      </c>
    </row>
    <row r="590" spans="1:42" s="449" customFormat="1" ht="12.75" customHeight="1">
      <c r="B590" s="509"/>
      <c r="C590" s="824"/>
      <c r="D590" s="562"/>
      <c r="E590" s="827"/>
      <c r="F590" s="828"/>
      <c r="G590" s="828"/>
      <c r="H590" s="828"/>
      <c r="I590" s="515"/>
      <c r="J590" s="515"/>
      <c r="K590" s="515"/>
      <c r="L590" s="515"/>
      <c r="M590" s="515"/>
      <c r="N590" s="515"/>
      <c r="O590" s="515"/>
      <c r="P590" s="515"/>
      <c r="Q590" s="515"/>
      <c r="R590" s="515"/>
      <c r="S590" s="515"/>
      <c r="T590" s="515"/>
      <c r="U590" s="515"/>
      <c r="V590" s="515"/>
      <c r="W590" s="515"/>
      <c r="X590" s="515"/>
      <c r="Y590" s="515"/>
      <c r="Z590" s="515"/>
      <c r="AA590" s="515"/>
      <c r="AB590" s="515"/>
      <c r="AC590" s="435"/>
      <c r="AD590" s="435"/>
      <c r="AE590" s="515"/>
      <c r="AF590" s="435"/>
      <c r="AG590" s="435"/>
      <c r="AH590" s="435"/>
      <c r="AI590" s="435"/>
      <c r="AJ590" s="435"/>
      <c r="AK590" s="435"/>
      <c r="AL590" s="435"/>
      <c r="AN590" s="496"/>
      <c r="AO590" s="510" t="s">
        <v>2462</v>
      </c>
      <c r="AP590" s="449">
        <v>4</v>
      </c>
    </row>
    <row r="591" spans="1:42" s="449" customFormat="1" ht="12.75" customHeight="1">
      <c r="B591" s="435"/>
      <c r="C591" s="824"/>
      <c r="D591" s="562" t="s">
        <v>49</v>
      </c>
      <c r="E591" s="737" t="s">
        <v>2463</v>
      </c>
      <c r="F591" s="825"/>
      <c r="G591" s="825"/>
      <c r="H591" s="825"/>
      <c r="I591" s="825"/>
      <c r="J591" s="825"/>
      <c r="K591" s="825"/>
      <c r="L591" s="825"/>
      <c r="M591" s="825"/>
      <c r="N591" s="825"/>
      <c r="O591" s="825"/>
      <c r="P591" s="825"/>
      <c r="Q591" s="825"/>
      <c r="R591" s="825"/>
      <c r="S591" s="825"/>
      <c r="T591" s="825"/>
      <c r="U591" s="825"/>
      <c r="V591" s="825"/>
      <c r="W591" s="825"/>
      <c r="X591" s="825"/>
      <c r="Y591" s="825"/>
      <c r="Z591" s="825"/>
      <c r="AA591" s="825"/>
      <c r="AB591" s="825"/>
      <c r="AC591" s="435"/>
      <c r="AD591" s="435"/>
      <c r="AE591" s="435"/>
      <c r="AF591" s="2449" t="s">
        <v>2464</v>
      </c>
      <c r="AG591" s="2449"/>
      <c r="AH591" s="2449"/>
      <c r="AI591" s="2449"/>
      <c r="AJ591" s="2449"/>
      <c r="AK591" s="2449"/>
      <c r="AL591" s="2449"/>
      <c r="AN591" s="496"/>
      <c r="AO591" s="510" t="s">
        <v>2465</v>
      </c>
      <c r="AP591" s="449">
        <v>3</v>
      </c>
    </row>
    <row r="592" spans="1:42" s="449" customFormat="1" ht="12.75" customHeight="1">
      <c r="B592" s="435"/>
      <c r="C592" s="826"/>
      <c r="D592" s="562"/>
      <c r="E592" s="737" t="s">
        <v>2458</v>
      </c>
      <c r="F592" s="825"/>
      <c r="G592" s="825"/>
      <c r="H592" s="825"/>
      <c r="I592" s="825"/>
      <c r="J592" s="825"/>
      <c r="K592" s="825"/>
      <c r="L592" s="825"/>
      <c r="M592" s="825"/>
      <c r="N592" s="825"/>
      <c r="O592" s="825"/>
      <c r="P592" s="825"/>
      <c r="Q592" s="825"/>
      <c r="R592" s="825"/>
      <c r="S592" s="825"/>
      <c r="T592" s="825"/>
      <c r="U592" s="825"/>
      <c r="V592" s="825"/>
      <c r="W592" s="825"/>
      <c r="X592" s="825"/>
      <c r="Y592" s="825"/>
      <c r="Z592" s="825"/>
      <c r="AA592" s="825"/>
      <c r="AB592" s="825"/>
      <c r="AC592" s="435"/>
      <c r="AD592" s="435"/>
      <c r="AE592" s="435"/>
      <c r="AF592" s="435"/>
      <c r="AG592" s="435"/>
      <c r="AH592" s="435"/>
      <c r="AI592" s="435"/>
      <c r="AJ592" s="435"/>
      <c r="AK592" s="435"/>
      <c r="AL592" s="435"/>
      <c r="AN592" s="496"/>
    </row>
    <row r="593" spans="1:53" s="449" customFormat="1" ht="12.75" customHeight="1">
      <c r="B593" s="435"/>
      <c r="C593" s="826"/>
      <c r="D593" s="562"/>
      <c r="E593" s="737" t="s">
        <v>2459</v>
      </c>
      <c r="F593" s="825"/>
      <c r="G593" s="825"/>
      <c r="H593" s="825"/>
      <c r="I593" s="825"/>
      <c r="J593" s="825"/>
      <c r="K593" s="825"/>
      <c r="L593" s="825"/>
      <c r="M593" s="825"/>
      <c r="N593" s="825"/>
      <c r="O593" s="825"/>
      <c r="P593" s="825"/>
      <c r="Q593" s="825"/>
      <c r="R593" s="825"/>
      <c r="S593" s="825"/>
      <c r="T593" s="825"/>
      <c r="U593" s="825"/>
      <c r="V593" s="825"/>
      <c r="W593" s="825"/>
      <c r="X593" s="825"/>
      <c r="Y593" s="825"/>
      <c r="Z593" s="825"/>
      <c r="AA593" s="825"/>
      <c r="AB593" s="825"/>
      <c r="AC593" s="435"/>
      <c r="AD593" s="435"/>
      <c r="AE593" s="435"/>
      <c r="AF593" s="435"/>
      <c r="AG593" s="435"/>
      <c r="AH593" s="435"/>
      <c r="AI593" s="435"/>
      <c r="AJ593" s="435"/>
      <c r="AK593" s="435"/>
      <c r="AL593" s="435"/>
      <c r="AN593" s="496"/>
      <c r="AO593" s="19" t="s">
        <v>2466</v>
      </c>
    </row>
    <row r="594" spans="1:53" s="449" customFormat="1" ht="12.75" customHeight="1">
      <c r="B594" s="435"/>
      <c r="C594" s="826"/>
      <c r="D594" s="562"/>
      <c r="E594" s="737" t="s">
        <v>2460</v>
      </c>
      <c r="F594" s="825"/>
      <c r="G594" s="825"/>
      <c r="H594" s="825"/>
      <c r="I594" s="825"/>
      <c r="J594" s="825"/>
      <c r="K594" s="825"/>
      <c r="L594" s="825"/>
      <c r="M594" s="825"/>
      <c r="N594" s="825"/>
      <c r="O594" s="825"/>
      <c r="P594" s="825"/>
      <c r="Q594" s="825"/>
      <c r="R594" s="825"/>
      <c r="S594" s="825"/>
      <c r="T594" s="825"/>
      <c r="U594" s="825"/>
      <c r="V594" s="825"/>
      <c r="W594" s="825"/>
      <c r="X594" s="825"/>
      <c r="Y594" s="825"/>
      <c r="Z594" s="825"/>
      <c r="AA594" s="825"/>
      <c r="AB594" s="825"/>
      <c r="AC594" s="435"/>
      <c r="AD594" s="435"/>
      <c r="AE594" s="435"/>
      <c r="AF594" s="435"/>
      <c r="AG594" s="435"/>
      <c r="AH594" s="435"/>
      <c r="AI594" s="435"/>
      <c r="AJ594" s="435"/>
      <c r="AK594" s="435"/>
      <c r="AL594" s="435"/>
      <c r="AN594" s="496"/>
      <c r="AO594" s="19" t="s">
        <v>2467</v>
      </c>
    </row>
    <row r="595" spans="1:53" s="449" customFormat="1" ht="12.75" customHeight="1">
      <c r="B595" s="435"/>
      <c r="C595" s="826"/>
      <c r="D595" s="562"/>
      <c r="E595" s="737" t="s">
        <v>2461</v>
      </c>
      <c r="F595" s="825"/>
      <c r="G595" s="825"/>
      <c r="H595" s="825"/>
      <c r="I595" s="825"/>
      <c r="J595" s="825"/>
      <c r="K595" s="825"/>
      <c r="L595" s="825"/>
      <c r="M595" s="825"/>
      <c r="N595" s="825"/>
      <c r="O595" s="825"/>
      <c r="P595" s="825"/>
      <c r="Q595" s="825"/>
      <c r="R595" s="825"/>
      <c r="S595" s="825"/>
      <c r="T595" s="825"/>
      <c r="U595" s="825"/>
      <c r="V595" s="825"/>
      <c r="W595" s="825"/>
      <c r="X595" s="825"/>
      <c r="Y595" s="825"/>
      <c r="Z595" s="825"/>
      <c r="AA595" s="825"/>
      <c r="AB595" s="825"/>
      <c r="AC595" s="435"/>
      <c r="AD595" s="435"/>
      <c r="AE595" s="435"/>
      <c r="AF595" s="435"/>
      <c r="AG595" s="435"/>
      <c r="AH595" s="435"/>
      <c r="AI595" s="435"/>
      <c r="AJ595" s="435"/>
      <c r="AK595" s="435"/>
      <c r="AL595" s="435"/>
      <c r="AN595" s="496"/>
      <c r="AO595" s="19" t="s">
        <v>2468</v>
      </c>
    </row>
    <row r="596" spans="1:53" s="449" customFormat="1" ht="12.75" customHeight="1">
      <c r="A596" s="13"/>
      <c r="B596" s="13"/>
      <c r="C596" s="13"/>
      <c r="D596" s="562"/>
      <c r="E596" s="57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5"/>
      <c r="AD596" s="435"/>
      <c r="AE596" s="13"/>
      <c r="AF596" s="435"/>
      <c r="AG596" s="435"/>
      <c r="AH596" s="435"/>
      <c r="AI596" s="435"/>
      <c r="AJ596" s="435"/>
      <c r="AK596" s="435"/>
      <c r="AL596" s="435"/>
      <c r="AM596" s="13"/>
      <c r="AN596" s="496"/>
    </row>
    <row r="597" spans="1:53" s="449" customFormat="1" ht="12.75" customHeight="1">
      <c r="B597" s="435"/>
      <c r="C597" s="824"/>
      <c r="D597" s="562" t="s">
        <v>2462</v>
      </c>
      <c r="E597" s="737" t="s">
        <v>2469</v>
      </c>
      <c r="F597" s="825"/>
      <c r="G597" s="825"/>
      <c r="H597" s="825"/>
      <c r="I597" s="825"/>
      <c r="J597" s="825"/>
      <c r="K597" s="825"/>
      <c r="L597" s="825"/>
      <c r="M597" s="825"/>
      <c r="N597" s="825"/>
      <c r="O597" s="825"/>
      <c r="P597" s="825"/>
      <c r="Q597" s="825"/>
      <c r="R597" s="825"/>
      <c r="S597" s="825"/>
      <c r="T597" s="825"/>
      <c r="U597" s="825"/>
      <c r="V597" s="825"/>
      <c r="W597" s="825"/>
      <c r="X597" s="825"/>
      <c r="Y597" s="825"/>
      <c r="Z597" s="825"/>
      <c r="AA597" s="825"/>
      <c r="AB597" s="825"/>
      <c r="AC597" s="435"/>
      <c r="AD597" s="435"/>
      <c r="AE597" s="435"/>
      <c r="AF597" s="2449" t="s">
        <v>2470</v>
      </c>
      <c r="AG597" s="2449"/>
      <c r="AH597" s="2449"/>
      <c r="AI597" s="2449"/>
      <c r="AJ597" s="2449"/>
      <c r="AK597" s="2449"/>
      <c r="AL597" s="2449"/>
      <c r="AN597" s="496"/>
      <c r="AO597" s="449" t="str">
        <f>X634</f>
        <v>N/A</v>
      </c>
    </row>
    <row r="598" spans="1:53" s="449" customFormat="1" ht="12.75" customHeight="1">
      <c r="B598" s="435"/>
      <c r="C598" s="826"/>
      <c r="D598" s="562"/>
      <c r="E598" s="737" t="s">
        <v>2471</v>
      </c>
      <c r="F598" s="825"/>
      <c r="G598" s="825"/>
      <c r="H598" s="825"/>
      <c r="I598" s="825"/>
      <c r="J598" s="825"/>
      <c r="K598" s="825"/>
      <c r="L598" s="825"/>
      <c r="M598" s="825"/>
      <c r="N598" s="825"/>
      <c r="O598" s="825"/>
      <c r="P598" s="825"/>
      <c r="Q598" s="825"/>
      <c r="R598" s="825"/>
      <c r="S598" s="825"/>
      <c r="T598" s="825"/>
      <c r="U598" s="825"/>
      <c r="V598" s="825"/>
      <c r="W598" s="825"/>
      <c r="X598" s="825"/>
      <c r="Y598" s="825"/>
      <c r="Z598" s="825"/>
      <c r="AA598" s="825"/>
      <c r="AB598" s="825"/>
      <c r="AC598" s="13"/>
      <c r="AD598" s="13"/>
      <c r="AE598" s="435"/>
      <c r="AF598" s="435"/>
      <c r="AG598" s="435"/>
      <c r="AH598" s="435"/>
      <c r="AI598" s="435"/>
      <c r="AJ598" s="435"/>
      <c r="AK598" s="435"/>
      <c r="AL598" s="435"/>
      <c r="AN598" s="496"/>
      <c r="AU598" s="493"/>
      <c r="AV598" s="493"/>
      <c r="AW598" s="493"/>
      <c r="AX598" s="493"/>
      <c r="AY598" s="493"/>
      <c r="AZ598" s="493"/>
      <c r="BA598" s="493"/>
    </row>
    <row r="599" spans="1:53" s="449" customFormat="1" ht="12.75" customHeight="1">
      <c r="B599" s="509"/>
      <c r="C599" s="824"/>
      <c r="D599" s="562"/>
      <c r="E599" s="737" t="s">
        <v>2472</v>
      </c>
      <c r="F599" s="825"/>
      <c r="G599" s="825"/>
      <c r="H599" s="825"/>
      <c r="I599" s="825"/>
      <c r="J599" s="825"/>
      <c r="K599" s="825"/>
      <c r="L599" s="825"/>
      <c r="M599" s="825"/>
      <c r="N599" s="825"/>
      <c r="O599" s="825"/>
      <c r="P599" s="825"/>
      <c r="Q599" s="825"/>
      <c r="R599" s="825"/>
      <c r="S599" s="825"/>
      <c r="T599" s="825"/>
      <c r="U599" s="825"/>
      <c r="V599" s="825"/>
      <c r="W599" s="825"/>
      <c r="X599" s="825"/>
      <c r="Y599" s="825"/>
      <c r="Z599" s="825"/>
      <c r="AA599" s="825"/>
      <c r="AB599" s="825"/>
      <c r="AC599" s="435"/>
      <c r="AD599" s="435"/>
      <c r="AE599" s="435"/>
      <c r="AF599" s="435"/>
      <c r="AG599" s="435"/>
      <c r="AH599" s="435"/>
      <c r="AI599" s="435"/>
      <c r="AJ599" s="435"/>
      <c r="AK599" s="435"/>
      <c r="AL599" s="435"/>
      <c r="AN599" s="496"/>
      <c r="AO599" s="19" t="s">
        <v>2473</v>
      </c>
    </row>
    <row r="600" spans="1:53" s="449" customFormat="1" ht="12.75" customHeight="1">
      <c r="B600" s="509"/>
      <c r="C600" s="824"/>
      <c r="D600" s="562"/>
      <c r="E600" s="737"/>
      <c r="F600" s="825"/>
      <c r="G600" s="825"/>
      <c r="H600" s="825"/>
      <c r="I600" s="825"/>
      <c r="J600" s="825"/>
      <c r="K600" s="825"/>
      <c r="L600" s="825"/>
      <c r="M600" s="825"/>
      <c r="N600" s="825"/>
      <c r="O600" s="825"/>
      <c r="P600" s="825"/>
      <c r="Q600" s="825"/>
      <c r="R600" s="825"/>
      <c r="S600" s="825"/>
      <c r="T600" s="825"/>
      <c r="U600" s="825"/>
      <c r="V600" s="825"/>
      <c r="W600" s="825"/>
      <c r="X600" s="825"/>
      <c r="Y600" s="825"/>
      <c r="Z600" s="825"/>
      <c r="AA600" s="825"/>
      <c r="AB600" s="825"/>
      <c r="AC600" s="435"/>
      <c r="AD600" s="435"/>
      <c r="AE600" s="435"/>
      <c r="AF600" s="435"/>
      <c r="AG600" s="435"/>
      <c r="AH600" s="435"/>
      <c r="AI600" s="435"/>
      <c r="AJ600" s="435"/>
      <c r="AK600" s="435"/>
      <c r="AL600" s="435"/>
      <c r="AN600" s="496"/>
      <c r="AO600" s="19" t="s">
        <v>2474</v>
      </c>
    </row>
    <row r="601" spans="1:53" s="449" customFormat="1" ht="12.75" customHeight="1">
      <c r="B601" s="509"/>
      <c r="C601" s="824"/>
      <c r="D601" s="562"/>
      <c r="E601" s="435" t="s">
        <v>2475</v>
      </c>
      <c r="O601" s="2465" t="s">
        <v>998</v>
      </c>
      <c r="P601" s="2465"/>
      <c r="Q601" s="2465"/>
      <c r="R601" s="2465"/>
      <c r="S601" s="2465"/>
      <c r="T601" s="2465"/>
      <c r="U601" s="2465"/>
      <c r="V601" s="2465"/>
      <c r="W601" s="2465"/>
      <c r="X601" s="2465"/>
      <c r="Y601" s="2465"/>
      <c r="Z601" s="2465"/>
      <c r="AA601" s="2465"/>
      <c r="AB601" s="2465"/>
      <c r="AH601" s="435"/>
      <c r="AI601" s="435"/>
      <c r="AJ601" s="435"/>
      <c r="AK601" s="435"/>
      <c r="AL601" s="435"/>
      <c r="AN601" s="496"/>
    </row>
    <row r="602" spans="1:53" s="449" customFormat="1" ht="12.75" customHeight="1">
      <c r="B602" s="509"/>
      <c r="C602" s="824"/>
      <c r="D602" s="562"/>
      <c r="E602" s="737"/>
      <c r="F602" s="825"/>
      <c r="G602" s="825"/>
      <c r="H602" s="825"/>
      <c r="I602" s="825"/>
      <c r="J602" s="825"/>
      <c r="K602" s="825"/>
      <c r="L602" s="825"/>
      <c r="M602" s="825"/>
      <c r="N602" s="825"/>
      <c r="O602" s="825"/>
      <c r="P602" s="825"/>
      <c r="Q602" s="825"/>
      <c r="R602" s="825"/>
      <c r="S602" s="825"/>
      <c r="T602" s="825"/>
      <c r="U602" s="825"/>
      <c r="V602" s="825"/>
      <c r="W602" s="825"/>
      <c r="X602" s="825"/>
      <c r="Y602" s="825"/>
      <c r="Z602" s="825"/>
      <c r="AA602" s="825"/>
      <c r="AB602" s="825"/>
      <c r="AC602" s="435"/>
      <c r="AD602" s="435"/>
      <c r="AE602" s="435"/>
      <c r="AF602" s="435"/>
      <c r="AG602" s="435"/>
      <c r="AH602" s="435"/>
      <c r="AI602" s="435"/>
      <c r="AJ602" s="435"/>
      <c r="AK602" s="435"/>
      <c r="AL602" s="435"/>
      <c r="AN602" s="496"/>
    </row>
    <row r="603" spans="1:53" s="449" customFormat="1" ht="12.75" customHeight="1">
      <c r="B603" s="435"/>
      <c r="C603" s="824"/>
      <c r="D603" s="562" t="s">
        <v>2465</v>
      </c>
      <c r="E603" s="737" t="s">
        <v>2476</v>
      </c>
      <c r="F603" s="825"/>
      <c r="G603" s="825"/>
      <c r="H603" s="825"/>
      <c r="I603" s="825"/>
      <c r="J603" s="825"/>
      <c r="K603" s="825"/>
      <c r="L603" s="825"/>
      <c r="M603" s="825"/>
      <c r="N603" s="825"/>
      <c r="O603" s="825"/>
      <c r="P603" s="825"/>
      <c r="Q603" s="825"/>
      <c r="R603" s="825"/>
      <c r="S603" s="825"/>
      <c r="T603" s="825"/>
      <c r="U603" s="825"/>
      <c r="V603" s="825"/>
      <c r="W603" s="825"/>
      <c r="X603" s="825"/>
      <c r="Y603" s="825"/>
      <c r="Z603" s="825"/>
      <c r="AA603" s="825"/>
      <c r="AB603" s="825"/>
      <c r="AC603" s="435"/>
      <c r="AD603" s="435"/>
      <c r="AE603" s="435"/>
      <c r="AF603" s="2449" t="s">
        <v>2205</v>
      </c>
      <c r="AG603" s="2449"/>
      <c r="AH603" s="2449"/>
      <c r="AI603" s="2449"/>
      <c r="AJ603" s="2449"/>
      <c r="AK603" s="2449"/>
      <c r="AL603" s="2449"/>
      <c r="AN603" s="496"/>
    </row>
    <row r="604" spans="1:53" s="449" customFormat="1" ht="12.75" customHeight="1">
      <c r="B604" s="435"/>
      <c r="C604" s="824"/>
      <c r="D604" s="562"/>
      <c r="E604" s="737" t="s">
        <v>2477</v>
      </c>
      <c r="F604" s="825"/>
      <c r="G604" s="825"/>
      <c r="H604" s="825"/>
      <c r="I604" s="825"/>
      <c r="J604" s="825"/>
      <c r="K604" s="825"/>
      <c r="L604" s="825"/>
      <c r="M604" s="825"/>
      <c r="N604" s="825"/>
      <c r="O604" s="825"/>
      <c r="P604" s="825"/>
      <c r="Q604" s="825"/>
      <c r="R604" s="825"/>
      <c r="S604" s="825"/>
      <c r="T604" s="825"/>
      <c r="U604" s="825"/>
      <c r="V604" s="825"/>
      <c r="W604" s="825"/>
      <c r="X604" s="825"/>
      <c r="Y604" s="825"/>
      <c r="Z604" s="825"/>
      <c r="AA604" s="825"/>
      <c r="AB604" s="825"/>
      <c r="AC604" s="435"/>
      <c r="AD604" s="435"/>
      <c r="AE604" s="493"/>
      <c r="AF604" s="435"/>
      <c r="AG604" s="435"/>
      <c r="AH604" s="435"/>
      <c r="AI604" s="435"/>
      <c r="AJ604" s="435"/>
      <c r="AK604" s="435"/>
      <c r="AL604" s="435"/>
      <c r="AN604" s="496"/>
    </row>
    <row r="605" spans="1:53" s="449" customFormat="1" ht="12.75" customHeight="1">
      <c r="B605" s="435"/>
      <c r="C605" s="826"/>
      <c r="D605" s="435"/>
      <c r="E605" s="515"/>
      <c r="F605" s="829"/>
      <c r="G605" s="829"/>
      <c r="H605" s="829"/>
      <c r="I605" s="829"/>
      <c r="J605" s="829"/>
      <c r="K605" s="829"/>
      <c r="L605" s="829"/>
      <c r="M605" s="829"/>
      <c r="N605" s="829"/>
      <c r="O605" s="829"/>
      <c r="P605" s="829"/>
      <c r="Q605" s="829"/>
      <c r="R605" s="829"/>
      <c r="S605" s="829"/>
      <c r="T605" s="829"/>
      <c r="U605" s="829"/>
      <c r="V605" s="829"/>
      <c r="W605" s="829"/>
      <c r="X605" s="829"/>
      <c r="Y605" s="829"/>
      <c r="Z605" s="829"/>
      <c r="AA605" s="829"/>
      <c r="AB605" s="829"/>
      <c r="AC605" s="435"/>
      <c r="AD605" s="435"/>
      <c r="AE605" s="435"/>
      <c r="AF605" s="435"/>
      <c r="AG605" s="435"/>
      <c r="AH605" s="435"/>
      <c r="AI605" s="435"/>
      <c r="AJ605" s="435"/>
      <c r="AK605" s="435"/>
      <c r="AL605" s="435"/>
      <c r="AN605" s="496"/>
      <c r="AO605" s="449" t="s">
        <v>807</v>
      </c>
      <c r="AP605" s="572">
        <v>0</v>
      </c>
      <c r="AT605" s="449" t="s">
        <v>807</v>
      </c>
      <c r="AU605" s="572">
        <v>0</v>
      </c>
    </row>
    <row r="606" spans="1:53" s="449" customFormat="1" ht="12.75" customHeight="1">
      <c r="B606" s="435"/>
      <c r="C606" s="826"/>
      <c r="D606" s="435" t="s">
        <v>2478</v>
      </c>
      <c r="E606" s="829"/>
      <c r="F606" s="829"/>
      <c r="G606" s="829"/>
      <c r="H606" s="2373" t="s">
        <v>49</v>
      </c>
      <c r="I606" s="2373"/>
      <c r="J606" s="829"/>
      <c r="K606" s="829"/>
      <c r="L606" s="829"/>
      <c r="N606" s="19"/>
      <c r="O606" s="19"/>
      <c r="P606" s="19"/>
      <c r="Q606" s="1039" t="s">
        <v>2479</v>
      </c>
      <c r="R606" s="2466"/>
      <c r="S606" s="2466"/>
      <c r="T606" s="2466"/>
      <c r="U606" s="2466"/>
      <c r="V606" s="2466"/>
      <c r="W606" s="2466"/>
      <c r="X606" s="435"/>
      <c r="Y606" s="435"/>
      <c r="Z606" s="435"/>
      <c r="AA606" s="435"/>
      <c r="AB606" s="435"/>
      <c r="AC606" s="435"/>
      <c r="AD606" s="435"/>
      <c r="AE606" s="435"/>
      <c r="AF606" s="435"/>
      <c r="AG606" s="435"/>
      <c r="AH606" s="435"/>
      <c r="AI606" s="435"/>
      <c r="AJ606" s="435"/>
      <c r="AK606" s="435"/>
      <c r="AL606" s="435"/>
      <c r="AN606" s="496"/>
      <c r="AO606" s="510" t="s">
        <v>22</v>
      </c>
      <c r="AP606" s="449">
        <v>3</v>
      </c>
      <c r="AT606" s="510" t="s">
        <v>22</v>
      </c>
      <c r="AU606" s="449">
        <v>3</v>
      </c>
    </row>
    <row r="607" spans="1:53" s="449" customFormat="1" ht="12.75" customHeight="1">
      <c r="B607" s="435"/>
      <c r="C607" s="826"/>
      <c r="D607" s="435"/>
      <c r="E607" s="829"/>
      <c r="F607" s="829"/>
      <c r="G607" s="829"/>
      <c r="H607" s="829"/>
      <c r="I607" s="829"/>
      <c r="J607" s="829"/>
      <c r="K607" s="829"/>
      <c r="L607" s="829"/>
      <c r="M607" s="829"/>
      <c r="N607" s="435"/>
      <c r="O607" s="435"/>
      <c r="P607" s="435"/>
      <c r="Q607" s="435"/>
      <c r="R607" s="435"/>
      <c r="S607" s="435"/>
      <c r="T607" s="435"/>
      <c r="U607" s="435"/>
      <c r="V607" s="435"/>
      <c r="W607" s="435"/>
      <c r="X607" s="435"/>
      <c r="Y607" s="2467" t="str">
        <f>IF(AND(H606="(i)",NOT(AP582)),AO599,IF(AND(H606="(iv)",OR(R606=AO595,R606=AO594),NOT(AP583)),AO600,""))</f>
        <v/>
      </c>
      <c r="Z607" s="2467"/>
      <c r="AA607" s="2467"/>
      <c r="AB607" s="2467"/>
      <c r="AC607" s="2467"/>
      <c r="AD607" s="2467"/>
      <c r="AE607" s="2467"/>
      <c r="AF607" s="2467"/>
      <c r="AG607" s="2467"/>
      <c r="AH607" s="2467"/>
      <c r="AI607" s="2467"/>
      <c r="AJ607" s="2467"/>
      <c r="AK607" s="2467"/>
      <c r="AL607" s="2467"/>
      <c r="AM607" s="2468"/>
      <c r="AN607" s="496"/>
      <c r="AO607" s="510" t="s">
        <v>27</v>
      </c>
      <c r="AP607" s="449">
        <v>2</v>
      </c>
      <c r="AT607" s="510" t="s">
        <v>27</v>
      </c>
      <c r="AU607" s="449">
        <v>2</v>
      </c>
    </row>
    <row r="608" spans="1:53" s="449" customFormat="1" ht="12.75" customHeight="1">
      <c r="B608" s="435"/>
      <c r="C608" s="826"/>
      <c r="D608" s="435"/>
      <c r="E608" s="829"/>
      <c r="F608" s="829"/>
      <c r="G608" s="829"/>
      <c r="H608" s="829"/>
      <c r="I608" s="829"/>
      <c r="J608" s="829"/>
      <c r="K608" s="829"/>
      <c r="L608" s="829"/>
      <c r="M608" s="829"/>
      <c r="N608" s="435"/>
      <c r="O608" s="435"/>
      <c r="P608" s="435"/>
      <c r="Q608" s="435"/>
      <c r="X608" s="435"/>
      <c r="Y608" s="2467"/>
      <c r="Z608" s="2467"/>
      <c r="AA608" s="2467"/>
      <c r="AB608" s="2467"/>
      <c r="AC608" s="2467"/>
      <c r="AD608" s="2467"/>
      <c r="AE608" s="2467"/>
      <c r="AF608" s="2467"/>
      <c r="AG608" s="2467"/>
      <c r="AH608" s="2467"/>
      <c r="AI608" s="2467"/>
      <c r="AJ608" s="2467"/>
      <c r="AK608" s="2467"/>
      <c r="AL608" s="2467"/>
      <c r="AM608" s="2468"/>
      <c r="AN608" s="496"/>
      <c r="AO608" s="510"/>
      <c r="AT608" s="510"/>
    </row>
    <row r="609" spans="1:42" s="449" customFormat="1" ht="12.75" customHeight="1">
      <c r="B609" s="435"/>
      <c r="C609" s="826"/>
      <c r="D609" s="435" t="s">
        <v>2480</v>
      </c>
      <c r="E609" s="829"/>
      <c r="F609" s="829"/>
      <c r="G609" s="829"/>
      <c r="H609" s="829"/>
      <c r="I609" s="829"/>
      <c r="J609" s="829"/>
      <c r="K609" s="829"/>
      <c r="L609" s="829"/>
      <c r="M609" s="829"/>
      <c r="N609" s="435"/>
      <c r="O609" s="435"/>
      <c r="P609" s="435"/>
      <c r="Q609" s="435"/>
      <c r="R609" s="435"/>
      <c r="S609" s="435"/>
      <c r="T609" s="435"/>
      <c r="U609" s="435"/>
      <c r="V609" s="435"/>
      <c r="W609" s="435"/>
      <c r="X609" s="435"/>
      <c r="Y609" s="435"/>
      <c r="Z609" s="435"/>
      <c r="AA609" s="435"/>
      <c r="AB609" s="435"/>
      <c r="AC609" s="435"/>
      <c r="AD609" s="435"/>
      <c r="AE609" s="435"/>
      <c r="AF609" s="435"/>
      <c r="AG609" s="435"/>
      <c r="AH609" s="435"/>
      <c r="AI609" s="435"/>
      <c r="AJ609" s="435"/>
      <c r="AK609" s="435"/>
      <c r="AL609" s="435"/>
      <c r="AN609" s="496"/>
    </row>
    <row r="610" spans="1:42" s="449" customFormat="1" ht="12.75" customHeight="1">
      <c r="B610" s="435"/>
      <c r="C610" s="826"/>
      <c r="D610" s="435" t="s">
        <v>2481</v>
      </c>
      <c r="E610" s="829"/>
      <c r="F610" s="829"/>
      <c r="G610" s="829"/>
      <c r="H610" s="829"/>
      <c r="I610" s="829"/>
      <c r="J610" s="829"/>
      <c r="K610" s="829"/>
      <c r="L610" s="829"/>
      <c r="M610" s="829"/>
      <c r="N610" s="435"/>
      <c r="O610" s="435"/>
      <c r="P610" s="435"/>
      <c r="Q610" s="435"/>
      <c r="R610" s="435"/>
      <c r="S610" s="435"/>
      <c r="T610" s="435"/>
      <c r="U610" s="435"/>
      <c r="V610" s="435"/>
      <c r="W610" s="435"/>
      <c r="X610" s="435"/>
      <c r="Y610" s="435"/>
      <c r="Z610" s="435"/>
      <c r="AA610" s="435"/>
      <c r="AB610" s="435"/>
      <c r="AC610" s="435"/>
      <c r="AD610" s="435"/>
      <c r="AE610" s="435"/>
      <c r="AF610" s="435"/>
      <c r="AG610" s="435"/>
      <c r="AH610" s="435"/>
      <c r="AI610" s="435"/>
      <c r="AJ610" s="435"/>
      <c r="AK610" s="435"/>
      <c r="AL610" s="435"/>
      <c r="AN610" s="496"/>
    </row>
    <row r="611" spans="1:42" s="449" customFormat="1" ht="12.75" customHeight="1">
      <c r="B611" s="435"/>
      <c r="C611" s="826"/>
      <c r="D611" s="435" t="s">
        <v>2482</v>
      </c>
      <c r="E611" s="829"/>
      <c r="F611" s="829"/>
      <c r="G611" s="829"/>
      <c r="H611" s="829"/>
      <c r="I611" s="829"/>
      <c r="J611" s="829"/>
      <c r="K611" s="829"/>
      <c r="L611" s="829"/>
      <c r="M611" s="829"/>
      <c r="N611" s="435"/>
      <c r="O611" s="435"/>
      <c r="P611" s="435"/>
      <c r="Q611" s="435"/>
      <c r="R611" s="435"/>
      <c r="S611" s="435"/>
      <c r="T611" s="435"/>
      <c r="U611" s="435"/>
      <c r="V611" s="435"/>
      <c r="W611" s="435"/>
      <c r="X611" s="435"/>
      <c r="Y611" s="435"/>
      <c r="Z611" s="435"/>
      <c r="AA611" s="435"/>
      <c r="AB611" s="435"/>
      <c r="AC611" s="435"/>
      <c r="AD611" s="435"/>
      <c r="AE611" s="435"/>
      <c r="AF611" s="435"/>
      <c r="AG611" s="435"/>
      <c r="AH611" s="435"/>
      <c r="AI611" s="435"/>
      <c r="AJ611" s="435"/>
      <c r="AK611" s="435"/>
      <c r="AL611" s="435"/>
      <c r="AN611" s="496"/>
    </row>
    <row r="612" spans="1:42" s="449" customFormat="1" ht="12.75" customHeight="1">
      <c r="B612" s="435"/>
      <c r="C612" s="826"/>
      <c r="D612" s="504" t="s">
        <v>2483</v>
      </c>
      <c r="E612" s="829"/>
      <c r="F612" s="829"/>
      <c r="G612" s="829"/>
      <c r="H612" s="829"/>
      <c r="I612" s="829"/>
      <c r="J612" s="829"/>
      <c r="K612" s="829"/>
      <c r="L612" s="829"/>
      <c r="M612" s="829"/>
      <c r="N612" s="435"/>
      <c r="O612" s="435"/>
      <c r="P612" s="435"/>
      <c r="Q612" s="435"/>
      <c r="R612" s="435"/>
      <c r="S612" s="435"/>
      <c r="T612" s="435"/>
      <c r="U612" s="435"/>
      <c r="V612" s="435"/>
      <c r="W612" s="435"/>
      <c r="X612" s="435"/>
      <c r="Y612" s="435"/>
      <c r="Z612" s="435"/>
      <c r="AA612" s="435"/>
      <c r="AB612" s="435"/>
      <c r="AC612" s="435"/>
      <c r="AD612" s="435"/>
      <c r="AE612" s="435"/>
      <c r="AF612" s="435"/>
      <c r="AG612" s="435"/>
      <c r="AH612" s="435"/>
      <c r="AI612" s="435"/>
      <c r="AJ612" s="435"/>
      <c r="AK612" s="435"/>
      <c r="AL612" s="435"/>
      <c r="AN612" s="496"/>
    </row>
    <row r="613" spans="1:42" s="449" customFormat="1" ht="12.75" customHeight="1">
      <c r="B613" s="435"/>
      <c r="C613" s="826"/>
      <c r="D613" s="435"/>
      <c r="E613" s="435"/>
      <c r="F613" s="435"/>
      <c r="G613" s="435"/>
      <c r="H613" s="435"/>
      <c r="I613" s="435"/>
      <c r="J613" s="435"/>
      <c r="K613" s="435"/>
      <c r="L613" s="435"/>
      <c r="M613" s="435"/>
      <c r="N613" s="435"/>
      <c r="O613" s="435"/>
      <c r="P613" s="435"/>
      <c r="Q613" s="435"/>
      <c r="R613" s="435"/>
      <c r="S613" s="435"/>
      <c r="T613" s="435"/>
      <c r="U613" s="435"/>
      <c r="V613" s="435"/>
      <c r="W613" s="435"/>
      <c r="X613" s="435"/>
      <c r="Y613" s="435"/>
      <c r="Z613" s="435"/>
      <c r="AA613" s="435"/>
      <c r="AB613" s="435"/>
      <c r="AC613" s="435"/>
      <c r="AD613" s="435"/>
      <c r="AE613" s="435"/>
      <c r="AF613" s="435"/>
      <c r="AG613" s="435"/>
      <c r="AH613" s="435"/>
      <c r="AI613" s="435"/>
      <c r="AJ613" s="435"/>
      <c r="AK613" s="435"/>
      <c r="AL613" s="435"/>
      <c r="AN613" s="496"/>
      <c r="AO613" s="449" t="s">
        <v>807</v>
      </c>
      <c r="AP613" s="572">
        <v>0</v>
      </c>
    </row>
    <row r="614" spans="1:42" s="449" customFormat="1" ht="12.75" customHeight="1">
      <c r="B614" s="435"/>
      <c r="C614" s="826"/>
      <c r="D614" s="435"/>
      <c r="E614" s="435" t="s">
        <v>2478</v>
      </c>
      <c r="F614" s="829"/>
      <c r="G614" s="829"/>
      <c r="I614" s="2464" t="s">
        <v>807</v>
      </c>
      <c r="J614" s="2464"/>
      <c r="K614" s="2464"/>
      <c r="L614" s="2464"/>
      <c r="M614" s="2464"/>
      <c r="N614" s="2464"/>
      <c r="O614" s="2464"/>
      <c r="P614" s="2464"/>
      <c r="Q614" s="2464"/>
      <c r="R614" s="2464"/>
      <c r="S614" s="2464"/>
      <c r="T614" s="2464"/>
      <c r="U614" s="2464"/>
      <c r="V614" s="2464"/>
      <c r="W614" s="2464"/>
      <c r="X614" s="2464"/>
      <c r="Y614" s="2464"/>
      <c r="Z614" s="2464"/>
      <c r="AA614" s="2464"/>
      <c r="AB614" s="2464"/>
      <c r="AC614" s="2464"/>
      <c r="AD614" s="2464"/>
      <c r="AE614" s="2464"/>
      <c r="AF614" s="435"/>
      <c r="AG614" s="435"/>
      <c r="AH614" s="435"/>
      <c r="AI614" s="435"/>
      <c r="AJ614" s="435"/>
      <c r="AK614" s="435"/>
      <c r="AL614" s="435"/>
      <c r="AN614" s="496"/>
      <c r="AO614" s="449" t="s">
        <v>2484</v>
      </c>
      <c r="AP614" s="449">
        <v>3</v>
      </c>
    </row>
    <row r="615" spans="1:42" s="449" customFormat="1" ht="12.75" customHeight="1">
      <c r="B615" s="435"/>
      <c r="C615" s="435"/>
      <c r="D615" s="435"/>
      <c r="E615" s="435"/>
      <c r="F615" s="541"/>
      <c r="G615" s="541"/>
      <c r="H615" s="541"/>
      <c r="I615" s="541"/>
      <c r="J615" s="541"/>
      <c r="K615" s="541"/>
      <c r="L615" s="541"/>
      <c r="M615" s="541"/>
      <c r="N615" s="541"/>
      <c r="O615" s="541"/>
      <c r="P615" s="541"/>
      <c r="Q615" s="541"/>
      <c r="R615" s="541"/>
      <c r="S615" s="541"/>
      <c r="T615" s="541"/>
      <c r="U615" s="541"/>
      <c r="V615" s="541"/>
      <c r="W615" s="541"/>
      <c r="X615" s="541"/>
      <c r="Y615" s="541"/>
      <c r="Z615" s="541"/>
      <c r="AA615" s="541"/>
      <c r="AB615" s="541"/>
      <c r="AC615" s="541"/>
      <c r="AD615" s="541"/>
      <c r="AE615" s="541"/>
      <c r="AF615" s="541"/>
      <c r="AG615" s="541"/>
      <c r="AH615" s="541"/>
      <c r="AI615" s="541"/>
      <c r="AJ615" s="541"/>
      <c r="AK615" s="541"/>
      <c r="AL615" s="541"/>
      <c r="AN615" s="496"/>
      <c r="AO615" s="449" t="s">
        <v>2485</v>
      </c>
      <c r="AP615" s="449">
        <v>2</v>
      </c>
    </row>
    <row r="616" spans="1:42" s="449" customFormat="1" ht="12.75" customHeight="1">
      <c r="B616" s="2321" t="s">
        <v>807</v>
      </c>
      <c r="C616" s="2321"/>
      <c r="D616" s="541"/>
      <c r="E616" s="2349" t="s">
        <v>2486</v>
      </c>
      <c r="F616" s="2349"/>
      <c r="G616" s="2349"/>
      <c r="H616" s="2349"/>
      <c r="I616" s="2349"/>
      <c r="J616" s="2349"/>
      <c r="K616" s="2349"/>
      <c r="L616" s="2349"/>
      <c r="M616" s="2349"/>
      <c r="N616" s="2349"/>
      <c r="O616" s="2349"/>
      <c r="P616" s="2349"/>
      <c r="Q616" s="2349"/>
      <c r="R616" s="2349"/>
      <c r="S616" s="2349"/>
      <c r="T616" s="2349"/>
      <c r="U616" s="2349"/>
      <c r="V616" s="2349"/>
      <c r="W616" s="2349"/>
      <c r="X616" s="2349"/>
      <c r="Y616" s="2349"/>
      <c r="Z616" s="2349"/>
      <c r="AA616" s="2349"/>
      <c r="AB616" s="2349"/>
      <c r="AC616" s="2349"/>
      <c r="AD616" s="2349"/>
      <c r="AE616" s="2349"/>
      <c r="AF616" s="2349"/>
      <c r="AG616" s="2349"/>
      <c r="AH616" s="541"/>
      <c r="AI616" s="541"/>
      <c r="AJ616" s="541"/>
      <c r="AK616" s="541"/>
      <c r="AL616" s="541"/>
      <c r="AN616" s="496"/>
    </row>
    <row r="617" spans="1:42" s="449" customFormat="1" ht="12.75" customHeight="1">
      <c r="B617" s="435"/>
      <c r="C617" s="826"/>
      <c r="D617" s="541"/>
      <c r="E617" s="2349"/>
      <c r="F617" s="2349"/>
      <c r="G617" s="2349"/>
      <c r="H617" s="2349"/>
      <c r="I617" s="2349"/>
      <c r="J617" s="2349"/>
      <c r="K617" s="2349"/>
      <c r="L617" s="2349"/>
      <c r="M617" s="2349"/>
      <c r="N617" s="2349"/>
      <c r="O617" s="2349"/>
      <c r="P617" s="2349"/>
      <c r="Q617" s="2349"/>
      <c r="R617" s="2349"/>
      <c r="S617" s="2349"/>
      <c r="T617" s="2349"/>
      <c r="U617" s="2349"/>
      <c r="V617" s="2349"/>
      <c r="W617" s="2349"/>
      <c r="X617" s="2349"/>
      <c r="Y617" s="2349"/>
      <c r="Z617" s="2349"/>
      <c r="AA617" s="2349"/>
      <c r="AB617" s="2349"/>
      <c r="AC617" s="2349"/>
      <c r="AD617" s="2349"/>
      <c r="AE617" s="2349"/>
      <c r="AF617" s="2349"/>
      <c r="AG617" s="2349"/>
      <c r="AH617" s="541"/>
      <c r="AI617" s="541"/>
      <c r="AJ617" s="541"/>
      <c r="AK617" s="541"/>
      <c r="AL617" s="541"/>
      <c r="AN617" s="496"/>
    </row>
    <row r="618" spans="1:42" s="449" customFormat="1" ht="12.75" customHeight="1">
      <c r="B618" s="435"/>
      <c r="C618" s="826"/>
      <c r="D618" s="541"/>
      <c r="E618" s="2349"/>
      <c r="F618" s="2349"/>
      <c r="G618" s="2349"/>
      <c r="H618" s="2349"/>
      <c r="I618" s="2349"/>
      <c r="J618" s="2349"/>
      <c r="K618" s="2349"/>
      <c r="L618" s="2349"/>
      <c r="M618" s="2349"/>
      <c r="N618" s="2349"/>
      <c r="O618" s="2349"/>
      <c r="P618" s="2349"/>
      <c r="Q618" s="2349"/>
      <c r="R618" s="2349"/>
      <c r="S618" s="2349"/>
      <c r="T618" s="2349"/>
      <c r="U618" s="2349"/>
      <c r="V618" s="2349"/>
      <c r="W618" s="2349"/>
      <c r="X618" s="2349"/>
      <c r="Y618" s="2349"/>
      <c r="Z618" s="2349"/>
      <c r="AA618" s="2349"/>
      <c r="AB618" s="2349"/>
      <c r="AC618" s="2349"/>
      <c r="AD618" s="2349"/>
      <c r="AE618" s="2349"/>
      <c r="AF618" s="2349"/>
      <c r="AG618" s="2349"/>
      <c r="AH618" s="541"/>
      <c r="AI618" s="541"/>
      <c r="AJ618" s="541"/>
      <c r="AK618" s="541"/>
      <c r="AL618" s="541"/>
      <c r="AN618" s="496"/>
    </row>
    <row r="619" spans="1:42" s="449" customFormat="1" ht="12.75" customHeight="1">
      <c r="B619" s="435"/>
      <c r="C619" s="826"/>
      <c r="D619" s="541"/>
      <c r="E619" s="2349"/>
      <c r="F619" s="2349"/>
      <c r="G619" s="2349"/>
      <c r="H619" s="2349"/>
      <c r="I619" s="2349"/>
      <c r="J619" s="2349"/>
      <c r="K619" s="2349"/>
      <c r="L619" s="2349"/>
      <c r="M619" s="2349"/>
      <c r="N619" s="2349"/>
      <c r="O619" s="2349"/>
      <c r="P619" s="2349"/>
      <c r="Q619" s="2349"/>
      <c r="R619" s="2349"/>
      <c r="S619" s="2349"/>
      <c r="T619" s="2349"/>
      <c r="U619" s="2349"/>
      <c r="V619" s="2349"/>
      <c r="W619" s="2349"/>
      <c r="X619" s="2349"/>
      <c r="Y619" s="2349"/>
      <c r="Z619" s="2349"/>
      <c r="AA619" s="2349"/>
      <c r="AB619" s="2349"/>
      <c r="AC619" s="2349"/>
      <c r="AD619" s="2349"/>
      <c r="AE619" s="2349"/>
      <c r="AF619" s="2349"/>
      <c r="AG619" s="2349"/>
      <c r="AH619" s="541"/>
      <c r="AI619" s="541"/>
      <c r="AJ619" s="541"/>
      <c r="AK619" s="541"/>
      <c r="AL619" s="541"/>
      <c r="AN619" s="496"/>
    </row>
    <row r="620" spans="1:42" s="449" customFormat="1" ht="12.75" customHeight="1">
      <c r="B620" s="435"/>
      <c r="C620" s="826"/>
      <c r="D620" s="830"/>
      <c r="E620" s="850"/>
      <c r="F620" s="850"/>
      <c r="G620" s="850"/>
      <c r="H620" s="850"/>
      <c r="I620" s="850"/>
      <c r="J620" s="850"/>
      <c r="K620" s="850"/>
      <c r="L620" s="850"/>
      <c r="M620" s="850"/>
      <c r="N620" s="850"/>
      <c r="O620" s="850"/>
      <c r="P620" s="850"/>
      <c r="Q620" s="850"/>
      <c r="R620" s="850"/>
      <c r="S620" s="850"/>
      <c r="T620" s="850"/>
      <c r="U620" s="850"/>
      <c r="V620" s="850"/>
      <c r="W620" s="850"/>
      <c r="X620" s="850"/>
      <c r="Y620" s="850"/>
      <c r="Z620" s="850"/>
      <c r="AA620" s="850"/>
      <c r="AB620" s="850"/>
      <c r="AC620" s="850"/>
      <c r="AD620" s="850"/>
      <c r="AE620" s="850"/>
      <c r="AF620" s="850"/>
      <c r="AG620" s="850"/>
      <c r="AH620" s="830"/>
      <c r="AI620" s="830"/>
      <c r="AJ620" s="830"/>
      <c r="AK620" s="830"/>
      <c r="AL620" s="541"/>
      <c r="AN620" s="496"/>
    </row>
    <row r="621" spans="1:42" s="449" customFormat="1" ht="12.75" customHeight="1">
      <c r="A621" s="505"/>
      <c r="B621" s="500"/>
      <c r="C621" s="831"/>
      <c r="D621" s="500"/>
      <c r="E621" s="832"/>
      <c r="F621" s="832"/>
      <c r="G621" s="832"/>
      <c r="H621" s="832"/>
      <c r="I621" s="832"/>
      <c r="J621" s="832"/>
      <c r="K621" s="832"/>
      <c r="L621" s="832"/>
      <c r="M621" s="832"/>
      <c r="N621" s="832"/>
      <c r="O621" s="832"/>
      <c r="P621" s="832"/>
      <c r="Q621" s="832"/>
      <c r="R621" s="832"/>
      <c r="S621" s="832"/>
      <c r="T621" s="832"/>
      <c r="U621" s="832"/>
      <c r="V621" s="832"/>
      <c r="W621" s="832"/>
      <c r="X621" s="832"/>
      <c r="Y621" s="832"/>
      <c r="Z621" s="832"/>
      <c r="AA621" s="832"/>
      <c r="AB621" s="500"/>
      <c r="AC621" s="500"/>
      <c r="AD621" s="500"/>
      <c r="AE621" s="500"/>
      <c r="AF621" s="500"/>
      <c r="AG621" s="500"/>
      <c r="AH621" s="500"/>
      <c r="AI621" s="464" t="s">
        <v>2487</v>
      </c>
      <c r="AJ621" s="2356">
        <f>VLOOKUP($H$606,$AO$586:$AP$591,2,FALSE)+IF(R606=AO594,0,VLOOKUP($I$614,$AO$613:$AP$615,2,FALSE))</f>
        <v>5</v>
      </c>
      <c r="AK621" s="2358"/>
      <c r="AL621" s="494"/>
      <c r="AM621" s="574"/>
      <c r="AN621" s="496"/>
    </row>
    <row r="622" spans="1:42" s="449" customFormat="1" ht="12.75" customHeight="1">
      <c r="B622" s="435"/>
      <c r="C622" s="826"/>
      <c r="D622" s="435"/>
      <c r="E622" s="829"/>
      <c r="F622" s="829"/>
      <c r="G622" s="829"/>
      <c r="H622" s="829"/>
      <c r="I622" s="829"/>
      <c r="J622" s="829"/>
      <c r="K622" s="829"/>
      <c r="L622" s="829"/>
      <c r="M622" s="829"/>
      <c r="N622" s="829"/>
      <c r="O622" s="829"/>
      <c r="P622" s="829"/>
      <c r="Q622" s="829"/>
      <c r="R622" s="829"/>
      <c r="S622" s="829"/>
      <c r="T622" s="829"/>
      <c r="U622" s="829"/>
      <c r="V622" s="829"/>
      <c r="W622" s="829"/>
      <c r="X622" s="829"/>
      <c r="Y622" s="829"/>
      <c r="Z622" s="829"/>
      <c r="AA622" s="829"/>
      <c r="AB622" s="829"/>
      <c r="AC622" s="435"/>
      <c r="AD622" s="435"/>
      <c r="AE622" s="829"/>
      <c r="AF622" s="829"/>
      <c r="AG622" s="829"/>
      <c r="AH622" s="829"/>
      <c r="AI622" s="829"/>
      <c r="AJ622" s="829"/>
      <c r="AK622" s="829"/>
      <c r="AL622" s="829"/>
      <c r="AM622" s="574"/>
      <c r="AN622" s="496"/>
    </row>
    <row r="623" spans="1:42" s="449" customFormat="1" ht="12.75" customHeight="1">
      <c r="B623" s="435"/>
      <c r="C623" s="438" t="s">
        <v>2488</v>
      </c>
      <c r="D623" s="438"/>
      <c r="E623" s="829"/>
      <c r="F623" s="829"/>
      <c r="G623" s="829"/>
      <c r="H623" s="829"/>
      <c r="I623" s="829"/>
      <c r="J623" s="829"/>
      <c r="K623" s="829"/>
      <c r="L623" s="829"/>
      <c r="M623" s="829"/>
      <c r="N623" s="829"/>
      <c r="O623" s="829"/>
      <c r="P623" s="829"/>
      <c r="Q623" s="829"/>
      <c r="R623" s="829"/>
      <c r="S623" s="829"/>
      <c r="T623" s="829"/>
      <c r="U623" s="829"/>
      <c r="V623" s="829"/>
      <c r="W623" s="829"/>
      <c r="X623" s="829"/>
      <c r="Y623" s="829"/>
      <c r="Z623" s="829"/>
      <c r="AA623" s="829"/>
      <c r="AB623" s="829"/>
      <c r="AC623" s="435"/>
      <c r="AD623" s="435"/>
      <c r="AE623" s="435"/>
      <c r="AF623" s="435"/>
      <c r="AG623" s="435"/>
      <c r="AH623" s="435"/>
      <c r="AI623" s="435"/>
      <c r="AJ623" s="435"/>
      <c r="AK623" s="435"/>
      <c r="AL623" s="435"/>
      <c r="AN623" s="496"/>
    </row>
    <row r="624" spans="1:42" s="449" customFormat="1" ht="12.75" customHeight="1">
      <c r="B624" s="509"/>
      <c r="C624" s="435"/>
      <c r="D624" s="828"/>
      <c r="E624" s="829"/>
      <c r="F624" s="829"/>
      <c r="G624" s="829"/>
      <c r="H624" s="829"/>
      <c r="I624" s="829"/>
      <c r="J624" s="829"/>
      <c r="K624" s="829"/>
      <c r="L624" s="829"/>
      <c r="M624" s="829"/>
      <c r="N624" s="829"/>
      <c r="O624" s="829"/>
      <c r="P624" s="829"/>
      <c r="Q624" s="829"/>
      <c r="R624" s="829"/>
      <c r="S624" s="829"/>
      <c r="T624" s="829"/>
      <c r="U624" s="829"/>
      <c r="V624" s="829"/>
      <c r="W624" s="829"/>
      <c r="X624" s="829"/>
      <c r="Y624" s="829"/>
      <c r="Z624" s="829"/>
      <c r="AA624" s="829"/>
      <c r="AB624" s="829"/>
      <c r="AC624" s="435"/>
      <c r="AD624" s="435"/>
      <c r="AE624" s="435"/>
      <c r="AF624" s="435"/>
      <c r="AG624" s="435"/>
      <c r="AH624" s="435"/>
      <c r="AI624" s="435"/>
      <c r="AJ624" s="435"/>
      <c r="AK624" s="435"/>
      <c r="AL624" s="435"/>
      <c r="AN624" s="496"/>
    </row>
    <row r="625" spans="1:42" s="495" customFormat="1" ht="12.75" customHeight="1">
      <c r="A625" s="449"/>
      <c r="B625" s="435"/>
      <c r="C625" s="435"/>
      <c r="D625" s="562" t="s">
        <v>22</v>
      </c>
      <c r="E625" s="2463" t="s">
        <v>2489</v>
      </c>
      <c r="F625" s="2463"/>
      <c r="G625" s="2463"/>
      <c r="H625" s="2463"/>
      <c r="I625" s="2463"/>
      <c r="J625" s="2463"/>
      <c r="K625" s="2463"/>
      <c r="L625" s="2463"/>
      <c r="M625" s="2463"/>
      <c r="N625" s="2463"/>
      <c r="O625" s="2463"/>
      <c r="P625" s="2463"/>
      <c r="Q625" s="2463"/>
      <c r="R625" s="2463"/>
      <c r="S625" s="2463"/>
      <c r="T625" s="2463"/>
      <c r="U625" s="2463"/>
      <c r="V625" s="2463"/>
      <c r="W625" s="2463"/>
      <c r="X625" s="2463"/>
      <c r="Y625" s="2463"/>
      <c r="Z625" s="2463"/>
      <c r="AA625" s="2463"/>
      <c r="AB625" s="2463"/>
      <c r="AC625" s="2463"/>
      <c r="AD625" s="2463"/>
      <c r="AE625" s="438"/>
      <c r="AF625" s="2449" t="s">
        <v>2205</v>
      </c>
      <c r="AG625" s="2449"/>
      <c r="AH625" s="2449"/>
      <c r="AI625" s="2449"/>
      <c r="AJ625" s="2449"/>
      <c r="AK625" s="2449"/>
      <c r="AL625" s="2449"/>
      <c r="AM625" s="449"/>
      <c r="AN625" s="577"/>
    </row>
    <row r="626" spans="1:42" s="449" customFormat="1" ht="12.75" customHeight="1">
      <c r="A626" s="578"/>
      <c r="B626" s="435"/>
      <c r="C626" s="826"/>
      <c r="D626" s="562"/>
      <c r="E626" s="2463"/>
      <c r="F626" s="2463"/>
      <c r="G626" s="2463"/>
      <c r="H626" s="2463"/>
      <c r="I626" s="2463"/>
      <c r="J626" s="2463"/>
      <c r="K626" s="2463"/>
      <c r="L626" s="2463"/>
      <c r="M626" s="2463"/>
      <c r="N626" s="2463"/>
      <c r="O626" s="2463"/>
      <c r="P626" s="2463"/>
      <c r="Q626" s="2463"/>
      <c r="R626" s="2463"/>
      <c r="S626" s="2463"/>
      <c r="T626" s="2463"/>
      <c r="U626" s="2463"/>
      <c r="V626" s="2463"/>
      <c r="W626" s="2463"/>
      <c r="X626" s="2463"/>
      <c r="Y626" s="2463"/>
      <c r="Z626" s="2463"/>
      <c r="AA626" s="2463"/>
      <c r="AB626" s="2463"/>
      <c r="AC626" s="2463"/>
      <c r="AD626" s="2463"/>
      <c r="AE626" s="435"/>
      <c r="AF626" s="435"/>
      <c r="AG626" s="435"/>
      <c r="AH626" s="435"/>
      <c r="AI626" s="435"/>
      <c r="AJ626" s="435"/>
      <c r="AK626" s="435"/>
      <c r="AL626" s="435"/>
      <c r="AN626" s="496"/>
    </row>
    <row r="627" spans="1:42" s="449" customFormat="1" ht="12.75" customHeight="1">
      <c r="B627" s="435"/>
      <c r="C627" s="824"/>
      <c r="D627" s="562"/>
      <c r="E627" s="2463"/>
      <c r="F627" s="2463"/>
      <c r="G627" s="2463"/>
      <c r="H627" s="2463"/>
      <c r="I627" s="2463"/>
      <c r="J627" s="2463"/>
      <c r="K627" s="2463"/>
      <c r="L627" s="2463"/>
      <c r="M627" s="2463"/>
      <c r="N627" s="2463"/>
      <c r="O627" s="2463"/>
      <c r="P627" s="2463"/>
      <c r="Q627" s="2463"/>
      <c r="R627" s="2463"/>
      <c r="S627" s="2463"/>
      <c r="T627" s="2463"/>
      <c r="U627" s="2463"/>
      <c r="V627" s="2463"/>
      <c r="W627" s="2463"/>
      <c r="X627" s="2463"/>
      <c r="Y627" s="2463"/>
      <c r="Z627" s="2463"/>
      <c r="AA627" s="2463"/>
      <c r="AB627" s="2463"/>
      <c r="AC627" s="2463"/>
      <c r="AD627" s="2463"/>
      <c r="AE627" s="435"/>
      <c r="AF627" s="435"/>
      <c r="AG627" s="435"/>
      <c r="AH627" s="435"/>
      <c r="AI627" s="435"/>
      <c r="AJ627" s="435"/>
      <c r="AK627" s="435"/>
      <c r="AL627" s="435"/>
      <c r="AN627" s="496"/>
    </row>
    <row r="628" spans="1:42" s="449" customFormat="1" ht="12.75" customHeight="1">
      <c r="B628" s="435"/>
      <c r="C628" s="824"/>
      <c r="D628" s="562"/>
      <c r="E628" s="2463"/>
      <c r="F628" s="2463"/>
      <c r="G628" s="2463"/>
      <c r="H628" s="2463"/>
      <c r="I628" s="2463"/>
      <c r="J628" s="2463"/>
      <c r="K628" s="2463"/>
      <c r="L628" s="2463"/>
      <c r="M628" s="2463"/>
      <c r="N628" s="2463"/>
      <c r="O628" s="2463"/>
      <c r="P628" s="2463"/>
      <c r="Q628" s="2463"/>
      <c r="R628" s="2463"/>
      <c r="S628" s="2463"/>
      <c r="T628" s="2463"/>
      <c r="U628" s="2463"/>
      <c r="V628" s="2463"/>
      <c r="W628" s="2463"/>
      <c r="X628" s="2463"/>
      <c r="Y628" s="2463"/>
      <c r="Z628" s="2463"/>
      <c r="AA628" s="2463"/>
      <c r="AB628" s="2463"/>
      <c r="AC628" s="2463"/>
      <c r="AD628" s="2463"/>
      <c r="AE628" s="435"/>
      <c r="AF628" s="435"/>
      <c r="AG628" s="435"/>
      <c r="AH628" s="435"/>
      <c r="AI628" s="435"/>
      <c r="AJ628" s="435"/>
      <c r="AK628" s="435"/>
      <c r="AL628" s="435"/>
      <c r="AN628" s="496"/>
    </row>
    <row r="629" spans="1:42" s="449" customFormat="1" ht="12.75" customHeight="1">
      <c r="B629" s="435"/>
      <c r="C629" s="824"/>
      <c r="D629" s="562"/>
      <c r="E629" s="2463"/>
      <c r="F629" s="2463"/>
      <c r="G629" s="2463"/>
      <c r="H629" s="2463"/>
      <c r="I629" s="2463"/>
      <c r="J629" s="2463"/>
      <c r="K629" s="2463"/>
      <c r="L629" s="2463"/>
      <c r="M629" s="2463"/>
      <c r="N629" s="2463"/>
      <c r="O629" s="2463"/>
      <c r="P629" s="2463"/>
      <c r="Q629" s="2463"/>
      <c r="R629" s="2463"/>
      <c r="S629" s="2463"/>
      <c r="T629" s="2463"/>
      <c r="U629" s="2463"/>
      <c r="V629" s="2463"/>
      <c r="W629" s="2463"/>
      <c r="X629" s="2463"/>
      <c r="Y629" s="2463"/>
      <c r="Z629" s="2463"/>
      <c r="AA629" s="2463"/>
      <c r="AB629" s="2463"/>
      <c r="AC629" s="2463"/>
      <c r="AD629" s="2463"/>
      <c r="AE629" s="435"/>
      <c r="AF629" s="435"/>
      <c r="AG629" s="435"/>
      <c r="AH629" s="435"/>
      <c r="AI629" s="435"/>
      <c r="AJ629" s="435"/>
      <c r="AK629" s="435"/>
      <c r="AL629" s="435"/>
      <c r="AN629" s="496"/>
    </row>
    <row r="630" spans="1:42" s="449" customFormat="1" ht="12.75" customHeight="1">
      <c r="B630" s="435"/>
      <c r="C630" s="824"/>
      <c r="D630" s="562"/>
      <c r="E630" s="2463"/>
      <c r="F630" s="2463"/>
      <c r="G630" s="2463"/>
      <c r="H630" s="2463"/>
      <c r="I630" s="2463"/>
      <c r="J630" s="2463"/>
      <c r="K630" s="2463"/>
      <c r="L630" s="2463"/>
      <c r="M630" s="2463"/>
      <c r="N630" s="2463"/>
      <c r="O630" s="2463"/>
      <c r="P630" s="2463"/>
      <c r="Q630" s="2463"/>
      <c r="R630" s="2463"/>
      <c r="S630" s="2463"/>
      <c r="T630" s="2463"/>
      <c r="U630" s="2463"/>
      <c r="V630" s="2463"/>
      <c r="W630" s="2463"/>
      <c r="X630" s="2463"/>
      <c r="Y630" s="2463"/>
      <c r="Z630" s="2463"/>
      <c r="AA630" s="2463"/>
      <c r="AB630" s="2463"/>
      <c r="AC630" s="2463"/>
      <c r="AD630" s="2463"/>
      <c r="AE630" s="435"/>
      <c r="AF630" s="435"/>
      <c r="AG630" s="435"/>
      <c r="AH630" s="435"/>
      <c r="AI630" s="435"/>
      <c r="AJ630" s="435"/>
      <c r="AK630" s="435"/>
      <c r="AL630" s="435"/>
      <c r="AN630" s="496"/>
    </row>
    <row r="631" spans="1:42" s="449" customFormat="1" ht="12.75" customHeight="1">
      <c r="A631" s="536"/>
      <c r="B631" s="515"/>
      <c r="C631" s="833"/>
      <c r="D631" s="562"/>
      <c r="E631" s="2463"/>
      <c r="F631" s="2463"/>
      <c r="G631" s="2463"/>
      <c r="H631" s="2463"/>
      <c r="I631" s="2463"/>
      <c r="J631" s="2463"/>
      <c r="K631" s="2463"/>
      <c r="L631" s="2463"/>
      <c r="M631" s="2463"/>
      <c r="N631" s="2463"/>
      <c r="O631" s="2463"/>
      <c r="P631" s="2463"/>
      <c r="Q631" s="2463"/>
      <c r="R631" s="2463"/>
      <c r="S631" s="2463"/>
      <c r="T631" s="2463"/>
      <c r="U631" s="2463"/>
      <c r="V631" s="2463"/>
      <c r="W631" s="2463"/>
      <c r="X631" s="2463"/>
      <c r="Y631" s="2463"/>
      <c r="Z631" s="2463"/>
      <c r="AA631" s="2463"/>
      <c r="AB631" s="2463"/>
      <c r="AC631" s="2463"/>
      <c r="AD631" s="2463"/>
      <c r="AE631" s="515"/>
      <c r="AF631" s="515"/>
      <c r="AG631" s="515"/>
      <c r="AH631" s="515"/>
      <c r="AI631" s="515"/>
      <c r="AJ631" s="515"/>
      <c r="AK631" s="435"/>
      <c r="AL631" s="435"/>
      <c r="AN631" s="496"/>
    </row>
    <row r="632" spans="1:42" s="449" customFormat="1" ht="12.75" customHeight="1">
      <c r="B632" s="515"/>
      <c r="C632" s="833"/>
      <c r="D632" s="562"/>
      <c r="E632" s="2463"/>
      <c r="F632" s="2463"/>
      <c r="G632" s="2463"/>
      <c r="H632" s="2463"/>
      <c r="I632" s="2463"/>
      <c r="J632" s="2463"/>
      <c r="K632" s="2463"/>
      <c r="L632" s="2463"/>
      <c r="M632" s="2463"/>
      <c r="N632" s="2463"/>
      <c r="O632" s="2463"/>
      <c r="P632" s="2463"/>
      <c r="Q632" s="2463"/>
      <c r="R632" s="2463"/>
      <c r="S632" s="2463"/>
      <c r="T632" s="2463"/>
      <c r="U632" s="2463"/>
      <c r="V632" s="2463"/>
      <c r="W632" s="2463"/>
      <c r="X632" s="2463"/>
      <c r="Y632" s="2463"/>
      <c r="Z632" s="2463"/>
      <c r="AA632" s="2463"/>
      <c r="AB632" s="2463"/>
      <c r="AC632" s="2463"/>
      <c r="AD632" s="2463"/>
      <c r="AE632" s="515"/>
      <c r="AF632" s="515"/>
      <c r="AG632" s="515"/>
      <c r="AH632" s="515"/>
      <c r="AI632" s="515"/>
      <c r="AJ632" s="515"/>
      <c r="AK632" s="435"/>
      <c r="AL632" s="435"/>
      <c r="AN632" s="496"/>
    </row>
    <row r="633" spans="1:42" s="449" customFormat="1" ht="12" customHeight="1">
      <c r="B633" s="515"/>
      <c r="C633" s="833"/>
      <c r="D633" s="562"/>
      <c r="E633" s="849"/>
      <c r="F633" s="849"/>
      <c r="G633" s="849"/>
      <c r="H633" s="849"/>
      <c r="I633" s="849"/>
      <c r="J633" s="849"/>
      <c r="K633" s="849"/>
      <c r="L633" s="849"/>
      <c r="M633" s="849"/>
      <c r="N633" s="849"/>
      <c r="O633" s="849"/>
      <c r="P633" s="849"/>
      <c r="Q633" s="849"/>
      <c r="R633" s="849"/>
      <c r="S633" s="849"/>
      <c r="T633" s="849"/>
      <c r="U633" s="849"/>
      <c r="V633" s="849"/>
      <c r="W633" s="849"/>
      <c r="X633" s="849"/>
      <c r="Y633" s="849"/>
      <c r="Z633" s="849"/>
      <c r="AA633" s="849"/>
      <c r="AB633" s="849"/>
      <c r="AC633" s="849"/>
      <c r="AD633" s="849"/>
      <c r="AE633" s="515"/>
      <c r="AF633" s="515"/>
      <c r="AG633" s="515"/>
      <c r="AH633" s="515"/>
      <c r="AI633" s="515"/>
      <c r="AJ633" s="515"/>
      <c r="AK633" s="435"/>
      <c r="AL633" s="435"/>
      <c r="AN633" s="496"/>
      <c r="AO633" s="449" t="s">
        <v>807</v>
      </c>
      <c r="AP633" s="572">
        <v>0</v>
      </c>
    </row>
    <row r="634" spans="1:42" s="449" customFormat="1" ht="12.75" customHeight="1">
      <c r="B634" s="515"/>
      <c r="C634" s="824"/>
      <c r="D634" s="562"/>
      <c r="E634" s="515" t="s">
        <v>2490</v>
      </c>
      <c r="F634" s="834"/>
      <c r="G634" s="834"/>
      <c r="H634" s="834"/>
      <c r="I634" s="834"/>
      <c r="J634" s="834"/>
      <c r="K634" s="834"/>
      <c r="L634" s="834"/>
      <c r="M634" s="834"/>
      <c r="N634" s="834"/>
      <c r="O634" s="834"/>
      <c r="P634" s="834"/>
      <c r="Q634" s="834"/>
      <c r="R634" s="834"/>
      <c r="U634" s="834"/>
      <c r="V634" s="834"/>
      <c r="W634" s="834"/>
      <c r="X634" s="2321" t="s">
        <v>807</v>
      </c>
      <c r="Y634" s="2321"/>
      <c r="Z634" s="834"/>
      <c r="AA634" s="834"/>
      <c r="AB634" s="834"/>
      <c r="AC634" s="834"/>
      <c r="AD634" s="834"/>
      <c r="AE634" s="435"/>
      <c r="AF634" s="515"/>
      <c r="AG634" s="515"/>
      <c r="AH634" s="515"/>
      <c r="AI634" s="515"/>
      <c r="AJ634" s="515"/>
      <c r="AK634" s="435"/>
      <c r="AL634" s="435"/>
      <c r="AN634" s="496"/>
      <c r="AO634" s="510" t="s">
        <v>22</v>
      </c>
      <c r="AP634" s="449">
        <v>5</v>
      </c>
    </row>
    <row r="635" spans="1:42" s="449" customFormat="1" ht="12.75" customHeight="1">
      <c r="B635" s="515"/>
      <c r="C635" s="833"/>
      <c r="D635" s="435"/>
      <c r="E635" s="435"/>
      <c r="F635" s="435"/>
      <c r="G635" s="435"/>
      <c r="H635" s="435"/>
      <c r="I635" s="435"/>
      <c r="J635" s="435"/>
      <c r="K635" s="435"/>
      <c r="L635" s="435"/>
      <c r="M635" s="435"/>
      <c r="N635" s="435"/>
      <c r="O635" s="435"/>
      <c r="P635" s="435"/>
      <c r="Q635" s="435"/>
      <c r="R635" s="435"/>
      <c r="S635" s="435"/>
      <c r="T635" s="435"/>
      <c r="U635" s="435"/>
      <c r="V635" s="435"/>
      <c r="W635" s="515"/>
      <c r="X635" s="515"/>
      <c r="Y635" s="515"/>
      <c r="Z635" s="515"/>
      <c r="AA635" s="515"/>
      <c r="AB635" s="515"/>
      <c r="AC635" s="435"/>
      <c r="AD635" s="435"/>
      <c r="AE635" s="435"/>
      <c r="AF635" s="435"/>
      <c r="AG635" s="435"/>
      <c r="AH635" s="435"/>
      <c r="AI635" s="435"/>
      <c r="AJ635" s="435"/>
      <c r="AK635" s="435"/>
      <c r="AL635" s="435"/>
      <c r="AN635" s="496"/>
      <c r="AO635" s="510" t="s">
        <v>27</v>
      </c>
      <c r="AP635" s="579">
        <v>4</v>
      </c>
    </row>
    <row r="636" spans="1:42" s="449" customFormat="1" ht="12.75" customHeight="1">
      <c r="B636" s="435"/>
      <c r="C636" s="824"/>
      <c r="D636" s="562" t="s">
        <v>27</v>
      </c>
      <c r="E636" s="454" t="s">
        <v>2491</v>
      </c>
      <c r="F636" s="835"/>
      <c r="G636" s="835"/>
      <c r="H636" s="835"/>
      <c r="I636" s="835"/>
      <c r="J636" s="835"/>
      <c r="K636" s="835"/>
      <c r="L636" s="835"/>
      <c r="M636" s="835"/>
      <c r="N636" s="835"/>
      <c r="O636" s="835"/>
      <c r="P636" s="835"/>
      <c r="Q636" s="835"/>
      <c r="R636" s="835"/>
      <c r="S636" s="835"/>
      <c r="T636" s="835"/>
      <c r="U636" s="435"/>
      <c r="V636" s="435"/>
      <c r="W636" s="835"/>
      <c r="X636" s="835"/>
      <c r="Y636" s="835"/>
      <c r="Z636" s="835"/>
      <c r="AA636" s="835"/>
      <c r="AB636" s="835"/>
      <c r="AC636" s="435"/>
      <c r="AD636" s="435"/>
      <c r="AE636" s="435"/>
      <c r="AF636" s="2449" t="s">
        <v>2492</v>
      </c>
      <c r="AG636" s="2449"/>
      <c r="AH636" s="2449"/>
      <c r="AI636" s="2449"/>
      <c r="AJ636" s="2449"/>
      <c r="AK636" s="2449"/>
      <c r="AL636" s="2449"/>
      <c r="AN636" s="496"/>
      <c r="AO636" s="510" t="s">
        <v>49</v>
      </c>
      <c r="AP636" s="449">
        <v>3</v>
      </c>
    </row>
    <row r="637" spans="1:42" s="449" customFormat="1" ht="12.75" customHeight="1">
      <c r="B637" s="435"/>
      <c r="C637" s="824"/>
      <c r="D637" s="435"/>
      <c r="E637" s="435"/>
      <c r="F637" s="835"/>
      <c r="G637" s="835"/>
      <c r="H637" s="835"/>
      <c r="I637" s="835"/>
      <c r="J637" s="835"/>
      <c r="K637" s="835"/>
      <c r="L637" s="835"/>
      <c r="M637" s="835"/>
      <c r="N637" s="835"/>
      <c r="O637" s="835"/>
      <c r="P637" s="835"/>
      <c r="Q637" s="835"/>
      <c r="R637" s="835"/>
      <c r="S637" s="835"/>
      <c r="T637" s="835"/>
      <c r="U637" s="435"/>
      <c r="V637" s="435"/>
      <c r="W637" s="435"/>
      <c r="X637" s="835"/>
      <c r="Y637" s="835"/>
      <c r="Z637" s="835"/>
      <c r="AA637" s="835"/>
      <c r="AB637" s="835"/>
      <c r="AC637" s="435"/>
      <c r="AD637" s="435"/>
      <c r="AE637" s="435"/>
      <c r="AF637" s="435"/>
      <c r="AG637" s="435"/>
      <c r="AH637" s="435"/>
      <c r="AI637" s="435"/>
      <c r="AJ637" s="435"/>
      <c r="AK637" s="435"/>
      <c r="AL637" s="435"/>
      <c r="AN637" s="496"/>
      <c r="AO637" s="510" t="s">
        <v>2462</v>
      </c>
      <c r="AP637" s="579">
        <v>4</v>
      </c>
    </row>
    <row r="638" spans="1:42" s="449" customFormat="1" ht="12.75" customHeight="1">
      <c r="B638" s="435"/>
      <c r="C638" s="824"/>
      <c r="D638" s="435" t="s">
        <v>2478</v>
      </c>
      <c r="E638" s="829"/>
      <c r="F638" s="829"/>
      <c r="G638" s="829"/>
      <c r="H638" s="2373" t="s">
        <v>27</v>
      </c>
      <c r="I638" s="2373"/>
      <c r="J638" s="835"/>
      <c r="K638" s="835"/>
      <c r="L638" s="835"/>
      <c r="M638" s="835"/>
      <c r="N638" s="835"/>
      <c r="O638" s="835"/>
      <c r="P638" s="835"/>
      <c r="Q638" s="835"/>
      <c r="R638" s="835"/>
      <c r="S638" s="835"/>
      <c r="T638" s="835"/>
      <c r="U638" s="829"/>
      <c r="V638" s="829"/>
      <c r="W638" s="829"/>
      <c r="X638" s="435"/>
      <c r="Y638" s="435"/>
      <c r="Z638" s="435"/>
      <c r="AA638" s="435"/>
      <c r="AB638" s="435"/>
      <c r="AC638" s="435"/>
      <c r="AD638" s="435"/>
      <c r="AE638" s="435"/>
      <c r="AF638" s="435"/>
      <c r="AG638" s="435"/>
      <c r="AH638" s="435"/>
      <c r="AI638" s="435"/>
      <c r="AJ638" s="435"/>
      <c r="AK638" s="435"/>
      <c r="AL638" s="435"/>
      <c r="AN638" s="496"/>
      <c r="AO638" s="510" t="s">
        <v>2465</v>
      </c>
      <c r="AP638" s="449">
        <v>3</v>
      </c>
    </row>
    <row r="639" spans="1:42" s="449" customFormat="1" ht="12.75" customHeight="1">
      <c r="B639" s="435"/>
      <c r="C639" s="824"/>
      <c r="D639" s="435"/>
      <c r="E639" s="829"/>
      <c r="F639" s="835"/>
      <c r="G639" s="835"/>
      <c r="H639" s="835"/>
      <c r="I639" s="836"/>
      <c r="J639" s="835"/>
      <c r="K639" s="835"/>
      <c r="L639" s="835"/>
      <c r="M639" s="835"/>
      <c r="N639" s="835"/>
      <c r="O639" s="835"/>
      <c r="P639" s="835"/>
      <c r="Q639" s="835"/>
      <c r="R639" s="435"/>
      <c r="S639" s="435"/>
      <c r="T639" s="835"/>
      <c r="U639" s="829"/>
      <c r="V639" s="829"/>
      <c r="W639" s="829"/>
      <c r="X639" s="829"/>
      <c r="Y639" s="829"/>
      <c r="Z639" s="829"/>
      <c r="AA639" s="829"/>
      <c r="AB639" s="829"/>
      <c r="AC639" s="435"/>
      <c r="AD639" s="435"/>
      <c r="AE639" s="435"/>
      <c r="AF639" s="435"/>
      <c r="AG639" s="435"/>
      <c r="AH639" s="435"/>
      <c r="AI639" s="835"/>
      <c r="AJ639" s="835"/>
      <c r="AK639" s="835"/>
      <c r="AL639" s="835"/>
      <c r="AM639" s="580"/>
      <c r="AN639" s="496"/>
      <c r="AO639" s="510" t="s">
        <v>2493</v>
      </c>
      <c r="AP639" s="449">
        <v>2</v>
      </c>
    </row>
    <row r="640" spans="1:42" s="449" customFormat="1" ht="12.75" customHeight="1">
      <c r="A640" s="505"/>
      <c r="B640" s="500"/>
      <c r="C640" s="837"/>
      <c r="D640" s="500"/>
      <c r="E640" s="832"/>
      <c r="F640" s="832"/>
      <c r="G640" s="838"/>
      <c r="H640" s="838"/>
      <c r="I640" s="838"/>
      <c r="J640" s="838"/>
      <c r="K640" s="838"/>
      <c r="L640" s="838"/>
      <c r="M640" s="838"/>
      <c r="N640" s="838"/>
      <c r="O640" s="838"/>
      <c r="P640" s="838"/>
      <c r="Q640" s="838"/>
      <c r="R640" s="838"/>
      <c r="S640" s="838"/>
      <c r="T640" s="832"/>
      <c r="U640" s="832"/>
      <c r="V640" s="832"/>
      <c r="W640" s="832"/>
      <c r="X640" s="832"/>
      <c r="Y640" s="832"/>
      <c r="Z640" s="832"/>
      <c r="AA640" s="832"/>
      <c r="AB640" s="500"/>
      <c r="AC640" s="500"/>
      <c r="AD640" s="500"/>
      <c r="AE640" s="500"/>
      <c r="AF640" s="500"/>
      <c r="AG640" s="500"/>
      <c r="AH640" s="500"/>
      <c r="AI640" s="464" t="s">
        <v>2494</v>
      </c>
      <c r="AJ640" s="2356">
        <f>VLOOKUP($H$638,$AO$605:$AP$607,2,FALSE)</f>
        <v>2</v>
      </c>
      <c r="AK640" s="2358"/>
      <c r="AL640" s="494"/>
      <c r="AN640" s="496"/>
      <c r="AO640" s="510" t="s">
        <v>2495</v>
      </c>
      <c r="AP640" s="449">
        <v>1</v>
      </c>
    </row>
    <row r="641" spans="1:42" s="449" customFormat="1" ht="12.75" customHeight="1">
      <c r="B641" s="435"/>
      <c r="C641" s="824"/>
      <c r="D641" s="435"/>
      <c r="E641" s="829"/>
      <c r="F641" s="829"/>
      <c r="G641" s="829"/>
      <c r="H641" s="435"/>
      <c r="I641" s="435"/>
      <c r="J641" s="835"/>
      <c r="K641" s="835"/>
      <c r="L641" s="835"/>
      <c r="M641" s="835"/>
      <c r="N641" s="835"/>
      <c r="O641" s="835"/>
      <c r="P641" s="835"/>
      <c r="Q641" s="835"/>
      <c r="R641" s="835"/>
      <c r="S641" s="835"/>
      <c r="T641" s="835"/>
      <c r="U641" s="829"/>
      <c r="V641" s="829"/>
      <c r="W641" s="829"/>
      <c r="X641" s="829"/>
      <c r="Y641" s="829"/>
      <c r="Z641" s="829"/>
      <c r="AA641" s="829"/>
      <c r="AB641" s="829"/>
      <c r="AC641" s="435"/>
      <c r="AD641" s="435"/>
      <c r="AE641" s="435"/>
      <c r="AF641" s="435"/>
      <c r="AG641" s="435"/>
      <c r="AH641" s="435"/>
      <c r="AI641" s="435"/>
      <c r="AJ641" s="442"/>
      <c r="AK641" s="435"/>
      <c r="AL641" s="435"/>
      <c r="AN641" s="496"/>
    </row>
    <row r="642" spans="1:42" s="449" customFormat="1" ht="12.75" customHeight="1">
      <c r="B642" s="435"/>
      <c r="C642" s="438" t="s">
        <v>2496</v>
      </c>
      <c r="D642" s="435"/>
      <c r="E642" s="829"/>
      <c r="F642" s="835"/>
      <c r="G642" s="835"/>
      <c r="H642" s="835"/>
      <c r="I642" s="835"/>
      <c r="J642" s="835"/>
      <c r="K642" s="835"/>
      <c r="L642" s="835"/>
      <c r="M642" s="835"/>
      <c r="N642" s="835"/>
      <c r="O642" s="835"/>
      <c r="P642" s="835"/>
      <c r="Q642" s="835"/>
      <c r="R642" s="835"/>
      <c r="S642" s="835"/>
      <c r="T642" s="835"/>
      <c r="U642" s="435"/>
      <c r="V642" s="435"/>
      <c r="W642" s="835"/>
      <c r="X642" s="835"/>
      <c r="Y642" s="835"/>
      <c r="Z642" s="835"/>
      <c r="AA642" s="835"/>
      <c r="AB642" s="835"/>
      <c r="AC642" s="493"/>
      <c r="AD642" s="493"/>
      <c r="AE642" s="493"/>
      <c r="AF642" s="493"/>
      <c r="AG642" s="493"/>
      <c r="AH642" s="493"/>
      <c r="AI642" s="493"/>
      <c r="AJ642" s="435"/>
      <c r="AK642" s="435"/>
      <c r="AL642" s="435"/>
      <c r="AN642" s="496"/>
    </row>
    <row r="643" spans="1:42" s="449" customFormat="1" ht="12.75" customHeight="1">
      <c r="A643" s="536"/>
      <c r="B643" s="435"/>
      <c r="C643" s="826"/>
      <c r="D643" s="435"/>
      <c r="E643" s="835"/>
      <c r="F643" s="835"/>
      <c r="G643" s="835"/>
      <c r="H643" s="835"/>
      <c r="I643" s="835"/>
      <c r="J643" s="835"/>
      <c r="K643" s="835"/>
      <c r="L643" s="835"/>
      <c r="M643" s="835"/>
      <c r="N643" s="835"/>
      <c r="O643" s="835"/>
      <c r="P643" s="835"/>
      <c r="Q643" s="835"/>
      <c r="R643" s="835"/>
      <c r="S643" s="835"/>
      <c r="T643" s="835"/>
      <c r="U643" s="835"/>
      <c r="V643" s="835"/>
      <c r="W643" s="835"/>
      <c r="X643" s="835"/>
      <c r="Y643" s="835"/>
      <c r="Z643" s="835"/>
      <c r="AA643" s="835"/>
      <c r="AB643" s="835"/>
      <c r="AC643" s="435"/>
      <c r="AD643" s="435"/>
      <c r="AE643" s="435"/>
      <c r="AF643" s="435"/>
      <c r="AG643" s="435"/>
      <c r="AH643" s="435"/>
      <c r="AI643" s="435"/>
      <c r="AJ643" s="435"/>
      <c r="AK643" s="435"/>
      <c r="AL643" s="435"/>
      <c r="AN643" s="496"/>
    </row>
    <row r="644" spans="1:42" s="449" customFormat="1" ht="12.75" customHeight="1">
      <c r="B644" s="435"/>
      <c r="C644" s="435"/>
      <c r="D644" s="562" t="s">
        <v>22</v>
      </c>
      <c r="E644" s="2349" t="s">
        <v>2497</v>
      </c>
      <c r="F644" s="2349"/>
      <c r="G644" s="2349"/>
      <c r="H644" s="2349"/>
      <c r="I644" s="2349"/>
      <c r="J644" s="2349"/>
      <c r="K644" s="2349"/>
      <c r="L644" s="2349"/>
      <c r="M644" s="2349"/>
      <c r="N644" s="2349"/>
      <c r="O644" s="2349"/>
      <c r="P644" s="2349"/>
      <c r="Q644" s="2349"/>
      <c r="R644" s="2349"/>
      <c r="S644" s="2349"/>
      <c r="T644" s="2349"/>
      <c r="U644" s="2349"/>
      <c r="V644" s="2349"/>
      <c r="W644" s="2349"/>
      <c r="X644" s="2349"/>
      <c r="Y644" s="2349"/>
      <c r="Z644" s="2349"/>
      <c r="AA644" s="2349"/>
      <c r="AB644" s="2349"/>
      <c r="AC644" s="2349"/>
      <c r="AD644" s="2349"/>
      <c r="AE644" s="435"/>
      <c r="AF644" s="2449" t="s">
        <v>2205</v>
      </c>
      <c r="AG644" s="2449"/>
      <c r="AH644" s="2449"/>
      <c r="AI644" s="2449"/>
      <c r="AJ644" s="2449"/>
      <c r="AK644" s="2449"/>
      <c r="AL644" s="2449"/>
      <c r="AN644" s="496"/>
    </row>
    <row r="645" spans="1:42" s="449" customFormat="1" ht="12.75" customHeight="1">
      <c r="B645" s="435"/>
      <c r="C645" s="435"/>
      <c r="D645" s="562"/>
      <c r="E645" s="2349"/>
      <c r="F645" s="2349"/>
      <c r="G645" s="2349"/>
      <c r="H645" s="2349"/>
      <c r="I645" s="2349"/>
      <c r="J645" s="2349"/>
      <c r="K645" s="2349"/>
      <c r="L645" s="2349"/>
      <c r="M645" s="2349"/>
      <c r="N645" s="2349"/>
      <c r="O645" s="2349"/>
      <c r="P645" s="2349"/>
      <c r="Q645" s="2349"/>
      <c r="R645" s="2349"/>
      <c r="S645" s="2349"/>
      <c r="T645" s="2349"/>
      <c r="U645" s="2349"/>
      <c r="V645" s="2349"/>
      <c r="W645" s="2349"/>
      <c r="X645" s="2349"/>
      <c r="Y645" s="2349"/>
      <c r="Z645" s="2349"/>
      <c r="AA645" s="2349"/>
      <c r="AB645" s="2349"/>
      <c r="AC645" s="2349"/>
      <c r="AD645" s="2349"/>
      <c r="AE645" s="493"/>
      <c r="AF645" s="493"/>
      <c r="AG645" s="493"/>
      <c r="AH645" s="493"/>
      <c r="AI645" s="493"/>
      <c r="AJ645" s="493"/>
      <c r="AK645" s="493"/>
      <c r="AL645" s="493"/>
      <c r="AN645" s="496"/>
    </row>
    <row r="646" spans="1:42" s="449" customFormat="1" ht="12.75" customHeight="1">
      <c r="B646" s="515"/>
      <c r="C646" s="833"/>
      <c r="D646" s="562"/>
      <c r="E646" s="515"/>
      <c r="F646" s="515"/>
      <c r="G646" s="515"/>
      <c r="H646" s="515"/>
      <c r="I646" s="515"/>
      <c r="J646" s="515"/>
      <c r="K646" s="515"/>
      <c r="L646" s="515"/>
      <c r="M646" s="515"/>
      <c r="N646" s="515"/>
      <c r="O646" s="515"/>
      <c r="P646" s="515"/>
      <c r="Q646" s="515"/>
      <c r="R646" s="515"/>
      <c r="S646" s="515"/>
      <c r="T646" s="515"/>
      <c r="U646" s="515"/>
      <c r="V646" s="515"/>
      <c r="W646" s="515"/>
      <c r="X646" s="515"/>
      <c r="Y646" s="515"/>
      <c r="Z646" s="515"/>
      <c r="AA646" s="515"/>
      <c r="AB646" s="515"/>
      <c r="AC646" s="435"/>
      <c r="AD646" s="435"/>
      <c r="AE646" s="515"/>
      <c r="AF646" s="435"/>
      <c r="AG646" s="435"/>
      <c r="AH646" s="435"/>
      <c r="AI646" s="435"/>
      <c r="AJ646" s="435"/>
      <c r="AK646" s="435"/>
      <c r="AL646" s="435"/>
      <c r="AN646" s="496"/>
    </row>
    <row r="647" spans="1:42" s="449" customFormat="1" ht="12.75" customHeight="1">
      <c r="B647" s="435"/>
      <c r="C647" s="824"/>
      <c r="D647" s="562" t="s">
        <v>27</v>
      </c>
      <c r="E647" s="515" t="s">
        <v>2498</v>
      </c>
      <c r="F647" s="515"/>
      <c r="G647" s="515"/>
      <c r="H647" s="515"/>
      <c r="I647" s="515"/>
      <c r="J647" s="515"/>
      <c r="K647" s="515"/>
      <c r="L647" s="515"/>
      <c r="M647" s="515"/>
      <c r="N647" s="515"/>
      <c r="O647" s="515"/>
      <c r="P647" s="515"/>
      <c r="Q647" s="515"/>
      <c r="R647" s="515"/>
      <c r="S647" s="515"/>
      <c r="T647" s="515"/>
      <c r="U647" s="515"/>
      <c r="V647" s="515"/>
      <c r="W647" s="515"/>
      <c r="X647" s="515"/>
      <c r="Y647" s="515"/>
      <c r="Z647" s="515"/>
      <c r="AA647" s="515"/>
      <c r="AB647" s="515"/>
      <c r="AC647" s="435"/>
      <c r="AD647" s="435"/>
      <c r="AE647" s="435"/>
      <c r="AF647" s="2449" t="s">
        <v>2492</v>
      </c>
      <c r="AG647" s="2449"/>
      <c r="AH647" s="2449"/>
      <c r="AI647" s="2449"/>
      <c r="AJ647" s="2449"/>
      <c r="AK647" s="2449"/>
      <c r="AL647" s="2449"/>
      <c r="AN647" s="496"/>
    </row>
    <row r="648" spans="1:42" s="449" customFormat="1" ht="12.75" customHeight="1">
      <c r="B648" s="435"/>
      <c r="C648" s="824"/>
      <c r="D648" s="562"/>
      <c r="E648" s="515" t="s">
        <v>2499</v>
      </c>
      <c r="F648" s="515"/>
      <c r="G648" s="515"/>
      <c r="H648" s="515"/>
      <c r="I648" s="515"/>
      <c r="J648" s="515"/>
      <c r="K648" s="515"/>
      <c r="L648" s="515"/>
      <c r="M648" s="515"/>
      <c r="N648" s="515"/>
      <c r="O648" s="515"/>
      <c r="P648" s="515"/>
      <c r="Q648" s="515"/>
      <c r="R648" s="515"/>
      <c r="S648" s="515"/>
      <c r="T648" s="515"/>
      <c r="U648" s="515"/>
      <c r="V648" s="515"/>
      <c r="W648" s="515"/>
      <c r="X648" s="515"/>
      <c r="Y648" s="515"/>
      <c r="Z648" s="515"/>
      <c r="AA648" s="515"/>
      <c r="AB648" s="515"/>
      <c r="AC648" s="435"/>
      <c r="AD648" s="435"/>
      <c r="AE648" s="493"/>
      <c r="AF648" s="493"/>
      <c r="AG648" s="493"/>
      <c r="AH648" s="493"/>
      <c r="AI648" s="493"/>
      <c r="AJ648" s="493"/>
      <c r="AK648" s="493"/>
      <c r="AL648" s="493"/>
      <c r="AN648" s="496"/>
    </row>
    <row r="649" spans="1:42" s="449" customFormat="1" ht="12.75" customHeight="1">
      <c r="B649" s="435"/>
      <c r="C649" s="824"/>
      <c r="D649" s="435"/>
      <c r="E649" s="515"/>
      <c r="F649" s="515"/>
      <c r="G649" s="515"/>
      <c r="H649" s="515"/>
      <c r="I649" s="515"/>
      <c r="J649" s="515"/>
      <c r="K649" s="515"/>
      <c r="L649" s="515"/>
      <c r="M649" s="515"/>
      <c r="N649" s="515"/>
      <c r="O649" s="515"/>
      <c r="P649" s="515"/>
      <c r="Q649" s="515"/>
      <c r="R649" s="515"/>
      <c r="S649" s="515"/>
      <c r="T649" s="515"/>
      <c r="U649" s="515"/>
      <c r="V649" s="515"/>
      <c r="W649" s="515"/>
      <c r="X649" s="515"/>
      <c r="Y649" s="515"/>
      <c r="Z649" s="515"/>
      <c r="AA649" s="515"/>
      <c r="AB649" s="515"/>
      <c r="AC649" s="435"/>
      <c r="AD649" s="435"/>
      <c r="AE649" s="435"/>
      <c r="AF649" s="435"/>
      <c r="AG649" s="435"/>
      <c r="AH649" s="435"/>
      <c r="AI649" s="435"/>
      <c r="AJ649" s="435"/>
      <c r="AK649" s="435"/>
      <c r="AL649" s="435"/>
      <c r="AN649" s="496"/>
      <c r="AP649" s="579"/>
    </row>
    <row r="650" spans="1:42" s="449" customFormat="1" ht="12.75" customHeight="1">
      <c r="B650" s="435"/>
      <c r="C650" s="824"/>
      <c r="D650" s="435" t="s">
        <v>2478</v>
      </c>
      <c r="E650" s="829"/>
      <c r="F650" s="829"/>
      <c r="G650" s="829"/>
      <c r="H650" s="2373" t="s">
        <v>27</v>
      </c>
      <c r="I650" s="2373"/>
      <c r="J650" s="515"/>
      <c r="K650" s="515"/>
      <c r="L650" s="515"/>
      <c r="M650" s="515"/>
      <c r="N650" s="515"/>
      <c r="O650" s="515"/>
      <c r="P650" s="515"/>
      <c r="Q650" s="515"/>
      <c r="R650" s="515"/>
      <c r="S650" s="515"/>
      <c r="T650" s="515"/>
      <c r="U650" s="515"/>
      <c r="V650" s="515"/>
      <c r="W650" s="435"/>
      <c r="X650" s="435"/>
      <c r="Y650" s="435"/>
      <c r="Z650" s="435"/>
      <c r="AA650" s="435"/>
      <c r="AB650" s="435"/>
      <c r="AC650" s="435"/>
      <c r="AD650" s="435"/>
      <c r="AE650" s="435"/>
      <c r="AF650" s="435"/>
      <c r="AG650" s="435"/>
      <c r="AH650" s="435"/>
      <c r="AI650" s="435"/>
      <c r="AJ650" s="435"/>
      <c r="AK650" s="435"/>
      <c r="AL650" s="435"/>
      <c r="AN650" s="496"/>
    </row>
    <row r="651" spans="1:42" s="449" customFormat="1" ht="12.75" customHeight="1">
      <c r="B651" s="435"/>
      <c r="C651" s="824"/>
      <c r="D651" s="435"/>
      <c r="E651" s="829"/>
      <c r="F651" s="829"/>
      <c r="G651" s="515"/>
      <c r="H651" s="515"/>
      <c r="I651" s="515"/>
      <c r="J651" s="515"/>
      <c r="K651" s="515"/>
      <c r="L651" s="515"/>
      <c r="M651" s="515"/>
      <c r="N651" s="515"/>
      <c r="O651" s="515"/>
      <c r="P651" s="515"/>
      <c r="Q651" s="515"/>
      <c r="R651" s="515"/>
      <c r="S651" s="515"/>
      <c r="T651" s="515"/>
      <c r="U651" s="515"/>
      <c r="V651" s="515"/>
      <c r="W651" s="515"/>
      <c r="X651" s="515"/>
      <c r="Y651" s="515"/>
      <c r="Z651" s="829"/>
      <c r="AA651" s="829"/>
      <c r="AB651" s="829"/>
      <c r="AC651" s="435"/>
      <c r="AD651" s="435"/>
      <c r="AE651" s="435"/>
      <c r="AF651" s="435"/>
      <c r="AG651" s="435"/>
      <c r="AH651" s="435"/>
      <c r="AI651" s="435"/>
      <c r="AJ651" s="515"/>
      <c r="AK651" s="515"/>
      <c r="AL651" s="515"/>
      <c r="AM651" s="450"/>
      <c r="AN651" s="496"/>
    </row>
    <row r="652" spans="1:42" s="449" customFormat="1" ht="12.75" customHeight="1">
      <c r="A652" s="505"/>
      <c r="B652" s="500"/>
      <c r="C652" s="837"/>
      <c r="D652" s="500"/>
      <c r="E652" s="832"/>
      <c r="F652" s="832"/>
      <c r="G652" s="564"/>
      <c r="H652" s="564"/>
      <c r="I652" s="564"/>
      <c r="J652" s="564"/>
      <c r="K652" s="564"/>
      <c r="L652" s="564"/>
      <c r="M652" s="564"/>
      <c r="N652" s="564"/>
      <c r="O652" s="564"/>
      <c r="P652" s="564"/>
      <c r="Q652" s="564"/>
      <c r="R652" s="564"/>
      <c r="S652" s="564"/>
      <c r="T652" s="564"/>
      <c r="U652" s="564"/>
      <c r="V652" s="564"/>
      <c r="W652" s="564"/>
      <c r="X652" s="564"/>
      <c r="Y652" s="832"/>
      <c r="Z652" s="832"/>
      <c r="AA652" s="832"/>
      <c r="AB652" s="500"/>
      <c r="AC652" s="500"/>
      <c r="AD652" s="500"/>
      <c r="AE652" s="500"/>
      <c r="AF652" s="500"/>
      <c r="AG652" s="500"/>
      <c r="AH652" s="500"/>
      <c r="AI652" s="464" t="s">
        <v>2500</v>
      </c>
      <c r="AJ652" s="2356">
        <f>VLOOKUP(H650,AT605:AU607,2,FALSE)</f>
        <v>2</v>
      </c>
      <c r="AK652" s="2358"/>
      <c r="AL652" s="494"/>
      <c r="AN652" s="496"/>
    </row>
    <row r="653" spans="1:42" s="449" customFormat="1" ht="12.75" customHeight="1">
      <c r="B653" s="435"/>
      <c r="C653" s="824"/>
      <c r="D653" s="435"/>
      <c r="E653" s="435"/>
      <c r="F653" s="435"/>
      <c r="G653" s="435"/>
      <c r="H653" s="435"/>
      <c r="I653" s="435"/>
      <c r="J653" s="435"/>
      <c r="K653" s="435"/>
      <c r="L653" s="435"/>
      <c r="M653" s="435"/>
      <c r="N653" s="435"/>
      <c r="O653" s="435"/>
      <c r="P653" s="435"/>
      <c r="Q653" s="435"/>
      <c r="R653" s="435"/>
      <c r="S653" s="435"/>
      <c r="T653" s="435"/>
      <c r="U653" s="435"/>
      <c r="V653" s="435"/>
      <c r="W653" s="435"/>
      <c r="X653" s="435"/>
      <c r="Y653" s="435"/>
      <c r="Z653" s="435"/>
      <c r="AA653" s="435"/>
      <c r="AB653" s="435"/>
      <c r="AC653" s="435"/>
      <c r="AD653" s="435"/>
      <c r="AE653" s="435"/>
      <c r="AF653" s="435"/>
      <c r="AG653" s="435"/>
      <c r="AH653" s="435"/>
      <c r="AI653" s="435"/>
      <c r="AJ653" s="435"/>
      <c r="AK653" s="435"/>
      <c r="AL653" s="435"/>
      <c r="AN653" s="496"/>
    </row>
    <row r="654" spans="1:42" s="449" customFormat="1" ht="12.75" customHeight="1">
      <c r="B654" s="435"/>
      <c r="C654" s="438" t="s">
        <v>2501</v>
      </c>
      <c r="D654" s="435"/>
      <c r="E654" s="435"/>
      <c r="F654" s="435"/>
      <c r="G654" s="435"/>
      <c r="H654" s="435"/>
      <c r="I654" s="435"/>
      <c r="J654" s="435"/>
      <c r="K654" s="435"/>
      <c r="L654" s="435"/>
      <c r="M654" s="435"/>
      <c r="N654" s="435"/>
      <c r="O654" s="435"/>
      <c r="P654" s="435"/>
      <c r="Q654" s="435"/>
      <c r="R654" s="435"/>
      <c r="S654" s="435"/>
      <c r="T654" s="435"/>
      <c r="U654" s="435"/>
      <c r="V654" s="435"/>
      <c r="W654" s="435"/>
      <c r="X654" s="435"/>
      <c r="Y654" s="435"/>
      <c r="Z654" s="435"/>
      <c r="AA654" s="435"/>
      <c r="AB654" s="435"/>
      <c r="AC654" s="435"/>
      <c r="AD654" s="435"/>
      <c r="AE654" s="435"/>
      <c r="AF654" s="435"/>
      <c r="AG654" s="435"/>
      <c r="AH654" s="435"/>
      <c r="AI654" s="435"/>
      <c r="AJ654" s="435"/>
      <c r="AK654" s="435"/>
      <c r="AL654" s="435"/>
      <c r="AN654" s="496"/>
    </row>
    <row r="655" spans="1:42" s="449" customFormat="1" ht="12.75" customHeight="1">
      <c r="B655" s="435"/>
      <c r="C655" s="438"/>
      <c r="D655" s="581" t="s">
        <v>2502</v>
      </c>
      <c r="E655" s="435"/>
      <c r="F655" s="435"/>
      <c r="G655" s="435"/>
      <c r="H655" s="435"/>
      <c r="I655" s="435"/>
      <c r="J655" s="435"/>
      <c r="K655" s="435"/>
      <c r="L655" s="435"/>
      <c r="M655" s="435"/>
      <c r="N655" s="435"/>
      <c r="O655" s="435"/>
      <c r="P655" s="435"/>
      <c r="Q655" s="435"/>
      <c r="R655" s="435"/>
      <c r="S655" s="435"/>
      <c r="T655" s="435"/>
      <c r="U655" s="435"/>
      <c r="V655" s="435"/>
      <c r="W655" s="435"/>
      <c r="X655" s="435"/>
      <c r="Y655" s="435"/>
      <c r="Z655" s="435"/>
      <c r="AA655" s="435"/>
      <c r="AB655" s="435"/>
      <c r="AC655" s="435"/>
      <c r="AD655" s="435"/>
      <c r="AE655" s="435"/>
      <c r="AF655" s="435"/>
      <c r="AG655" s="435"/>
      <c r="AH655" s="435"/>
      <c r="AI655" s="435"/>
      <c r="AJ655" s="435"/>
      <c r="AK655" s="435"/>
      <c r="AL655" s="435"/>
      <c r="AN655" s="496"/>
    </row>
    <row r="656" spans="1:42" s="449" customFormat="1" ht="12.75" customHeight="1">
      <c r="B656" s="435"/>
      <c r="C656" s="438"/>
      <c r="D656" s="435"/>
      <c r="E656" s="435"/>
      <c r="F656" s="435"/>
      <c r="G656" s="435"/>
      <c r="H656" s="435"/>
      <c r="I656" s="435"/>
      <c r="J656" s="435"/>
      <c r="K656" s="435"/>
      <c r="L656" s="435"/>
      <c r="M656" s="435"/>
      <c r="N656" s="435"/>
      <c r="O656" s="435"/>
      <c r="P656" s="435"/>
      <c r="Q656" s="435"/>
      <c r="R656" s="435"/>
      <c r="S656" s="435"/>
      <c r="T656" s="435"/>
      <c r="U656" s="435"/>
      <c r="V656" s="435"/>
      <c r="W656" s="435"/>
      <c r="X656" s="435"/>
      <c r="Y656" s="435"/>
      <c r="Z656" s="435"/>
      <c r="AA656" s="435"/>
      <c r="AB656" s="435"/>
      <c r="AC656" s="435"/>
      <c r="AD656" s="435"/>
      <c r="AE656" s="435"/>
      <c r="AF656" s="435"/>
      <c r="AG656" s="435"/>
      <c r="AH656" s="435"/>
      <c r="AI656" s="435"/>
      <c r="AJ656" s="435"/>
      <c r="AK656" s="435"/>
      <c r="AL656" s="435"/>
      <c r="AN656" s="496"/>
    </row>
    <row r="657" spans="1:42" s="449" customFormat="1" ht="12.75" customHeight="1">
      <c r="B657" s="435"/>
      <c r="C657" s="438"/>
      <c r="D657" s="562" t="s">
        <v>22</v>
      </c>
      <c r="E657" s="2349" t="s">
        <v>2503</v>
      </c>
      <c r="F657" s="2349"/>
      <c r="G657" s="2349"/>
      <c r="H657" s="2349"/>
      <c r="I657" s="2349"/>
      <c r="J657" s="2349"/>
      <c r="K657" s="2349"/>
      <c r="L657" s="2349"/>
      <c r="M657" s="2349"/>
      <c r="N657" s="2349"/>
      <c r="O657" s="2349"/>
      <c r="P657" s="2349"/>
      <c r="Q657" s="2349"/>
      <c r="R657" s="2349"/>
      <c r="S657" s="2349"/>
      <c r="T657" s="2349"/>
      <c r="U657" s="2349"/>
      <c r="V657" s="2349"/>
      <c r="W657" s="2349"/>
      <c r="X657" s="2349"/>
      <c r="Y657" s="2349"/>
      <c r="Z657" s="2349"/>
      <c r="AA657" s="2349"/>
      <c r="AB657" s="2349"/>
      <c r="AC657" s="2349"/>
      <c r="AD657" s="435"/>
      <c r="AE657" s="435"/>
      <c r="AF657" s="2449" t="s">
        <v>2464</v>
      </c>
      <c r="AG657" s="2449"/>
      <c r="AH657" s="2449"/>
      <c r="AI657" s="2449"/>
      <c r="AJ657" s="2449"/>
      <c r="AK657" s="2449"/>
      <c r="AL657" s="2449"/>
      <c r="AN657" s="496"/>
    </row>
    <row r="658" spans="1:42" s="449" customFormat="1" ht="12.75" customHeight="1">
      <c r="B658" s="435"/>
      <c r="C658" s="438"/>
      <c r="D658" s="435"/>
      <c r="E658" s="2349"/>
      <c r="F658" s="2349"/>
      <c r="G658" s="2349"/>
      <c r="H658" s="2349"/>
      <c r="I658" s="2349"/>
      <c r="J658" s="2349"/>
      <c r="K658" s="2349"/>
      <c r="L658" s="2349"/>
      <c r="M658" s="2349"/>
      <c r="N658" s="2349"/>
      <c r="O658" s="2349"/>
      <c r="P658" s="2349"/>
      <c r="Q658" s="2349"/>
      <c r="R658" s="2349"/>
      <c r="S658" s="2349"/>
      <c r="T658" s="2349"/>
      <c r="U658" s="2349"/>
      <c r="V658" s="2349"/>
      <c r="W658" s="2349"/>
      <c r="X658" s="2349"/>
      <c r="Y658" s="2349"/>
      <c r="Z658" s="2349"/>
      <c r="AA658" s="2349"/>
      <c r="AB658" s="2349"/>
      <c r="AC658" s="2349"/>
      <c r="AD658" s="435"/>
      <c r="AE658" s="435"/>
      <c r="AF658" s="435"/>
      <c r="AG658" s="435"/>
      <c r="AH658" s="435"/>
      <c r="AI658" s="435"/>
      <c r="AJ658" s="435"/>
      <c r="AK658" s="435"/>
      <c r="AL658" s="435"/>
      <c r="AN658" s="496"/>
    </row>
    <row r="659" spans="1:42" s="449" customFormat="1" ht="12.75" customHeight="1">
      <c r="B659" s="435"/>
      <c r="C659" s="438"/>
      <c r="D659" s="562"/>
      <c r="E659" s="2349"/>
      <c r="F659" s="2349"/>
      <c r="G659" s="2349"/>
      <c r="H659" s="2349"/>
      <c r="I659" s="2349"/>
      <c r="J659" s="2349"/>
      <c r="K659" s="2349"/>
      <c r="L659" s="2349"/>
      <c r="M659" s="2349"/>
      <c r="N659" s="2349"/>
      <c r="O659" s="2349"/>
      <c r="P659" s="2349"/>
      <c r="Q659" s="2349"/>
      <c r="R659" s="2349"/>
      <c r="S659" s="2349"/>
      <c r="T659" s="2349"/>
      <c r="U659" s="2349"/>
      <c r="V659" s="2349"/>
      <c r="W659" s="2349"/>
      <c r="X659" s="2349"/>
      <c r="Y659" s="2349"/>
      <c r="Z659" s="2349"/>
      <c r="AA659" s="2349"/>
      <c r="AB659" s="2349"/>
      <c r="AC659" s="2349"/>
      <c r="AD659" s="435"/>
      <c r="AE659" s="435"/>
      <c r="AF659" s="435"/>
      <c r="AG659" s="435"/>
      <c r="AH659" s="435"/>
      <c r="AI659" s="435"/>
      <c r="AJ659" s="435"/>
      <c r="AK659" s="435"/>
      <c r="AL659" s="435"/>
      <c r="AN659" s="496"/>
    </row>
    <row r="660" spans="1:42" s="449" customFormat="1" ht="15" customHeight="1">
      <c r="B660" s="435"/>
      <c r="C660" s="438"/>
      <c r="D660" s="435"/>
      <c r="E660" s="839"/>
      <c r="F660" s="839"/>
      <c r="G660" s="839"/>
      <c r="H660" s="839"/>
      <c r="I660" s="839"/>
      <c r="J660" s="839"/>
      <c r="K660" s="839"/>
      <c r="L660" s="839"/>
      <c r="M660" s="839"/>
      <c r="N660" s="839"/>
      <c r="O660" s="839"/>
      <c r="P660" s="839"/>
      <c r="Q660" s="839"/>
      <c r="R660" s="839"/>
      <c r="S660" s="839"/>
      <c r="T660" s="839"/>
      <c r="U660" s="839"/>
      <c r="V660" s="839"/>
      <c r="W660" s="839"/>
      <c r="X660" s="839"/>
      <c r="Y660" s="839"/>
      <c r="Z660" s="839"/>
      <c r="AA660" s="839"/>
      <c r="AB660" s="839"/>
      <c r="AC660" s="435"/>
      <c r="AD660" s="435"/>
      <c r="AE660" s="435"/>
      <c r="AF660" s="435"/>
      <c r="AG660" s="435"/>
      <c r="AH660" s="435"/>
      <c r="AI660" s="435"/>
      <c r="AJ660" s="435"/>
      <c r="AK660" s="435"/>
      <c r="AL660" s="435"/>
      <c r="AN660" s="496"/>
    </row>
    <row r="661" spans="1:42" s="449" customFormat="1" ht="12.75" customHeight="1">
      <c r="B661" s="435"/>
      <c r="C661" s="438"/>
      <c r="D661" s="562" t="s">
        <v>27</v>
      </c>
      <c r="E661" s="2349" t="s">
        <v>2504</v>
      </c>
      <c r="F661" s="2349"/>
      <c r="G661" s="2349"/>
      <c r="H661" s="2349"/>
      <c r="I661" s="2349"/>
      <c r="J661" s="2349"/>
      <c r="K661" s="2349"/>
      <c r="L661" s="2349"/>
      <c r="M661" s="2349"/>
      <c r="N661" s="2349"/>
      <c r="O661" s="2349"/>
      <c r="P661" s="2349"/>
      <c r="Q661" s="2349"/>
      <c r="R661" s="2349"/>
      <c r="S661" s="2349"/>
      <c r="T661" s="2349"/>
      <c r="U661" s="2349"/>
      <c r="V661" s="2349"/>
      <c r="W661" s="2349"/>
      <c r="X661" s="2349"/>
      <c r="Y661" s="2349"/>
      <c r="Z661" s="2349"/>
      <c r="AA661" s="2349"/>
      <c r="AB661" s="2349"/>
      <c r="AC661" s="2349"/>
      <c r="AD661" s="435"/>
      <c r="AE661" s="435"/>
      <c r="AF661" s="2449" t="s">
        <v>2470</v>
      </c>
      <c r="AG661" s="2449"/>
      <c r="AH661" s="2449"/>
      <c r="AI661" s="2449"/>
      <c r="AJ661" s="2449"/>
      <c r="AK661" s="2449"/>
      <c r="AL661" s="2449"/>
      <c r="AN661" s="496"/>
    </row>
    <row r="662" spans="1:42" s="449" customFormat="1" ht="12.75" customHeight="1">
      <c r="B662" s="435"/>
      <c r="C662" s="438"/>
      <c r="D662" s="435"/>
      <c r="E662" s="2349"/>
      <c r="F662" s="2349"/>
      <c r="G662" s="2349"/>
      <c r="H662" s="2349"/>
      <c r="I662" s="2349"/>
      <c r="J662" s="2349"/>
      <c r="K662" s="2349"/>
      <c r="L662" s="2349"/>
      <c r="M662" s="2349"/>
      <c r="N662" s="2349"/>
      <c r="O662" s="2349"/>
      <c r="P662" s="2349"/>
      <c r="Q662" s="2349"/>
      <c r="R662" s="2349"/>
      <c r="S662" s="2349"/>
      <c r="T662" s="2349"/>
      <c r="U662" s="2349"/>
      <c r="V662" s="2349"/>
      <c r="W662" s="2349"/>
      <c r="X662" s="2349"/>
      <c r="Y662" s="2349"/>
      <c r="Z662" s="2349"/>
      <c r="AA662" s="2349"/>
      <c r="AB662" s="2349"/>
      <c r="AC662" s="2349"/>
      <c r="AD662" s="435"/>
      <c r="AE662" s="435"/>
      <c r="AF662" s="435"/>
      <c r="AG662" s="435"/>
      <c r="AH662" s="435"/>
      <c r="AI662" s="435"/>
      <c r="AJ662" s="435"/>
      <c r="AK662" s="435"/>
      <c r="AL662" s="435"/>
      <c r="AN662" s="496"/>
    </row>
    <row r="663" spans="1:42" s="449" customFormat="1" ht="15" customHeight="1">
      <c r="B663" s="435"/>
      <c r="C663" s="438"/>
      <c r="D663" s="562"/>
      <c r="E663" s="2349"/>
      <c r="F663" s="2349"/>
      <c r="G663" s="2349"/>
      <c r="H663" s="2349"/>
      <c r="I663" s="2349"/>
      <c r="J663" s="2349"/>
      <c r="K663" s="2349"/>
      <c r="L663" s="2349"/>
      <c r="M663" s="2349"/>
      <c r="N663" s="2349"/>
      <c r="O663" s="2349"/>
      <c r="P663" s="2349"/>
      <c r="Q663" s="2349"/>
      <c r="R663" s="2349"/>
      <c r="S663" s="2349"/>
      <c r="T663" s="2349"/>
      <c r="U663" s="2349"/>
      <c r="V663" s="2349"/>
      <c r="W663" s="2349"/>
      <c r="X663" s="2349"/>
      <c r="Y663" s="2349"/>
      <c r="Z663" s="2349"/>
      <c r="AA663" s="2349"/>
      <c r="AB663" s="2349"/>
      <c r="AC663" s="2349"/>
      <c r="AD663" s="435"/>
      <c r="AE663" s="435"/>
      <c r="AF663" s="435"/>
      <c r="AG663" s="435"/>
      <c r="AH663" s="435"/>
      <c r="AI663" s="435"/>
      <c r="AJ663" s="435"/>
      <c r="AK663" s="435"/>
      <c r="AL663" s="435"/>
      <c r="AN663" s="496"/>
    </row>
    <row r="664" spans="1:42" s="449" customFormat="1" ht="12.75" customHeight="1">
      <c r="B664" s="435"/>
      <c r="C664" s="438"/>
      <c r="D664" s="435"/>
      <c r="E664" s="839"/>
      <c r="F664" s="839"/>
      <c r="G664" s="839"/>
      <c r="H664" s="839"/>
      <c r="I664" s="839"/>
      <c r="J664" s="839"/>
      <c r="K664" s="839"/>
      <c r="L664" s="839"/>
      <c r="M664" s="839"/>
      <c r="N664" s="839"/>
      <c r="O664" s="839"/>
      <c r="P664" s="839"/>
      <c r="Q664" s="839"/>
      <c r="R664" s="839"/>
      <c r="S664" s="839"/>
      <c r="T664" s="839"/>
      <c r="U664" s="839"/>
      <c r="V664" s="839"/>
      <c r="W664" s="839"/>
      <c r="X664" s="839"/>
      <c r="Y664" s="839"/>
      <c r="Z664" s="839"/>
      <c r="AA664" s="839"/>
      <c r="AB664" s="839"/>
      <c r="AC664" s="435"/>
      <c r="AD664" s="435"/>
      <c r="AE664" s="435"/>
      <c r="AF664" s="435"/>
      <c r="AG664" s="435"/>
      <c r="AH664" s="435"/>
      <c r="AI664" s="435"/>
      <c r="AJ664" s="435"/>
      <c r="AK664" s="435"/>
      <c r="AL664" s="435"/>
      <c r="AN664" s="496"/>
    </row>
    <row r="665" spans="1:42" s="449" customFormat="1" ht="12.75" customHeight="1">
      <c r="B665" s="435"/>
      <c r="C665" s="438"/>
      <c r="D665" s="562" t="s">
        <v>49</v>
      </c>
      <c r="E665" s="2349" t="s">
        <v>2505</v>
      </c>
      <c r="F665" s="2349"/>
      <c r="G665" s="2349"/>
      <c r="H665" s="2349"/>
      <c r="I665" s="2349"/>
      <c r="J665" s="2349"/>
      <c r="K665" s="2349"/>
      <c r="L665" s="2349"/>
      <c r="M665" s="2349"/>
      <c r="N665" s="2349"/>
      <c r="O665" s="2349"/>
      <c r="P665" s="2349"/>
      <c r="Q665" s="2349"/>
      <c r="R665" s="2349"/>
      <c r="S665" s="2349"/>
      <c r="T665" s="2349"/>
      <c r="U665" s="2349"/>
      <c r="V665" s="2349"/>
      <c r="W665" s="2349"/>
      <c r="X665" s="2349"/>
      <c r="Y665" s="2349"/>
      <c r="Z665" s="2349"/>
      <c r="AA665" s="2349"/>
      <c r="AB665" s="2349"/>
      <c r="AC665" s="2349"/>
      <c r="AD665" s="435"/>
      <c r="AE665" s="435"/>
      <c r="AF665" s="2449" t="s">
        <v>2205</v>
      </c>
      <c r="AG665" s="2449"/>
      <c r="AH665" s="2449"/>
      <c r="AI665" s="2449"/>
      <c r="AJ665" s="2449"/>
      <c r="AK665" s="2449"/>
      <c r="AL665" s="2449"/>
      <c r="AN665" s="496"/>
    </row>
    <row r="666" spans="1:42" s="449" customFormat="1" ht="12.75" customHeight="1">
      <c r="B666" s="435"/>
      <c r="C666" s="824"/>
      <c r="D666" s="435"/>
      <c r="E666" s="2349"/>
      <c r="F666" s="2349"/>
      <c r="G666" s="2349"/>
      <c r="H666" s="2349"/>
      <c r="I666" s="2349"/>
      <c r="J666" s="2349"/>
      <c r="K666" s="2349"/>
      <c r="L666" s="2349"/>
      <c r="M666" s="2349"/>
      <c r="N666" s="2349"/>
      <c r="O666" s="2349"/>
      <c r="P666" s="2349"/>
      <c r="Q666" s="2349"/>
      <c r="R666" s="2349"/>
      <c r="S666" s="2349"/>
      <c r="T666" s="2349"/>
      <c r="U666" s="2349"/>
      <c r="V666" s="2349"/>
      <c r="W666" s="2349"/>
      <c r="X666" s="2349"/>
      <c r="Y666" s="2349"/>
      <c r="Z666" s="2349"/>
      <c r="AA666" s="2349"/>
      <c r="AB666" s="2349"/>
      <c r="AC666" s="2349"/>
      <c r="AD666" s="435"/>
      <c r="AE666" s="2449"/>
      <c r="AF666" s="2449"/>
      <c r="AG666" s="2449"/>
      <c r="AH666" s="2449"/>
      <c r="AI666" s="2449"/>
      <c r="AJ666" s="2449"/>
      <c r="AK666" s="2449"/>
      <c r="AL666" s="493"/>
      <c r="AN666" s="496"/>
      <c r="AO666" s="449" t="s">
        <v>807</v>
      </c>
      <c r="AP666" s="572">
        <v>0</v>
      </c>
    </row>
    <row r="667" spans="1:42" s="449" customFormat="1" ht="12.75" customHeight="1">
      <c r="A667" s="578"/>
      <c r="B667" s="435"/>
      <c r="C667" s="435"/>
      <c r="D667" s="562"/>
      <c r="E667" s="2349"/>
      <c r="F667" s="2349"/>
      <c r="G667" s="2349"/>
      <c r="H667" s="2349"/>
      <c r="I667" s="2349"/>
      <c r="J667" s="2349"/>
      <c r="K667" s="2349"/>
      <c r="L667" s="2349"/>
      <c r="M667" s="2349"/>
      <c r="N667" s="2349"/>
      <c r="O667" s="2349"/>
      <c r="P667" s="2349"/>
      <c r="Q667" s="2349"/>
      <c r="R667" s="2349"/>
      <c r="S667" s="2349"/>
      <c r="T667" s="2349"/>
      <c r="U667" s="2349"/>
      <c r="V667" s="2349"/>
      <c r="W667" s="2349"/>
      <c r="X667" s="2349"/>
      <c r="Y667" s="2349"/>
      <c r="Z667" s="2349"/>
      <c r="AA667" s="2349"/>
      <c r="AB667" s="2349"/>
      <c r="AC667" s="2349"/>
      <c r="AD667" s="435"/>
      <c r="AE667" s="435"/>
      <c r="AF667" s="435"/>
      <c r="AG667" s="435"/>
      <c r="AH667" s="435"/>
      <c r="AI667" s="435"/>
      <c r="AJ667" s="435"/>
      <c r="AK667" s="435"/>
      <c r="AL667" s="435"/>
      <c r="AN667" s="496"/>
      <c r="AO667" s="510" t="s">
        <v>22</v>
      </c>
      <c r="AP667" s="449">
        <v>3</v>
      </c>
    </row>
    <row r="668" spans="1:42" s="449" customFormat="1" ht="12.75" customHeight="1">
      <c r="B668" s="435"/>
      <c r="C668" s="824"/>
      <c r="D668" s="562"/>
      <c r="E668" s="474"/>
      <c r="F668" s="474"/>
      <c r="G668" s="474"/>
      <c r="H668" s="474"/>
      <c r="I668" s="474"/>
      <c r="J668" s="474"/>
      <c r="K668" s="474"/>
      <c r="L668" s="474"/>
      <c r="M668" s="474"/>
      <c r="N668" s="474"/>
      <c r="O668" s="474"/>
      <c r="P668" s="474"/>
      <c r="Q668" s="474"/>
      <c r="R668" s="474"/>
      <c r="S668" s="474"/>
      <c r="T668" s="474"/>
      <c r="U668" s="474"/>
      <c r="V668" s="474"/>
      <c r="W668" s="474"/>
      <c r="X668" s="474"/>
      <c r="Y668" s="474"/>
      <c r="Z668" s="474"/>
      <c r="AA668" s="474"/>
      <c r="AB668" s="474"/>
      <c r="AC668" s="435"/>
      <c r="AD668" s="435"/>
      <c r="AE668" s="435"/>
      <c r="AF668" s="435"/>
      <c r="AG668" s="435"/>
      <c r="AH668" s="435"/>
      <c r="AI668" s="435"/>
      <c r="AJ668" s="435"/>
      <c r="AK668" s="435"/>
      <c r="AL668" s="435"/>
      <c r="AN668" s="496"/>
      <c r="AO668" s="510" t="s">
        <v>27</v>
      </c>
      <c r="AP668" s="449">
        <v>2</v>
      </c>
    </row>
    <row r="669" spans="1:42" s="449" customFormat="1" ht="12.75" customHeight="1">
      <c r="A669" s="569"/>
      <c r="B669" s="435"/>
      <c r="C669" s="840"/>
      <c r="D669" s="562" t="s">
        <v>2462</v>
      </c>
      <c r="E669" s="2349" t="s">
        <v>2506</v>
      </c>
      <c r="F669" s="2349"/>
      <c r="G669" s="2349"/>
      <c r="H669" s="2349"/>
      <c r="I669" s="2349"/>
      <c r="J669" s="2349"/>
      <c r="K669" s="2349"/>
      <c r="L669" s="2349"/>
      <c r="M669" s="2349"/>
      <c r="N669" s="2349"/>
      <c r="O669" s="2349"/>
      <c r="P669" s="2349"/>
      <c r="Q669" s="2349"/>
      <c r="R669" s="2349"/>
      <c r="S669" s="2349"/>
      <c r="T669" s="2349"/>
      <c r="U669" s="2349"/>
      <c r="V669" s="2349"/>
      <c r="W669" s="2349"/>
      <c r="X669" s="2349"/>
      <c r="Y669" s="2349"/>
      <c r="Z669" s="2349"/>
      <c r="AA669" s="2349"/>
      <c r="AB669" s="2349"/>
      <c r="AC669" s="2349"/>
      <c r="AD669" s="435"/>
      <c r="AE669" s="435"/>
      <c r="AF669" s="2449" t="s">
        <v>2470</v>
      </c>
      <c r="AG669" s="2449"/>
      <c r="AH669" s="2449"/>
      <c r="AI669" s="2449"/>
      <c r="AJ669" s="2449"/>
      <c r="AK669" s="2449"/>
      <c r="AL669" s="2449"/>
      <c r="AN669" s="496"/>
    </row>
    <row r="670" spans="1:42" s="449" customFormat="1" ht="12.75" customHeight="1">
      <c r="A670" s="569"/>
      <c r="B670" s="435"/>
      <c r="C670" s="840"/>
      <c r="D670" s="562"/>
      <c r="E670" s="2349"/>
      <c r="F670" s="2349"/>
      <c r="G670" s="2349"/>
      <c r="H670" s="2349"/>
      <c r="I670" s="2349"/>
      <c r="J670" s="2349"/>
      <c r="K670" s="2349"/>
      <c r="L670" s="2349"/>
      <c r="M670" s="2349"/>
      <c r="N670" s="2349"/>
      <c r="O670" s="2349"/>
      <c r="P670" s="2349"/>
      <c r="Q670" s="2349"/>
      <c r="R670" s="2349"/>
      <c r="S670" s="2349"/>
      <c r="T670" s="2349"/>
      <c r="U670" s="2349"/>
      <c r="V670" s="2349"/>
      <c r="W670" s="2349"/>
      <c r="X670" s="2349"/>
      <c r="Y670" s="2349"/>
      <c r="Z670" s="2349"/>
      <c r="AA670" s="2349"/>
      <c r="AB670" s="2349"/>
      <c r="AC670" s="2349"/>
      <c r="AD670" s="435"/>
      <c r="AE670" s="493"/>
      <c r="AF670" s="493"/>
      <c r="AG670" s="493"/>
      <c r="AH670" s="493"/>
      <c r="AI670" s="493"/>
      <c r="AJ670" s="493"/>
      <c r="AK670" s="493"/>
      <c r="AL670" s="493"/>
      <c r="AM670" s="495"/>
      <c r="AN670" s="496"/>
    </row>
    <row r="671" spans="1:42" s="449" customFormat="1" ht="12.75" customHeight="1">
      <c r="A671" s="569"/>
      <c r="B671" s="435"/>
      <c r="C671" s="840"/>
      <c r="D671" s="562"/>
      <c r="E671" s="2349"/>
      <c r="F671" s="2349"/>
      <c r="G671" s="2349"/>
      <c r="H671" s="2349"/>
      <c r="I671" s="2349"/>
      <c r="J671" s="2349"/>
      <c r="K671" s="2349"/>
      <c r="L671" s="2349"/>
      <c r="M671" s="2349"/>
      <c r="N671" s="2349"/>
      <c r="O671" s="2349"/>
      <c r="P671" s="2349"/>
      <c r="Q671" s="2349"/>
      <c r="R671" s="2349"/>
      <c r="S671" s="2349"/>
      <c r="T671" s="2349"/>
      <c r="U671" s="2349"/>
      <c r="V671" s="2349"/>
      <c r="W671" s="2349"/>
      <c r="X671" s="2349"/>
      <c r="Y671" s="2349"/>
      <c r="Z671" s="2349"/>
      <c r="AA671" s="2349"/>
      <c r="AB671" s="2349"/>
      <c r="AC671" s="2349"/>
      <c r="AD671" s="435"/>
      <c r="AE671" s="493"/>
      <c r="AF671" s="493"/>
      <c r="AG671" s="493"/>
      <c r="AH671" s="493"/>
      <c r="AI671" s="493"/>
      <c r="AJ671" s="493"/>
      <c r="AK671" s="493"/>
      <c r="AL671" s="493"/>
      <c r="AM671" s="495"/>
      <c r="AN671" s="496"/>
    </row>
    <row r="672" spans="1:42" s="449" customFormat="1" ht="12.75" customHeight="1">
      <c r="B672" s="435"/>
      <c r="C672" s="824"/>
      <c r="D672" s="562"/>
      <c r="E672" s="541"/>
      <c r="F672" s="541"/>
      <c r="G672" s="541"/>
      <c r="H672" s="541"/>
      <c r="I672" s="541"/>
      <c r="J672" s="541"/>
      <c r="K672" s="541"/>
      <c r="L672" s="541"/>
      <c r="M672" s="541"/>
      <c r="N672" s="541"/>
      <c r="O672" s="541"/>
      <c r="P672" s="541"/>
      <c r="Q672" s="541"/>
      <c r="R672" s="541"/>
      <c r="S672" s="541"/>
      <c r="T672" s="541"/>
      <c r="U672" s="541"/>
      <c r="V672" s="541"/>
      <c r="W672" s="541"/>
      <c r="X672" s="541"/>
      <c r="Y672" s="541"/>
      <c r="Z672" s="541"/>
      <c r="AA672" s="541"/>
      <c r="AB672" s="541"/>
      <c r="AC672" s="438"/>
      <c r="AD672" s="438"/>
      <c r="AE672" s="435"/>
      <c r="AF672" s="435"/>
      <c r="AG672" s="435"/>
      <c r="AH672" s="435"/>
      <c r="AI672" s="435"/>
      <c r="AJ672" s="435"/>
      <c r="AK672" s="435"/>
      <c r="AL672" s="493"/>
      <c r="AM672" s="495"/>
      <c r="AN672" s="496"/>
    </row>
    <row r="673" spans="1:42" s="449" customFormat="1" ht="12.75" customHeight="1">
      <c r="B673" s="435"/>
      <c r="C673" s="824"/>
      <c r="D673" s="562" t="s">
        <v>2465</v>
      </c>
      <c r="E673" s="2349" t="s">
        <v>2507</v>
      </c>
      <c r="F673" s="2349"/>
      <c r="G673" s="2349"/>
      <c r="H673" s="2349"/>
      <c r="I673" s="2349"/>
      <c r="J673" s="2349"/>
      <c r="K673" s="2349"/>
      <c r="L673" s="2349"/>
      <c r="M673" s="2349"/>
      <c r="N673" s="2349"/>
      <c r="O673" s="2349"/>
      <c r="P673" s="2349"/>
      <c r="Q673" s="2349"/>
      <c r="R673" s="2349"/>
      <c r="S673" s="2349"/>
      <c r="T673" s="2349"/>
      <c r="U673" s="2349"/>
      <c r="V673" s="2349"/>
      <c r="W673" s="2349"/>
      <c r="X673" s="2349"/>
      <c r="Y673" s="2349"/>
      <c r="Z673" s="2349"/>
      <c r="AA673" s="2349"/>
      <c r="AB673" s="2349"/>
      <c r="AC673" s="2349"/>
      <c r="AD673" s="435"/>
      <c r="AE673" s="435"/>
      <c r="AF673" s="2449" t="s">
        <v>2205</v>
      </c>
      <c r="AG673" s="2449"/>
      <c r="AH673" s="2449"/>
      <c r="AI673" s="2449"/>
      <c r="AJ673" s="2449"/>
      <c r="AK673" s="2449"/>
      <c r="AL673" s="2449"/>
      <c r="AM673" s="495"/>
      <c r="AN673" s="496"/>
    </row>
    <row r="674" spans="1:42" s="449" customFormat="1" ht="12.75" customHeight="1">
      <c r="B674" s="435"/>
      <c r="C674" s="824"/>
      <c r="D674" s="562"/>
      <c r="E674" s="2349"/>
      <c r="F674" s="2349"/>
      <c r="G674" s="2349"/>
      <c r="H674" s="2349"/>
      <c r="I674" s="2349"/>
      <c r="J674" s="2349"/>
      <c r="K674" s="2349"/>
      <c r="L674" s="2349"/>
      <c r="M674" s="2349"/>
      <c r="N674" s="2349"/>
      <c r="O674" s="2349"/>
      <c r="P674" s="2349"/>
      <c r="Q674" s="2349"/>
      <c r="R674" s="2349"/>
      <c r="S674" s="2349"/>
      <c r="T674" s="2349"/>
      <c r="U674" s="2349"/>
      <c r="V674" s="2349"/>
      <c r="W674" s="2349"/>
      <c r="X674" s="2349"/>
      <c r="Y674" s="2349"/>
      <c r="Z674" s="2349"/>
      <c r="AA674" s="2349"/>
      <c r="AB674" s="2349"/>
      <c r="AC674" s="2349"/>
      <c r="AD674" s="435"/>
      <c r="AE674" s="435"/>
      <c r="AF674" s="435"/>
      <c r="AG674" s="435"/>
      <c r="AH674" s="435"/>
      <c r="AI674" s="435"/>
      <c r="AJ674" s="435"/>
      <c r="AK674" s="435"/>
      <c r="AL674" s="435"/>
      <c r="AM674" s="495"/>
      <c r="AN674" s="496"/>
    </row>
    <row r="675" spans="1:42" s="449" customFormat="1" ht="12.75" customHeight="1">
      <c r="B675" s="435"/>
      <c r="C675" s="824"/>
      <c r="D675" s="562"/>
      <c r="E675" s="2349"/>
      <c r="F675" s="2349"/>
      <c r="G675" s="2349"/>
      <c r="H675" s="2349"/>
      <c r="I675" s="2349"/>
      <c r="J675" s="2349"/>
      <c r="K675" s="2349"/>
      <c r="L675" s="2349"/>
      <c r="M675" s="2349"/>
      <c r="N675" s="2349"/>
      <c r="O675" s="2349"/>
      <c r="P675" s="2349"/>
      <c r="Q675" s="2349"/>
      <c r="R675" s="2349"/>
      <c r="S675" s="2349"/>
      <c r="T675" s="2349"/>
      <c r="U675" s="2349"/>
      <c r="V675" s="2349"/>
      <c r="W675" s="2349"/>
      <c r="X675" s="2349"/>
      <c r="Y675" s="2349"/>
      <c r="Z675" s="2349"/>
      <c r="AA675" s="2349"/>
      <c r="AB675" s="2349"/>
      <c r="AC675" s="2349"/>
      <c r="AD675" s="435"/>
      <c r="AE675" s="435"/>
      <c r="AF675" s="435"/>
      <c r="AG675" s="435"/>
      <c r="AH675" s="435"/>
      <c r="AI675" s="435"/>
      <c r="AJ675" s="435"/>
      <c r="AK675" s="435"/>
      <c r="AL675" s="435"/>
      <c r="AM675" s="495"/>
      <c r="AN675" s="496"/>
    </row>
    <row r="676" spans="1:42" s="449" customFormat="1" ht="12.75" customHeight="1">
      <c r="B676" s="435"/>
      <c r="C676" s="824"/>
      <c r="D676" s="562"/>
      <c r="E676" s="435"/>
      <c r="F676" s="435"/>
      <c r="G676" s="435"/>
      <c r="H676" s="435"/>
      <c r="I676" s="435"/>
      <c r="J676" s="435"/>
      <c r="K676" s="435"/>
      <c r="L676" s="435"/>
      <c r="M676" s="435"/>
      <c r="N676" s="435"/>
      <c r="O676" s="435"/>
      <c r="P676" s="435"/>
      <c r="Q676" s="435"/>
      <c r="R676" s="435"/>
      <c r="S676" s="435"/>
      <c r="T676" s="435"/>
      <c r="U676" s="435"/>
      <c r="V676" s="435"/>
      <c r="W676" s="435"/>
      <c r="X676" s="435"/>
      <c r="Y676" s="435"/>
      <c r="Z676" s="435"/>
      <c r="AA676" s="435"/>
      <c r="AB676" s="435"/>
      <c r="AC676" s="435"/>
      <c r="AD676" s="435"/>
      <c r="AE676" s="435"/>
      <c r="AF676" s="435"/>
      <c r="AG676" s="435"/>
      <c r="AH676" s="435"/>
      <c r="AI676" s="435"/>
      <c r="AJ676" s="435"/>
      <c r="AK676" s="435"/>
      <c r="AL676" s="435"/>
      <c r="AM676" s="495"/>
      <c r="AN676" s="496"/>
    </row>
    <row r="677" spans="1:42" s="449" customFormat="1" ht="12.75" customHeight="1">
      <c r="A677" s="578"/>
      <c r="B677" s="435"/>
      <c r="C677" s="824"/>
      <c r="D677" s="562" t="s">
        <v>2493</v>
      </c>
      <c r="E677" s="2349" t="s">
        <v>2508</v>
      </c>
      <c r="F677" s="2349"/>
      <c r="G677" s="2349"/>
      <c r="H677" s="2349"/>
      <c r="I677" s="2349"/>
      <c r="J677" s="2349"/>
      <c r="K677" s="2349"/>
      <c r="L677" s="2349"/>
      <c r="M677" s="2349"/>
      <c r="N677" s="2349"/>
      <c r="O677" s="2349"/>
      <c r="P677" s="2349"/>
      <c r="Q677" s="2349"/>
      <c r="R677" s="2349"/>
      <c r="S677" s="2349"/>
      <c r="T677" s="2349"/>
      <c r="U677" s="2349"/>
      <c r="V677" s="2349"/>
      <c r="W677" s="2349"/>
      <c r="X677" s="2349"/>
      <c r="Y677" s="2349"/>
      <c r="Z677" s="2349"/>
      <c r="AA677" s="2349"/>
      <c r="AB677" s="2349"/>
      <c r="AC677" s="2349"/>
      <c r="AD677" s="435"/>
      <c r="AE677" s="435"/>
      <c r="AF677" s="2449" t="s">
        <v>2492</v>
      </c>
      <c r="AG677" s="2449"/>
      <c r="AH677" s="2449"/>
      <c r="AI677" s="2449"/>
      <c r="AJ677" s="2449"/>
      <c r="AK677" s="2449"/>
      <c r="AL677" s="2449"/>
      <c r="AM677" s="495"/>
      <c r="AN677" s="496"/>
    </row>
    <row r="678" spans="1:42" s="449" customFormat="1" ht="12.75" customHeight="1">
      <c r="A678" s="578"/>
      <c r="B678" s="435"/>
      <c r="C678" s="824"/>
      <c r="D678" s="562"/>
      <c r="E678" s="2349"/>
      <c r="F678" s="2349"/>
      <c r="G678" s="2349"/>
      <c r="H678" s="2349"/>
      <c r="I678" s="2349"/>
      <c r="J678" s="2349"/>
      <c r="K678" s="2349"/>
      <c r="L678" s="2349"/>
      <c r="M678" s="2349"/>
      <c r="N678" s="2349"/>
      <c r="O678" s="2349"/>
      <c r="P678" s="2349"/>
      <c r="Q678" s="2349"/>
      <c r="R678" s="2349"/>
      <c r="S678" s="2349"/>
      <c r="T678" s="2349"/>
      <c r="U678" s="2349"/>
      <c r="V678" s="2349"/>
      <c r="W678" s="2349"/>
      <c r="X678" s="2349"/>
      <c r="Y678" s="2349"/>
      <c r="Z678" s="2349"/>
      <c r="AA678" s="2349"/>
      <c r="AB678" s="2349"/>
      <c r="AC678" s="2349"/>
      <c r="AD678" s="435"/>
      <c r="AE678" s="435"/>
      <c r="AF678" s="493"/>
      <c r="AG678" s="493"/>
      <c r="AH678" s="493"/>
      <c r="AI678" s="493"/>
      <c r="AJ678" s="493"/>
      <c r="AK678" s="493"/>
      <c r="AL678" s="493"/>
      <c r="AM678" s="495"/>
      <c r="AN678" s="496"/>
    </row>
    <row r="679" spans="1:42" s="449" customFormat="1" ht="12.75" customHeight="1">
      <c r="A679" s="578"/>
      <c r="B679" s="435"/>
      <c r="C679" s="824"/>
      <c r="D679" s="562"/>
      <c r="E679" s="2349"/>
      <c r="F679" s="2349"/>
      <c r="G679" s="2349"/>
      <c r="H679" s="2349"/>
      <c r="I679" s="2349"/>
      <c r="J679" s="2349"/>
      <c r="K679" s="2349"/>
      <c r="L679" s="2349"/>
      <c r="M679" s="2349"/>
      <c r="N679" s="2349"/>
      <c r="O679" s="2349"/>
      <c r="P679" s="2349"/>
      <c r="Q679" s="2349"/>
      <c r="R679" s="2349"/>
      <c r="S679" s="2349"/>
      <c r="T679" s="2349"/>
      <c r="U679" s="2349"/>
      <c r="V679" s="2349"/>
      <c r="W679" s="2349"/>
      <c r="X679" s="2349"/>
      <c r="Y679" s="2349"/>
      <c r="Z679" s="2349"/>
      <c r="AA679" s="2349"/>
      <c r="AB679" s="2349"/>
      <c r="AC679" s="2349"/>
      <c r="AD679" s="435"/>
      <c r="AE679" s="493"/>
      <c r="AF679" s="493"/>
      <c r="AG679" s="493"/>
      <c r="AH679" s="493"/>
      <c r="AI679" s="493"/>
      <c r="AJ679" s="493"/>
      <c r="AK679" s="493"/>
      <c r="AL679" s="493"/>
      <c r="AM679" s="495"/>
      <c r="AN679" s="496"/>
    </row>
    <row r="680" spans="1:42" s="449" customFormat="1" ht="12.75" customHeight="1">
      <c r="A680" s="578"/>
      <c r="B680" s="435"/>
      <c r="C680" s="824"/>
      <c r="D680" s="562"/>
      <c r="E680" s="541"/>
      <c r="F680" s="541"/>
      <c r="G680" s="541"/>
      <c r="H680" s="541"/>
      <c r="I680" s="541"/>
      <c r="J680" s="541"/>
      <c r="K680" s="541"/>
      <c r="L680" s="541"/>
      <c r="M680" s="541"/>
      <c r="N680" s="541"/>
      <c r="O680" s="541"/>
      <c r="P680" s="541"/>
      <c r="Q680" s="541"/>
      <c r="R680" s="541"/>
      <c r="S680" s="541"/>
      <c r="T680" s="541"/>
      <c r="U680" s="541"/>
      <c r="V680" s="541"/>
      <c r="W680" s="541"/>
      <c r="X680" s="541"/>
      <c r="Y680" s="541"/>
      <c r="Z680" s="541"/>
      <c r="AA680" s="541"/>
      <c r="AB680" s="541"/>
      <c r="AC680" s="541"/>
      <c r="AD680" s="435"/>
      <c r="AE680" s="493"/>
      <c r="AF680" s="435"/>
      <c r="AG680" s="435"/>
      <c r="AH680" s="435"/>
      <c r="AI680" s="435"/>
      <c r="AJ680" s="435"/>
      <c r="AK680" s="435"/>
      <c r="AL680" s="435"/>
      <c r="AM680" s="495"/>
      <c r="AN680" s="496"/>
      <c r="AO680" s="449" t="s">
        <v>807</v>
      </c>
      <c r="AP680" s="536">
        <v>0</v>
      </c>
    </row>
    <row r="681" spans="1:42" s="449" customFormat="1" ht="12.75" customHeight="1">
      <c r="A681" s="578"/>
      <c r="B681" s="435"/>
      <c r="C681" s="824"/>
      <c r="D681" s="562" t="s">
        <v>2495</v>
      </c>
      <c r="E681" s="2349" t="s">
        <v>2509</v>
      </c>
      <c r="F681" s="2349"/>
      <c r="G681" s="2349"/>
      <c r="H681" s="2349"/>
      <c r="I681" s="2349"/>
      <c r="J681" s="2349"/>
      <c r="K681" s="2349"/>
      <c r="L681" s="2349"/>
      <c r="M681" s="2349"/>
      <c r="N681" s="2349"/>
      <c r="O681" s="2349"/>
      <c r="P681" s="2349"/>
      <c r="Q681" s="2349"/>
      <c r="R681" s="2349"/>
      <c r="S681" s="2349"/>
      <c r="T681" s="2349"/>
      <c r="U681" s="2349"/>
      <c r="V681" s="2349"/>
      <c r="W681" s="2349"/>
      <c r="X681" s="2349"/>
      <c r="Y681" s="2349"/>
      <c r="Z681" s="2349"/>
      <c r="AA681" s="2349"/>
      <c r="AB681" s="2349"/>
      <c r="AC681" s="2349"/>
      <c r="AD681" s="435"/>
      <c r="AE681" s="435"/>
      <c r="AF681" s="2449" t="s">
        <v>2510</v>
      </c>
      <c r="AG681" s="2449"/>
      <c r="AH681" s="2449"/>
      <c r="AI681" s="2449"/>
      <c r="AJ681" s="2449"/>
      <c r="AK681" s="2449"/>
      <c r="AL681" s="2449"/>
      <c r="AM681" s="495"/>
      <c r="AN681" s="496"/>
      <c r="AO681" s="510" t="s">
        <v>22</v>
      </c>
      <c r="AP681" s="449">
        <v>3</v>
      </c>
    </row>
    <row r="682" spans="1:42" s="449" customFormat="1" ht="12.75" customHeight="1">
      <c r="A682" s="578"/>
      <c r="B682" s="435"/>
      <c r="C682" s="824"/>
      <c r="D682" s="562"/>
      <c r="E682" s="2349"/>
      <c r="F682" s="2349"/>
      <c r="G682" s="2349"/>
      <c r="H682" s="2349"/>
      <c r="I682" s="2349"/>
      <c r="J682" s="2349"/>
      <c r="K682" s="2349"/>
      <c r="L682" s="2349"/>
      <c r="M682" s="2349"/>
      <c r="N682" s="2349"/>
      <c r="O682" s="2349"/>
      <c r="P682" s="2349"/>
      <c r="Q682" s="2349"/>
      <c r="R682" s="2349"/>
      <c r="S682" s="2349"/>
      <c r="T682" s="2349"/>
      <c r="U682" s="2349"/>
      <c r="V682" s="2349"/>
      <c r="W682" s="2349"/>
      <c r="X682" s="2349"/>
      <c r="Y682" s="2349"/>
      <c r="Z682" s="2349"/>
      <c r="AA682" s="2349"/>
      <c r="AB682" s="2349"/>
      <c r="AC682" s="2349"/>
      <c r="AD682" s="435"/>
      <c r="AE682" s="435"/>
      <c r="AF682" s="493"/>
      <c r="AG682" s="493"/>
      <c r="AH682" s="493"/>
      <c r="AI682" s="493"/>
      <c r="AJ682" s="493"/>
      <c r="AK682" s="493"/>
      <c r="AL682" s="493"/>
      <c r="AM682" s="495"/>
      <c r="AN682" s="496"/>
      <c r="AO682" s="510" t="s">
        <v>27</v>
      </c>
      <c r="AP682" s="449">
        <v>2</v>
      </c>
    </row>
    <row r="683" spans="1:42" s="449" customFormat="1" ht="12.75" customHeight="1">
      <c r="A683" s="578"/>
      <c r="B683" s="435"/>
      <c r="C683" s="824"/>
      <c r="D683" s="562"/>
      <c r="E683" s="2349"/>
      <c r="F683" s="2349"/>
      <c r="G683" s="2349"/>
      <c r="H683" s="2349"/>
      <c r="I683" s="2349"/>
      <c r="J683" s="2349"/>
      <c r="K683" s="2349"/>
      <c r="L683" s="2349"/>
      <c r="M683" s="2349"/>
      <c r="N683" s="2349"/>
      <c r="O683" s="2349"/>
      <c r="P683" s="2349"/>
      <c r="Q683" s="2349"/>
      <c r="R683" s="2349"/>
      <c r="S683" s="2349"/>
      <c r="T683" s="2349"/>
      <c r="U683" s="2349"/>
      <c r="V683" s="2349"/>
      <c r="W683" s="2349"/>
      <c r="X683" s="2349"/>
      <c r="Y683" s="2349"/>
      <c r="Z683" s="2349"/>
      <c r="AA683" s="2349"/>
      <c r="AB683" s="2349"/>
      <c r="AC683" s="2349"/>
      <c r="AD683" s="435"/>
      <c r="AE683" s="493"/>
      <c r="AF683" s="493"/>
      <c r="AG683" s="493"/>
      <c r="AH683" s="493"/>
      <c r="AI683" s="493"/>
      <c r="AJ683" s="493"/>
      <c r="AK683" s="493"/>
      <c r="AL683" s="493"/>
      <c r="AM683" s="495"/>
      <c r="AN683" s="496"/>
    </row>
    <row r="684" spans="1:42" s="449" customFormat="1" ht="12.75" customHeight="1">
      <c r="A684" s="569"/>
      <c r="B684" s="435"/>
      <c r="C684" s="840"/>
      <c r="D684" s="562"/>
      <c r="E684" s="542"/>
      <c r="F684" s="542"/>
      <c r="G684" s="542"/>
      <c r="H684" s="542"/>
      <c r="I684" s="542"/>
      <c r="J684" s="542"/>
      <c r="K684" s="542"/>
      <c r="L684" s="542"/>
      <c r="M684" s="542"/>
      <c r="N684" s="542"/>
      <c r="O684" s="542"/>
      <c r="P684" s="542"/>
      <c r="Q684" s="542"/>
      <c r="R684" s="542"/>
      <c r="S684" s="542"/>
      <c r="T684" s="542"/>
      <c r="U684" s="542"/>
      <c r="V684" s="542"/>
      <c r="W684" s="542"/>
      <c r="X684" s="542"/>
      <c r="Y684" s="542"/>
      <c r="Z684" s="542"/>
      <c r="AA684" s="542"/>
      <c r="AB684" s="542"/>
      <c r="AC684" s="542"/>
      <c r="AD684" s="435"/>
      <c r="AE684" s="493"/>
      <c r="AF684" s="493"/>
      <c r="AG684" s="493"/>
      <c r="AH684" s="493"/>
      <c r="AI684" s="493"/>
      <c r="AJ684" s="493"/>
      <c r="AK684" s="493"/>
      <c r="AL684" s="493"/>
      <c r="AM684" s="495"/>
      <c r="AN684" s="496"/>
    </row>
    <row r="685" spans="1:42" s="449" customFormat="1" ht="12.75" customHeight="1">
      <c r="A685" s="578"/>
      <c r="B685" s="435"/>
      <c r="C685" s="824"/>
      <c r="D685" s="435" t="s">
        <v>2478</v>
      </c>
      <c r="E685" s="829"/>
      <c r="F685" s="829"/>
      <c r="G685" s="829"/>
      <c r="H685" s="2373" t="s">
        <v>2465</v>
      </c>
      <c r="I685" s="2373"/>
      <c r="J685" s="515"/>
      <c r="K685" s="515"/>
      <c r="L685" s="435"/>
      <c r="M685" s="435"/>
      <c r="N685" s="435"/>
      <c r="O685" s="435"/>
      <c r="P685" s="435"/>
      <c r="Q685" s="435"/>
      <c r="R685" s="435"/>
      <c r="S685" s="435"/>
      <c r="T685" s="435"/>
      <c r="U685" s="435"/>
      <c r="V685" s="435"/>
      <c r="W685" s="435"/>
      <c r="X685" s="435"/>
      <c r="Y685" s="435"/>
      <c r="Z685" s="435"/>
      <c r="AA685" s="435"/>
      <c r="AB685" s="435"/>
      <c r="AC685" s="435"/>
      <c r="AD685" s="435"/>
      <c r="AE685" s="435"/>
      <c r="AF685" s="435"/>
      <c r="AG685" s="435"/>
      <c r="AH685" s="435"/>
      <c r="AI685" s="435"/>
      <c r="AJ685" s="435"/>
      <c r="AK685" s="435"/>
      <c r="AL685" s="435"/>
      <c r="AN685" s="496"/>
    </row>
    <row r="686" spans="1:42" s="449" customFormat="1" ht="12.75" customHeight="1">
      <c r="A686" s="578"/>
      <c r="B686" s="435"/>
      <c r="C686" s="824"/>
      <c r="D686" s="435"/>
      <c r="E686" s="829"/>
      <c r="F686" s="829"/>
      <c r="G686" s="515"/>
      <c r="H686" s="515"/>
      <c r="I686" s="515"/>
      <c r="J686" s="515"/>
      <c r="K686" s="515"/>
      <c r="L686" s="515"/>
      <c r="M686" s="515"/>
      <c r="N686" s="515"/>
      <c r="O686" s="515"/>
      <c r="P686" s="515"/>
      <c r="Q686" s="515"/>
      <c r="R686" s="515"/>
      <c r="S686" s="515"/>
      <c r="T686" s="515"/>
      <c r="U686" s="515"/>
      <c r="V686" s="515"/>
      <c r="W686" s="515"/>
      <c r="X686" s="515"/>
      <c r="Y686" s="515"/>
      <c r="Z686" s="829"/>
      <c r="AA686" s="829"/>
      <c r="AB686" s="829"/>
      <c r="AC686" s="435"/>
      <c r="AD686" s="435"/>
      <c r="AE686" s="435"/>
      <c r="AF686" s="435"/>
      <c r="AG686" s="515"/>
      <c r="AH686" s="515"/>
      <c r="AI686" s="515"/>
      <c r="AJ686" s="515"/>
      <c r="AK686" s="515"/>
      <c r="AL686" s="515"/>
      <c r="AM686" s="450"/>
      <c r="AN686" s="496"/>
    </row>
    <row r="687" spans="1:42" s="449" customFormat="1" ht="12.75" customHeight="1">
      <c r="A687" s="582"/>
      <c r="B687" s="500"/>
      <c r="C687" s="837"/>
      <c r="D687" s="500"/>
      <c r="E687" s="832"/>
      <c r="F687" s="564"/>
      <c r="G687" s="564"/>
      <c r="H687" s="564"/>
      <c r="I687" s="564"/>
      <c r="J687" s="564"/>
      <c r="K687" s="564"/>
      <c r="L687" s="564"/>
      <c r="M687" s="564"/>
      <c r="N687" s="564"/>
      <c r="O687" s="564"/>
      <c r="P687" s="564"/>
      <c r="Q687" s="564"/>
      <c r="R687" s="564"/>
      <c r="S687" s="564"/>
      <c r="T687" s="564"/>
      <c r="U687" s="564"/>
      <c r="V687" s="564"/>
      <c r="W687" s="564"/>
      <c r="X687" s="564"/>
      <c r="Y687" s="832"/>
      <c r="Z687" s="832"/>
      <c r="AA687" s="832"/>
      <c r="AB687" s="500"/>
      <c r="AC687" s="500"/>
      <c r="AD687" s="500"/>
      <c r="AE687" s="500"/>
      <c r="AF687" s="500"/>
      <c r="AG687" s="500"/>
      <c r="AH687" s="500"/>
      <c r="AI687" s="464" t="s">
        <v>2511</v>
      </c>
      <c r="AJ687" s="2356">
        <f>VLOOKUP($H$685,$AO$633:$AP$640,2,FALSE)</f>
        <v>3</v>
      </c>
      <c r="AK687" s="2358"/>
      <c r="AL687" s="494"/>
      <c r="AN687" s="496"/>
    </row>
    <row r="688" spans="1:42" s="449" customFormat="1" ht="12.75" customHeight="1">
      <c r="A688" s="578"/>
      <c r="B688" s="435"/>
      <c r="C688" s="824"/>
      <c r="D688" s="435"/>
      <c r="E688" s="515"/>
      <c r="F688" s="515"/>
      <c r="G688" s="515"/>
      <c r="H688" s="515"/>
      <c r="I688" s="515"/>
      <c r="J688" s="515"/>
      <c r="K688" s="515"/>
      <c r="L688" s="515"/>
      <c r="M688" s="515"/>
      <c r="N688" s="515"/>
      <c r="O688" s="515"/>
      <c r="P688" s="515"/>
      <c r="Q688" s="515"/>
      <c r="R688" s="515"/>
      <c r="S688" s="515"/>
      <c r="T688" s="515"/>
      <c r="U688" s="515"/>
      <c r="V688" s="515"/>
      <c r="W688" s="515"/>
      <c r="X688" s="515"/>
      <c r="Y688" s="515"/>
      <c r="Z688" s="515"/>
      <c r="AA688" s="515"/>
      <c r="AB688" s="515"/>
      <c r="AC688" s="515"/>
      <c r="AD688" s="539"/>
      <c r="AE688" s="435"/>
      <c r="AF688" s="435"/>
      <c r="AG688" s="435"/>
      <c r="AH688" s="435"/>
      <c r="AI688" s="435"/>
      <c r="AJ688" s="435"/>
      <c r="AK688" s="435"/>
      <c r="AL688" s="435"/>
      <c r="AN688" s="496"/>
    </row>
    <row r="689" spans="1:51" s="449" customFormat="1" ht="12.75" customHeight="1">
      <c r="A689" s="578"/>
      <c r="B689" s="435"/>
      <c r="C689" s="438" t="s">
        <v>2512</v>
      </c>
      <c r="D689" s="611"/>
      <c r="E689" s="515"/>
      <c r="F689" s="515"/>
      <c r="G689" s="515"/>
      <c r="H689" s="515"/>
      <c r="I689" s="515"/>
      <c r="J689" s="515"/>
      <c r="K689" s="515"/>
      <c r="L689" s="515"/>
      <c r="M689" s="515"/>
      <c r="N689" s="515"/>
      <c r="O689" s="515"/>
      <c r="P689" s="515"/>
      <c r="Q689" s="515"/>
      <c r="R689" s="515"/>
      <c r="S689" s="515"/>
      <c r="T689" s="515"/>
      <c r="U689" s="515"/>
      <c r="V689" s="515"/>
      <c r="W689" s="515"/>
      <c r="X689" s="515"/>
      <c r="Y689" s="515"/>
      <c r="Z689" s="515"/>
      <c r="AA689" s="515"/>
      <c r="AB689" s="515"/>
      <c r="AC689" s="515"/>
      <c r="AD689" s="539"/>
      <c r="AE689" s="435"/>
      <c r="AF689" s="435"/>
      <c r="AG689" s="435"/>
      <c r="AH689" s="435"/>
      <c r="AI689" s="435"/>
      <c r="AJ689" s="435"/>
      <c r="AK689" s="435"/>
      <c r="AL689" s="435"/>
      <c r="AN689" s="496"/>
      <c r="AW689" s="19" t="s">
        <v>2513</v>
      </c>
      <c r="AX689" s="449">
        <f>Application!Q212</f>
        <v>0</v>
      </c>
    </row>
    <row r="690" spans="1:51" s="449" customFormat="1" ht="12.75" customHeight="1">
      <c r="A690" s="578"/>
      <c r="B690" s="435"/>
      <c r="C690" s="841"/>
      <c r="D690" s="435"/>
      <c r="E690" s="435"/>
      <c r="F690" s="435"/>
      <c r="G690" s="435"/>
      <c r="H690" s="435"/>
      <c r="I690" s="435"/>
      <c r="J690" s="435"/>
      <c r="K690" s="435"/>
      <c r="L690" s="435"/>
      <c r="M690" s="435"/>
      <c r="N690" s="435"/>
      <c r="O690" s="435"/>
      <c r="P690" s="435"/>
      <c r="Q690" s="435"/>
      <c r="R690" s="435"/>
      <c r="S690" s="435"/>
      <c r="T690" s="435"/>
      <c r="U690" s="435"/>
      <c r="V690" s="435"/>
      <c r="W690" s="435"/>
      <c r="X690" s="435"/>
      <c r="Y690" s="435"/>
      <c r="Z690" s="435"/>
      <c r="AA690" s="435"/>
      <c r="AB690" s="435"/>
      <c r="AC690" s="435"/>
      <c r="AD690" s="435"/>
      <c r="AE690" s="435"/>
      <c r="AF690" s="435"/>
      <c r="AG690" s="435"/>
      <c r="AH690" s="435"/>
      <c r="AI690" s="435"/>
      <c r="AJ690" s="435"/>
      <c r="AK690" s="435"/>
      <c r="AL690" s="435"/>
      <c r="AN690" s="496"/>
      <c r="AW690" s="19" t="s">
        <v>2514</v>
      </c>
      <c r="AX690" s="1040">
        <f>Application!G753</f>
        <v>78</v>
      </c>
    </row>
    <row r="691" spans="1:51" s="449" customFormat="1" ht="12.75" customHeight="1">
      <c r="A691" s="578"/>
      <c r="B691" s="435"/>
      <c r="C691" s="841"/>
      <c r="D691" s="562" t="s">
        <v>22</v>
      </c>
      <c r="E691" s="2319" t="s">
        <v>2515</v>
      </c>
      <c r="F691" s="2319"/>
      <c r="G691" s="2319"/>
      <c r="H691" s="2319"/>
      <c r="I691" s="2319"/>
      <c r="J691" s="2319"/>
      <c r="K691" s="2319"/>
      <c r="L691" s="2319"/>
      <c r="M691" s="2319"/>
      <c r="N691" s="2319"/>
      <c r="O691" s="2319"/>
      <c r="P691" s="2319"/>
      <c r="Q691" s="2319"/>
      <c r="R691" s="2319"/>
      <c r="S691" s="2319"/>
      <c r="T691" s="2319"/>
      <c r="U691" s="2319"/>
      <c r="V691" s="2319"/>
      <c r="W691" s="2319"/>
      <c r="X691" s="2319"/>
      <c r="Y691" s="2319"/>
      <c r="Z691" s="2319"/>
      <c r="AA691" s="2319"/>
      <c r="AB691" s="2319"/>
      <c r="AC691" s="435"/>
      <c r="AD691" s="435"/>
      <c r="AE691" s="435"/>
      <c r="AF691" s="2449" t="s">
        <v>2205</v>
      </c>
      <c r="AG691" s="2449"/>
      <c r="AH691" s="2449"/>
      <c r="AI691" s="2449"/>
      <c r="AJ691" s="2449"/>
      <c r="AK691" s="2449"/>
      <c r="AL691" s="2449"/>
      <c r="AN691" s="496"/>
      <c r="AW691" s="19" t="s">
        <v>2516</v>
      </c>
      <c r="AX691" s="449">
        <f>Application!DE753</f>
        <v>24</v>
      </c>
    </row>
    <row r="692" spans="1:51" s="449" customFormat="1" ht="12.75" customHeight="1">
      <c r="A692" s="578"/>
      <c r="B692" s="435"/>
      <c r="C692" s="841"/>
      <c r="D692" s="562"/>
      <c r="E692" s="2319"/>
      <c r="F692" s="2319"/>
      <c r="G692" s="2319"/>
      <c r="H692" s="2319"/>
      <c r="I692" s="2319"/>
      <c r="J692" s="2319"/>
      <c r="K692" s="2319"/>
      <c r="L692" s="2319"/>
      <c r="M692" s="2319"/>
      <c r="N692" s="2319"/>
      <c r="O692" s="2319"/>
      <c r="P692" s="2319"/>
      <c r="Q692" s="2319"/>
      <c r="R692" s="2319"/>
      <c r="S692" s="2319"/>
      <c r="T692" s="2319"/>
      <c r="U692" s="2319"/>
      <c r="V692" s="2319"/>
      <c r="W692" s="2319"/>
      <c r="X692" s="2319"/>
      <c r="Y692" s="2319"/>
      <c r="Z692" s="2319"/>
      <c r="AA692" s="2319"/>
      <c r="AB692" s="2319"/>
      <c r="AC692" s="435"/>
      <c r="AD692" s="435"/>
      <c r="AE692" s="435"/>
      <c r="AF692" s="435"/>
      <c r="AG692" s="435"/>
      <c r="AH692" s="435"/>
      <c r="AI692" s="435"/>
      <c r="AJ692" s="435"/>
      <c r="AK692" s="435"/>
      <c r="AL692" s="435"/>
      <c r="AN692" s="496"/>
      <c r="AW692" s="19" t="s">
        <v>2517</v>
      </c>
      <c r="AX692" s="449">
        <f>Application!DJ753</f>
        <v>0</v>
      </c>
    </row>
    <row r="693" spans="1:51" s="449" customFormat="1" ht="12.75" customHeight="1">
      <c r="A693" s="578"/>
      <c r="B693" s="435"/>
      <c r="C693" s="841"/>
      <c r="D693" s="562"/>
      <c r="E693" s="435"/>
      <c r="F693" s="435"/>
      <c r="G693" s="435"/>
      <c r="H693" s="435"/>
      <c r="I693" s="435"/>
      <c r="J693" s="435"/>
      <c r="K693" s="435"/>
      <c r="L693" s="435"/>
      <c r="M693" s="435"/>
      <c r="N693" s="435"/>
      <c r="O693" s="435"/>
      <c r="P693" s="435"/>
      <c r="Q693" s="435"/>
      <c r="R693" s="435"/>
      <c r="S693" s="435"/>
      <c r="T693" s="435"/>
      <c r="U693" s="435"/>
      <c r="V693" s="435"/>
      <c r="W693" s="435"/>
      <c r="X693" s="435"/>
      <c r="Y693" s="435"/>
      <c r="Z693" s="435"/>
      <c r="AA693" s="435"/>
      <c r="AB693" s="435"/>
      <c r="AC693" s="435"/>
      <c r="AD693" s="435"/>
      <c r="AE693" s="435"/>
      <c r="AF693" s="435"/>
      <c r="AG693" s="435"/>
      <c r="AH693" s="435"/>
      <c r="AI693" s="435"/>
      <c r="AJ693" s="435"/>
      <c r="AK693" s="435"/>
      <c r="AL693" s="435"/>
      <c r="AN693" s="496"/>
      <c r="AW693" s="19" t="s">
        <v>2518</v>
      </c>
      <c r="AX693" s="449">
        <f>Application!DO753</f>
        <v>0</v>
      </c>
    </row>
    <row r="694" spans="1:51" s="449" customFormat="1" ht="12.75" customHeight="1">
      <c r="B694" s="435"/>
      <c r="C694" s="824"/>
      <c r="D694" s="562" t="s">
        <v>27</v>
      </c>
      <c r="E694" s="2349" t="s">
        <v>2519</v>
      </c>
      <c r="F694" s="2349"/>
      <c r="G694" s="2349"/>
      <c r="H694" s="2349"/>
      <c r="I694" s="2349"/>
      <c r="J694" s="2349"/>
      <c r="K694" s="2349"/>
      <c r="L694" s="2349"/>
      <c r="M694" s="2349"/>
      <c r="N694" s="2349"/>
      <c r="O694" s="2349"/>
      <c r="P694" s="2349"/>
      <c r="Q694" s="2349"/>
      <c r="R694" s="2349"/>
      <c r="S694" s="2349"/>
      <c r="T694" s="2349"/>
      <c r="U694" s="2349"/>
      <c r="V694" s="2349"/>
      <c r="W694" s="2349"/>
      <c r="X694" s="2349"/>
      <c r="Y694" s="2349"/>
      <c r="Z694" s="2349"/>
      <c r="AA694" s="2349"/>
      <c r="AB694" s="2349"/>
      <c r="AC694" s="435"/>
      <c r="AD694" s="435"/>
      <c r="AE694" s="435"/>
      <c r="AF694" s="2449" t="s">
        <v>2205</v>
      </c>
      <c r="AG694" s="2449"/>
      <c r="AH694" s="2449"/>
      <c r="AI694" s="2449"/>
      <c r="AJ694" s="2449"/>
      <c r="AK694" s="2449"/>
      <c r="AL694" s="2449"/>
      <c r="AN694" s="496"/>
      <c r="AW694" s="19" t="s">
        <v>2520</v>
      </c>
      <c r="AX694" s="449">
        <f>AX691+AX692+AX693</f>
        <v>24</v>
      </c>
    </row>
    <row r="695" spans="1:51" s="449" customFormat="1" ht="12.75" customHeight="1">
      <c r="B695" s="435"/>
      <c r="C695" s="833"/>
      <c r="D695" s="562"/>
      <c r="E695" s="2349"/>
      <c r="F695" s="2349"/>
      <c r="G695" s="2349"/>
      <c r="H695" s="2349"/>
      <c r="I695" s="2349"/>
      <c r="J695" s="2349"/>
      <c r="K695" s="2349"/>
      <c r="L695" s="2349"/>
      <c r="M695" s="2349"/>
      <c r="N695" s="2349"/>
      <c r="O695" s="2349"/>
      <c r="P695" s="2349"/>
      <c r="Q695" s="2349"/>
      <c r="R695" s="2349"/>
      <c r="S695" s="2349"/>
      <c r="T695" s="2349"/>
      <c r="U695" s="2349"/>
      <c r="V695" s="2349"/>
      <c r="W695" s="2349"/>
      <c r="X695" s="2349"/>
      <c r="Y695" s="2349"/>
      <c r="Z695" s="2349"/>
      <c r="AA695" s="2349"/>
      <c r="AB695" s="2349"/>
      <c r="AC695" s="435"/>
      <c r="AD695" s="435"/>
      <c r="AE695" s="515"/>
      <c r="AF695" s="435"/>
      <c r="AG695" s="435"/>
      <c r="AH695" s="435"/>
      <c r="AI695" s="435"/>
      <c r="AJ695" s="435"/>
      <c r="AK695" s="435"/>
      <c r="AL695" s="435"/>
      <c r="AN695" s="496"/>
      <c r="AO695" s="2363" t="b">
        <f>IF(Application!D211="Special Needs",IF(AY695&gt;=0.25,TRUE,FALSE),IF(AX695&gt;=0.25,TRUE,FALSE))</f>
        <v>1</v>
      </c>
      <c r="AP695" s="2363"/>
      <c r="AW695" s="19" t="s">
        <v>1967</v>
      </c>
      <c r="AX695" s="449">
        <f>IFERROR(AX694/AX690,0)</f>
        <v>0.30769230769230771</v>
      </c>
      <c r="AY695" s="449">
        <f>IFERROR(AX694/(AX690-AX689),0)</f>
        <v>0.30769230769230771</v>
      </c>
    </row>
    <row r="696" spans="1:51" s="449" customFormat="1" ht="12.75" customHeight="1">
      <c r="B696" s="435"/>
      <c r="C696" s="833"/>
      <c r="E696" s="2349"/>
      <c r="F696" s="2349"/>
      <c r="G696" s="2349"/>
      <c r="H696" s="2349"/>
      <c r="I696" s="2349"/>
      <c r="J696" s="2349"/>
      <c r="K696" s="2349"/>
      <c r="L696" s="2349"/>
      <c r="M696" s="2349"/>
      <c r="N696" s="2349"/>
      <c r="O696" s="2349"/>
      <c r="P696" s="2349"/>
      <c r="Q696" s="2349"/>
      <c r="R696" s="2349"/>
      <c r="S696" s="2349"/>
      <c r="T696" s="2349"/>
      <c r="U696" s="2349"/>
      <c r="V696" s="2349"/>
      <c r="W696" s="2349"/>
      <c r="X696" s="2349"/>
      <c r="Y696" s="2349"/>
      <c r="Z696" s="2349"/>
      <c r="AA696" s="2349"/>
      <c r="AB696" s="2349"/>
      <c r="AC696" s="435"/>
      <c r="AD696" s="435"/>
      <c r="AE696" s="515"/>
      <c r="AF696" s="515"/>
      <c r="AG696" s="515"/>
      <c r="AH696" s="515"/>
      <c r="AI696" s="515"/>
      <c r="AJ696" s="515"/>
      <c r="AK696" s="515"/>
      <c r="AL696" s="515"/>
      <c r="AN696" s="496"/>
      <c r="AW696" s="13"/>
    </row>
    <row r="697" spans="1:51" s="449" customFormat="1" ht="28.5" customHeight="1">
      <c r="B697" s="435"/>
      <c r="C697" s="833"/>
      <c r="D697" s="435"/>
      <c r="E697" s="2349"/>
      <c r="F697" s="2349"/>
      <c r="G697" s="2349"/>
      <c r="H697" s="2349"/>
      <c r="I697" s="2349"/>
      <c r="J697" s="2349"/>
      <c r="K697" s="2349"/>
      <c r="L697" s="2349"/>
      <c r="M697" s="2349"/>
      <c r="N697" s="2349"/>
      <c r="O697" s="2349"/>
      <c r="P697" s="2349"/>
      <c r="Q697" s="2349"/>
      <c r="R697" s="2349"/>
      <c r="S697" s="2349"/>
      <c r="T697" s="2349"/>
      <c r="U697" s="2349"/>
      <c r="V697" s="2349"/>
      <c r="W697" s="2349"/>
      <c r="X697" s="2349"/>
      <c r="Y697" s="2349"/>
      <c r="Z697" s="2349"/>
      <c r="AA697" s="2349"/>
      <c r="AB697" s="2349"/>
      <c r="AC697" s="435"/>
      <c r="AD697" s="435"/>
      <c r="AE697" s="515"/>
      <c r="AF697" s="515"/>
      <c r="AG697" s="515"/>
      <c r="AH697" s="515"/>
      <c r="AI697" s="515"/>
      <c r="AJ697" s="515"/>
      <c r="AK697" s="515"/>
      <c r="AL697" s="515"/>
      <c r="AN697" s="496"/>
      <c r="AO697" s="449" t="s">
        <v>807</v>
      </c>
      <c r="AP697" s="572">
        <v>0</v>
      </c>
    </row>
    <row r="698" spans="1:51" s="449" customFormat="1" ht="12.75" customHeight="1">
      <c r="B698" s="435"/>
      <c r="C698" s="833"/>
      <c r="E698" s="474"/>
      <c r="F698" s="474"/>
      <c r="G698" s="474"/>
      <c r="H698" s="474"/>
      <c r="I698" s="474"/>
      <c r="J698" s="474"/>
      <c r="K698" s="474"/>
      <c r="L698" s="474"/>
      <c r="M698" s="474"/>
      <c r="N698" s="474"/>
      <c r="O698" s="474"/>
      <c r="P698" s="474"/>
      <c r="Q698" s="474"/>
      <c r="R698" s="474"/>
      <c r="S698" s="474"/>
      <c r="T698" s="474"/>
      <c r="U698" s="474"/>
      <c r="V698" s="474"/>
      <c r="W698" s="474"/>
      <c r="X698" s="474"/>
      <c r="Y698" s="474"/>
      <c r="Z698" s="474"/>
      <c r="AA698" s="474"/>
      <c r="AB698" s="474"/>
      <c r="AC698" s="435"/>
      <c r="AD698" s="435"/>
      <c r="AE698" s="515"/>
      <c r="AF698" s="515"/>
      <c r="AG698" s="515"/>
      <c r="AH698" s="515"/>
      <c r="AI698" s="515"/>
      <c r="AJ698" s="515"/>
      <c r="AK698" s="515"/>
      <c r="AL698" s="515"/>
      <c r="AN698" s="496"/>
      <c r="AO698" s="510" t="s">
        <v>22</v>
      </c>
      <c r="AP698" s="449">
        <v>2</v>
      </c>
    </row>
    <row r="699" spans="1:51" s="449" customFormat="1" ht="12.75" customHeight="1">
      <c r="B699" s="435"/>
      <c r="C699" s="824"/>
      <c r="D699" s="562" t="s">
        <v>49</v>
      </c>
      <c r="E699" s="2349" t="s">
        <v>2521</v>
      </c>
      <c r="F699" s="2349"/>
      <c r="G699" s="2349"/>
      <c r="H699" s="2349"/>
      <c r="I699" s="2349"/>
      <c r="J699" s="2349"/>
      <c r="K699" s="2349"/>
      <c r="L699" s="2349"/>
      <c r="M699" s="2349"/>
      <c r="N699" s="2349"/>
      <c r="O699" s="2349"/>
      <c r="P699" s="2349"/>
      <c r="Q699" s="2349"/>
      <c r="R699" s="2349"/>
      <c r="S699" s="2349"/>
      <c r="T699" s="2349"/>
      <c r="U699" s="2349"/>
      <c r="V699" s="2349"/>
      <c r="W699" s="2349"/>
      <c r="X699" s="2349"/>
      <c r="Y699" s="2349"/>
      <c r="Z699" s="2349"/>
      <c r="AA699" s="2349"/>
      <c r="AB699" s="2349"/>
      <c r="AC699" s="435"/>
      <c r="AD699" s="435"/>
      <c r="AE699" s="435"/>
      <c r="AF699" s="2449" t="s">
        <v>2492</v>
      </c>
      <c r="AG699" s="2449"/>
      <c r="AH699" s="2449"/>
      <c r="AI699" s="2449"/>
      <c r="AJ699" s="2449"/>
      <c r="AK699" s="2449"/>
      <c r="AL699" s="2449"/>
      <c r="AN699" s="496"/>
      <c r="AO699" s="510" t="s">
        <v>27</v>
      </c>
      <c r="AP699" s="449">
        <v>1</v>
      </c>
    </row>
    <row r="700" spans="1:51" s="449" customFormat="1" ht="12" customHeight="1">
      <c r="B700" s="435"/>
      <c r="C700" s="824"/>
      <c r="E700" s="2349"/>
      <c r="F700" s="2349"/>
      <c r="G700" s="2349"/>
      <c r="H700" s="2349"/>
      <c r="I700" s="2349"/>
      <c r="J700" s="2349"/>
      <c r="K700" s="2349"/>
      <c r="L700" s="2349"/>
      <c r="M700" s="2349"/>
      <c r="N700" s="2349"/>
      <c r="O700" s="2349"/>
      <c r="P700" s="2349"/>
      <c r="Q700" s="2349"/>
      <c r="R700" s="2349"/>
      <c r="S700" s="2349"/>
      <c r="T700" s="2349"/>
      <c r="U700" s="2349"/>
      <c r="V700" s="2349"/>
      <c r="W700" s="2349"/>
      <c r="X700" s="2349"/>
      <c r="Y700" s="2349"/>
      <c r="Z700" s="2349"/>
      <c r="AA700" s="2349"/>
      <c r="AB700" s="2349"/>
      <c r="AC700" s="435"/>
      <c r="AD700" s="435"/>
      <c r="AE700" s="515"/>
      <c r="AF700" s="435"/>
      <c r="AG700" s="435"/>
      <c r="AH700" s="435"/>
      <c r="AI700" s="435"/>
      <c r="AJ700" s="435"/>
      <c r="AK700" s="435"/>
      <c r="AL700" s="435"/>
      <c r="AN700" s="496"/>
    </row>
    <row r="701" spans="1:51" s="449" customFormat="1" ht="12" customHeight="1">
      <c r="B701" s="435"/>
      <c r="C701" s="824"/>
      <c r="D701" s="435"/>
      <c r="E701" s="2349"/>
      <c r="F701" s="2349"/>
      <c r="G701" s="2349"/>
      <c r="H701" s="2349"/>
      <c r="I701" s="2349"/>
      <c r="J701" s="2349"/>
      <c r="K701" s="2349"/>
      <c r="L701" s="2349"/>
      <c r="M701" s="2349"/>
      <c r="N701" s="2349"/>
      <c r="O701" s="2349"/>
      <c r="P701" s="2349"/>
      <c r="Q701" s="2349"/>
      <c r="R701" s="2349"/>
      <c r="S701" s="2349"/>
      <c r="T701" s="2349"/>
      <c r="U701" s="2349"/>
      <c r="V701" s="2349"/>
      <c r="W701" s="2349"/>
      <c r="X701" s="2349"/>
      <c r="Y701" s="2349"/>
      <c r="Z701" s="2349"/>
      <c r="AA701" s="2349"/>
      <c r="AB701" s="2349"/>
      <c r="AC701" s="435"/>
      <c r="AD701" s="435"/>
      <c r="AE701" s="515"/>
      <c r="AF701" s="435"/>
      <c r="AG701" s="435"/>
      <c r="AH701" s="435"/>
      <c r="AI701" s="435"/>
      <c r="AJ701" s="435"/>
      <c r="AK701" s="435"/>
      <c r="AL701" s="435"/>
      <c r="AN701" s="496"/>
    </row>
    <row r="702" spans="1:51" s="449" customFormat="1" ht="12" customHeight="1">
      <c r="B702" s="435"/>
      <c r="C702" s="824"/>
      <c r="D702" s="435"/>
      <c r="E702" s="2349"/>
      <c r="F702" s="2349"/>
      <c r="G702" s="2349"/>
      <c r="H702" s="2349"/>
      <c r="I702" s="2349"/>
      <c r="J702" s="2349"/>
      <c r="K702" s="2349"/>
      <c r="L702" s="2349"/>
      <c r="M702" s="2349"/>
      <c r="N702" s="2349"/>
      <c r="O702" s="2349"/>
      <c r="P702" s="2349"/>
      <c r="Q702" s="2349"/>
      <c r="R702" s="2349"/>
      <c r="S702" s="2349"/>
      <c r="T702" s="2349"/>
      <c r="U702" s="2349"/>
      <c r="V702" s="2349"/>
      <c r="W702" s="2349"/>
      <c r="X702" s="2349"/>
      <c r="Y702" s="2349"/>
      <c r="Z702" s="2349"/>
      <c r="AA702" s="2349"/>
      <c r="AB702" s="2349"/>
      <c r="AC702" s="435"/>
      <c r="AD702" s="435"/>
      <c r="AE702" s="515"/>
      <c r="AF702" s="435"/>
      <c r="AG702" s="435"/>
      <c r="AH702" s="435"/>
      <c r="AI702" s="435"/>
      <c r="AJ702" s="435"/>
      <c r="AK702" s="435"/>
      <c r="AL702" s="435"/>
      <c r="AN702" s="496"/>
    </row>
    <row r="703" spans="1:51" s="469" customFormat="1" ht="13" customHeight="1">
      <c r="A703" s="449"/>
      <c r="B703" s="435"/>
      <c r="C703" s="824"/>
      <c r="D703" s="435"/>
      <c r="E703" s="2349"/>
      <c r="F703" s="2349"/>
      <c r="G703" s="2349"/>
      <c r="H703" s="2349"/>
      <c r="I703" s="2349"/>
      <c r="J703" s="2349"/>
      <c r="K703" s="2349"/>
      <c r="L703" s="2349"/>
      <c r="M703" s="2349"/>
      <c r="N703" s="2349"/>
      <c r="O703" s="2349"/>
      <c r="P703" s="2349"/>
      <c r="Q703" s="2349"/>
      <c r="R703" s="2349"/>
      <c r="S703" s="2349"/>
      <c r="T703" s="2349"/>
      <c r="U703" s="2349"/>
      <c r="V703" s="2349"/>
      <c r="W703" s="2349"/>
      <c r="X703" s="2349"/>
      <c r="Y703" s="2349"/>
      <c r="Z703" s="2349"/>
      <c r="AA703" s="2349"/>
      <c r="AB703" s="2349"/>
      <c r="AC703" s="435"/>
      <c r="AD703" s="435"/>
      <c r="AE703" s="515"/>
      <c r="AF703" s="515"/>
      <c r="AG703" s="515"/>
      <c r="AH703" s="515"/>
      <c r="AI703" s="515"/>
      <c r="AJ703" s="435"/>
      <c r="AK703" s="435"/>
      <c r="AL703" s="435"/>
      <c r="AM703" s="449"/>
      <c r="AN703" s="583"/>
      <c r="AO703" s="449" t="s">
        <v>807</v>
      </c>
      <c r="AP703" s="572">
        <v>0</v>
      </c>
    </row>
    <row r="704" spans="1:51" s="469" customFormat="1" ht="12" customHeight="1">
      <c r="A704" s="449"/>
      <c r="B704" s="435"/>
      <c r="C704" s="824"/>
      <c r="D704" s="435"/>
      <c r="E704" s="542"/>
      <c r="F704" s="542"/>
      <c r="G704" s="542"/>
      <c r="H704" s="542"/>
      <c r="I704" s="542"/>
      <c r="J704" s="542"/>
      <c r="K704" s="542"/>
      <c r="L704" s="542"/>
      <c r="M704" s="542"/>
      <c r="N704" s="542"/>
      <c r="O704" s="542"/>
      <c r="P704" s="542"/>
      <c r="Q704" s="542"/>
      <c r="R704" s="542"/>
      <c r="S704" s="542"/>
      <c r="T704" s="542"/>
      <c r="U704" s="542"/>
      <c r="V704" s="542"/>
      <c r="W704" s="542"/>
      <c r="X704" s="542"/>
      <c r="Y704" s="542"/>
      <c r="Z704" s="542"/>
      <c r="AA704" s="542"/>
      <c r="AB704" s="542"/>
      <c r="AC704" s="435"/>
      <c r="AD704" s="435"/>
      <c r="AE704" s="515"/>
      <c r="AF704" s="515"/>
      <c r="AG704" s="515"/>
      <c r="AH704" s="515"/>
      <c r="AI704" s="515"/>
      <c r="AJ704" s="435"/>
      <c r="AK704" s="435"/>
      <c r="AL704" s="435"/>
      <c r="AM704" s="449"/>
      <c r="AN704" s="583"/>
      <c r="AO704" s="510" t="s">
        <v>22</v>
      </c>
      <c r="AP704" s="449">
        <v>3</v>
      </c>
    </row>
    <row r="705" spans="1:43" s="469" customFormat="1" ht="12.75" customHeight="1">
      <c r="A705" s="449"/>
      <c r="B705" s="435"/>
      <c r="C705" s="824"/>
      <c r="D705" s="435"/>
      <c r="E705" s="2349" t="s">
        <v>2522</v>
      </c>
      <c r="F705" s="2349"/>
      <c r="G705" s="2349"/>
      <c r="H705" s="2349"/>
      <c r="I705" s="2349"/>
      <c r="J705" s="2349"/>
      <c r="K705" s="2349"/>
      <c r="L705" s="2349"/>
      <c r="M705" s="2349"/>
      <c r="N705" s="2349"/>
      <c r="O705" s="2349"/>
      <c r="P705" s="2349"/>
      <c r="Q705" s="2349"/>
      <c r="R705" s="2349"/>
      <c r="S705" s="2349"/>
      <c r="T705" s="2349"/>
      <c r="U705" s="2349"/>
      <c r="V705" s="2349"/>
      <c r="W705" s="2349"/>
      <c r="X705" s="2349"/>
      <c r="Y705" s="2349"/>
      <c r="Z705" s="2349"/>
      <c r="AA705" s="2349"/>
      <c r="AB705" s="2349"/>
      <c r="AC705" s="435"/>
      <c r="AD705" s="435"/>
      <c r="AE705" s="515"/>
      <c r="AF705" s="515"/>
      <c r="AG705" s="515"/>
      <c r="AH705" s="515"/>
      <c r="AI705" s="515"/>
      <c r="AJ705" s="435"/>
      <c r="AK705" s="435"/>
      <c r="AL705" s="435"/>
      <c r="AM705" s="449"/>
      <c r="AN705" s="583"/>
      <c r="AO705" s="510" t="s">
        <v>27</v>
      </c>
      <c r="AP705" s="449">
        <f>3*$AO$695</f>
        <v>3</v>
      </c>
    </row>
    <row r="706" spans="1:43" s="469" customFormat="1" ht="12.75" customHeight="1">
      <c r="A706" s="449"/>
      <c r="B706" s="435"/>
      <c r="C706" s="824"/>
      <c r="D706" s="435"/>
      <c r="E706" s="2349"/>
      <c r="F706" s="2349"/>
      <c r="G706" s="2349"/>
      <c r="H706" s="2349"/>
      <c r="I706" s="2349"/>
      <c r="J706" s="2349"/>
      <c r="K706" s="2349"/>
      <c r="L706" s="2349"/>
      <c r="M706" s="2349"/>
      <c r="N706" s="2349"/>
      <c r="O706" s="2349"/>
      <c r="P706" s="2349"/>
      <c r="Q706" s="2349"/>
      <c r="R706" s="2349"/>
      <c r="S706" s="2349"/>
      <c r="T706" s="2349"/>
      <c r="U706" s="2349"/>
      <c r="V706" s="2349"/>
      <c r="W706" s="2349"/>
      <c r="X706" s="2349"/>
      <c r="Y706" s="2349"/>
      <c r="Z706" s="2349"/>
      <c r="AA706" s="2349"/>
      <c r="AB706" s="2349"/>
      <c r="AC706" s="435"/>
      <c r="AD706" s="435"/>
      <c r="AE706" s="515"/>
      <c r="AF706" s="515"/>
      <c r="AG706" s="515"/>
      <c r="AH706" s="515"/>
      <c r="AI706" s="515"/>
      <c r="AJ706" s="435"/>
      <c r="AK706" s="435"/>
      <c r="AL706" s="435"/>
      <c r="AM706" s="449"/>
      <c r="AN706" s="583"/>
      <c r="AO706" s="510" t="s">
        <v>49</v>
      </c>
      <c r="AP706" s="449">
        <f>2*$AO$695</f>
        <v>2</v>
      </c>
    </row>
    <row r="707" spans="1:43" s="469" customFormat="1" ht="12.75" customHeight="1">
      <c r="A707" s="449"/>
      <c r="B707" s="435"/>
      <c r="C707" s="824"/>
      <c r="D707" s="435"/>
      <c r="E707" s="2349"/>
      <c r="F707" s="2349"/>
      <c r="G707" s="2349"/>
      <c r="H707" s="2349"/>
      <c r="I707" s="2349"/>
      <c r="J707" s="2349"/>
      <c r="K707" s="2349"/>
      <c r="L707" s="2349"/>
      <c r="M707" s="2349"/>
      <c r="N707" s="2349"/>
      <c r="O707" s="2349"/>
      <c r="P707" s="2349"/>
      <c r="Q707" s="2349"/>
      <c r="R707" s="2349"/>
      <c r="S707" s="2349"/>
      <c r="T707" s="2349"/>
      <c r="U707" s="2349"/>
      <c r="V707" s="2349"/>
      <c r="W707" s="2349"/>
      <c r="X707" s="2349"/>
      <c r="Y707" s="2349"/>
      <c r="Z707" s="2349"/>
      <c r="AA707" s="2349"/>
      <c r="AB707" s="2349"/>
      <c r="AC707" s="435"/>
      <c r="AD707" s="435"/>
      <c r="AE707" s="515"/>
      <c r="AF707" s="515"/>
      <c r="AG707" s="515"/>
      <c r="AH707" s="515"/>
      <c r="AI707" s="515"/>
      <c r="AJ707" s="435"/>
      <c r="AK707" s="435"/>
      <c r="AL707" s="435"/>
      <c r="AM707" s="449"/>
      <c r="AN707" s="583"/>
    </row>
    <row r="708" spans="1:43" s="469" customFormat="1" ht="12.75" customHeight="1">
      <c r="A708" s="449"/>
      <c r="B708" s="435"/>
      <c r="C708" s="824"/>
      <c r="D708" s="435"/>
      <c r="E708" s="542"/>
      <c r="F708" s="542"/>
      <c r="G708" s="542"/>
      <c r="H708" s="542"/>
      <c r="I708" s="542"/>
      <c r="J708" s="542"/>
      <c r="K708" s="542"/>
      <c r="L708" s="542"/>
      <c r="M708" s="542"/>
      <c r="N708" s="542"/>
      <c r="O708" s="542"/>
      <c r="P708" s="542"/>
      <c r="Q708" s="542"/>
      <c r="R708" s="542"/>
      <c r="S708" s="542"/>
      <c r="T708" s="542"/>
      <c r="U708" s="542"/>
      <c r="V708" s="542"/>
      <c r="W708" s="542"/>
      <c r="X708" s="542"/>
      <c r="Y708" s="542"/>
      <c r="Z708" s="542"/>
      <c r="AA708" s="542"/>
      <c r="AB708" s="542"/>
      <c r="AC708" s="435"/>
      <c r="AD708" s="435"/>
      <c r="AE708" s="515"/>
      <c r="AF708" s="515"/>
      <c r="AG708" s="515"/>
      <c r="AH708" s="515"/>
      <c r="AI708" s="515"/>
      <c r="AJ708" s="435"/>
      <c r="AK708" s="435"/>
      <c r="AL708" s="435"/>
      <c r="AM708" s="449"/>
      <c r="AN708" s="583"/>
    </row>
    <row r="709" spans="1:43" s="469" customFormat="1" ht="12.75" customHeight="1">
      <c r="A709" s="449"/>
      <c r="B709" s="435"/>
      <c r="C709" s="824"/>
      <c r="D709" s="435" t="s">
        <v>2478</v>
      </c>
      <c r="E709" s="829"/>
      <c r="F709" s="829"/>
      <c r="G709" s="829"/>
      <c r="H709" s="2373" t="s">
        <v>49</v>
      </c>
      <c r="I709" s="2373"/>
      <c r="J709" s="542"/>
      <c r="K709" s="542"/>
      <c r="L709" s="542"/>
      <c r="M709" s="542"/>
      <c r="N709" s="542"/>
      <c r="O709" s="542"/>
      <c r="P709" s="542"/>
      <c r="Q709" s="542"/>
      <c r="R709" s="542"/>
      <c r="S709" s="542"/>
      <c r="T709" s="542"/>
      <c r="U709" s="542"/>
      <c r="V709" s="542"/>
      <c r="W709" s="542"/>
      <c r="X709" s="542"/>
      <c r="Y709" s="542"/>
      <c r="Z709" s="542"/>
      <c r="AA709" s="542"/>
      <c r="AB709" s="542"/>
      <c r="AC709" s="435"/>
      <c r="AD709" s="435"/>
      <c r="AE709" s="515"/>
      <c r="AF709" s="515"/>
      <c r="AG709" s="515"/>
      <c r="AH709" s="515"/>
      <c r="AI709" s="515"/>
      <c r="AJ709" s="435"/>
      <c r="AK709" s="435"/>
      <c r="AL709" s="435"/>
      <c r="AM709" s="449"/>
      <c r="AN709" s="583"/>
      <c r="AP709" s="469" t="s">
        <v>2523</v>
      </c>
    </row>
    <row r="710" spans="1:43" s="469" customFormat="1">
      <c r="A710" s="449"/>
      <c r="B710" s="435"/>
      <c r="C710" s="824"/>
      <c r="D710" s="435"/>
      <c r="E710" s="542"/>
      <c r="F710" s="542"/>
      <c r="G710" s="542"/>
      <c r="H710" s="542"/>
      <c r="I710" s="542"/>
      <c r="J710" s="542"/>
      <c r="K710" s="542"/>
      <c r="L710" s="542"/>
      <c r="M710" s="542"/>
      <c r="N710" s="542"/>
      <c r="O710" s="542"/>
      <c r="P710" s="542"/>
      <c r="Q710" s="542"/>
      <c r="R710" s="542"/>
      <c r="S710" s="542"/>
      <c r="T710" s="542"/>
      <c r="U710" s="542"/>
      <c r="V710" s="542"/>
      <c r="W710" s="542"/>
      <c r="X710" s="542"/>
      <c r="Y710" s="542"/>
      <c r="Z710" s="542"/>
      <c r="AA710" s="542"/>
      <c r="AB710" s="542"/>
      <c r="AC710" s="435"/>
      <c r="AD710" s="435"/>
      <c r="AE710" s="515"/>
      <c r="AF710" s="515"/>
      <c r="AG710" s="515"/>
      <c r="AH710" s="515"/>
      <c r="AI710" s="515"/>
      <c r="AJ710" s="435"/>
      <c r="AK710" s="435"/>
      <c r="AL710" s="435"/>
      <c r="AM710" s="449"/>
      <c r="AN710" s="583"/>
      <c r="AP710" s="469" t="s">
        <v>2488</v>
      </c>
    </row>
    <row r="711" spans="1:43" s="469" customFormat="1" ht="12.75" customHeight="1">
      <c r="A711" s="505"/>
      <c r="B711" s="500"/>
      <c r="C711" s="837"/>
      <c r="D711" s="500"/>
      <c r="E711" s="500"/>
      <c r="F711" s="500"/>
      <c r="G711" s="500"/>
      <c r="H711" s="500"/>
      <c r="I711" s="500"/>
      <c r="J711" s="842"/>
      <c r="K711" s="842"/>
      <c r="L711" s="564"/>
      <c r="M711" s="564"/>
      <c r="N711" s="564"/>
      <c r="O711" s="564"/>
      <c r="P711" s="564"/>
      <c r="Q711" s="564"/>
      <c r="R711" s="564"/>
      <c r="S711" s="564"/>
      <c r="T711" s="564"/>
      <c r="U711" s="564"/>
      <c r="V711" s="564"/>
      <c r="W711" s="564"/>
      <c r="X711" s="564"/>
      <c r="Y711" s="832"/>
      <c r="Z711" s="832"/>
      <c r="AA711" s="832"/>
      <c r="AB711" s="500"/>
      <c r="AC711" s="500"/>
      <c r="AD711" s="500"/>
      <c r="AE711" s="500"/>
      <c r="AF711" s="500"/>
      <c r="AG711" s="500"/>
      <c r="AH711" s="500"/>
      <c r="AI711" s="464" t="s">
        <v>2524</v>
      </c>
      <c r="AJ711" s="2356">
        <f>VLOOKUP($H$709,$AO$703:$AP$706,2,FALSE)</f>
        <v>2</v>
      </c>
      <c r="AK711" s="2358"/>
      <c r="AL711" s="494"/>
      <c r="AM711" s="449"/>
      <c r="AN711" s="583"/>
      <c r="AP711" s="469" t="s">
        <v>2496</v>
      </c>
    </row>
    <row r="712" spans="1:43" s="469" customFormat="1">
      <c r="A712" s="449"/>
      <c r="B712" s="435"/>
      <c r="C712" s="435"/>
      <c r="D712" s="435"/>
      <c r="E712" s="435"/>
      <c r="F712" s="435"/>
      <c r="G712" s="435"/>
      <c r="H712" s="435"/>
      <c r="I712" s="435"/>
      <c r="J712" s="435"/>
      <c r="K712" s="435"/>
      <c r="L712" s="435"/>
      <c r="M712" s="435"/>
      <c r="N712" s="435"/>
      <c r="O712" s="435"/>
      <c r="P712" s="435"/>
      <c r="Q712" s="435"/>
      <c r="R712" s="435"/>
      <c r="S712" s="435"/>
      <c r="T712" s="435"/>
      <c r="U712" s="435"/>
      <c r="V712" s="435"/>
      <c r="W712" s="435"/>
      <c r="X712" s="435"/>
      <c r="Y712" s="435"/>
      <c r="Z712" s="435"/>
      <c r="AA712" s="435"/>
      <c r="AB712" s="435"/>
      <c r="AC712" s="435"/>
      <c r="AD712" s="435"/>
      <c r="AE712" s="515"/>
      <c r="AF712" s="515"/>
      <c r="AG712" s="515"/>
      <c r="AH712" s="515"/>
      <c r="AI712" s="515"/>
      <c r="AJ712" s="435"/>
      <c r="AK712" s="435"/>
      <c r="AL712" s="435"/>
      <c r="AM712" s="449"/>
      <c r="AN712" s="583"/>
      <c r="AP712" s="469" t="s">
        <v>2525</v>
      </c>
    </row>
    <row r="713" spans="1:43" s="469" customFormat="1" ht="12.75" customHeight="1">
      <c r="A713" s="449"/>
      <c r="B713" s="435"/>
      <c r="C713" s="438" t="s">
        <v>2526</v>
      </c>
      <c r="D713" s="611"/>
      <c r="E713" s="435"/>
      <c r="F713" s="435"/>
      <c r="G713" s="435"/>
      <c r="H713" s="435"/>
      <c r="I713" s="435"/>
      <c r="J713" s="435"/>
      <c r="K713" s="435"/>
      <c r="L713" s="435"/>
      <c r="M713" s="435"/>
      <c r="N713" s="435"/>
      <c r="O713" s="435"/>
      <c r="P713" s="435"/>
      <c r="Q713" s="435"/>
      <c r="R713" s="435"/>
      <c r="S713" s="435"/>
      <c r="T713" s="435"/>
      <c r="U713" s="435"/>
      <c r="V713" s="435"/>
      <c r="W713" s="435"/>
      <c r="X713" s="435"/>
      <c r="Y713" s="435"/>
      <c r="Z713" s="435"/>
      <c r="AA713" s="435"/>
      <c r="AB713" s="435"/>
      <c r="AC713" s="435"/>
      <c r="AD713" s="435"/>
      <c r="AE713" s="515"/>
      <c r="AF713" s="515"/>
      <c r="AG713" s="515"/>
      <c r="AH713" s="515"/>
      <c r="AI713" s="515"/>
      <c r="AJ713" s="435"/>
      <c r="AK713" s="435"/>
      <c r="AL713" s="435"/>
      <c r="AM713" s="449"/>
      <c r="AN713" s="583"/>
      <c r="AP713" s="469" t="s">
        <v>2527</v>
      </c>
    </row>
    <row r="714" spans="1:43" s="469" customFormat="1" ht="12.75" customHeight="1">
      <c r="A714" s="449"/>
      <c r="B714" s="435"/>
      <c r="C714" s="824"/>
      <c r="D714" s="435"/>
      <c r="E714" s="435"/>
      <c r="F714" s="435"/>
      <c r="G714" s="435"/>
      <c r="H714" s="435"/>
      <c r="I714" s="435"/>
      <c r="J714" s="435"/>
      <c r="K714" s="435"/>
      <c r="L714" s="435"/>
      <c r="M714" s="435"/>
      <c r="N714" s="435"/>
      <c r="O714" s="435"/>
      <c r="P714" s="435"/>
      <c r="Q714" s="435"/>
      <c r="R714" s="435"/>
      <c r="S714" s="435"/>
      <c r="T714" s="435"/>
      <c r="U714" s="435"/>
      <c r="V714" s="435"/>
      <c r="W714" s="435"/>
      <c r="X714" s="435"/>
      <c r="Y714" s="435"/>
      <c r="Z714" s="435"/>
      <c r="AA714" s="435"/>
      <c r="AB714" s="435"/>
      <c r="AC714" s="435"/>
      <c r="AD714" s="435"/>
      <c r="AE714" s="515"/>
      <c r="AF714" s="515"/>
      <c r="AG714" s="515"/>
      <c r="AH714" s="515"/>
      <c r="AI714" s="515"/>
      <c r="AJ714" s="435"/>
      <c r="AK714" s="435"/>
      <c r="AL714" s="435"/>
      <c r="AM714" s="449"/>
      <c r="AN714" s="583"/>
      <c r="AP714" s="469" t="s">
        <v>2528</v>
      </c>
    </row>
    <row r="715" spans="1:43" s="469" customFormat="1" ht="12.75" customHeight="1">
      <c r="A715" s="536"/>
      <c r="B715" s="435"/>
      <c r="C715" s="824"/>
      <c r="D715" s="562" t="s">
        <v>22</v>
      </c>
      <c r="E715" s="2461" t="s">
        <v>2529</v>
      </c>
      <c r="F715" s="2461"/>
      <c r="G715" s="2461"/>
      <c r="H715" s="2461"/>
      <c r="I715" s="2461"/>
      <c r="J715" s="2461"/>
      <c r="K715" s="2461"/>
      <c r="L715" s="2461"/>
      <c r="M715" s="2461"/>
      <c r="N715" s="2461"/>
      <c r="O715" s="2461"/>
      <c r="P715" s="2461"/>
      <c r="Q715" s="2461"/>
      <c r="R715" s="2461"/>
      <c r="S715" s="2461"/>
      <c r="T715" s="2461"/>
      <c r="U715" s="2461"/>
      <c r="V715" s="2461"/>
      <c r="W715" s="2461"/>
      <c r="X715" s="2461"/>
      <c r="Y715" s="2461"/>
      <c r="Z715" s="2461"/>
      <c r="AA715" s="2461"/>
      <c r="AB715" s="2461"/>
      <c r="AC715" s="435"/>
      <c r="AD715" s="435"/>
      <c r="AE715" s="435"/>
      <c r="AF715" s="2449" t="s">
        <v>2205</v>
      </c>
      <c r="AG715" s="2449"/>
      <c r="AH715" s="2449"/>
      <c r="AI715" s="2449"/>
      <c r="AJ715" s="2449"/>
      <c r="AK715" s="2449"/>
      <c r="AL715" s="2449"/>
      <c r="AM715" s="449"/>
      <c r="AN715" s="583"/>
      <c r="AP715" s="469" t="s">
        <v>2530</v>
      </c>
    </row>
    <row r="716" spans="1:43" s="469" customFormat="1" ht="12" customHeight="1">
      <c r="A716" s="449"/>
      <c r="B716" s="435"/>
      <c r="C716" s="826"/>
      <c r="D716" s="562"/>
      <c r="E716" s="2461"/>
      <c r="F716" s="2461"/>
      <c r="G716" s="2461"/>
      <c r="H716" s="2461"/>
      <c r="I716" s="2461"/>
      <c r="J716" s="2461"/>
      <c r="K716" s="2461"/>
      <c r="L716" s="2461"/>
      <c r="M716" s="2461"/>
      <c r="N716" s="2461"/>
      <c r="O716" s="2461"/>
      <c r="P716" s="2461"/>
      <c r="Q716" s="2461"/>
      <c r="R716" s="2461"/>
      <c r="S716" s="2461"/>
      <c r="T716" s="2461"/>
      <c r="U716" s="2461"/>
      <c r="V716" s="2461"/>
      <c r="W716" s="2461"/>
      <c r="X716" s="2461"/>
      <c r="Y716" s="2461"/>
      <c r="Z716" s="2461"/>
      <c r="AA716" s="2461"/>
      <c r="AB716" s="2461"/>
      <c r="AC716" s="435"/>
      <c r="AD716" s="435"/>
      <c r="AE716" s="435"/>
      <c r="AF716" s="435"/>
      <c r="AG716" s="435"/>
      <c r="AH716" s="435"/>
      <c r="AI716" s="435"/>
      <c r="AJ716" s="435"/>
      <c r="AK716" s="435"/>
      <c r="AL716" s="435"/>
      <c r="AM716" s="449"/>
      <c r="AN716" s="583"/>
      <c r="AP716" s="469" t="s">
        <v>2531</v>
      </c>
    </row>
    <row r="717" spans="1:43" s="469" customFormat="1" ht="14" customHeight="1">
      <c r="A717" s="449"/>
      <c r="B717" s="509"/>
      <c r="C717" s="824"/>
      <c r="D717" s="562"/>
      <c r="E717" s="2461"/>
      <c r="F717" s="2461"/>
      <c r="G717" s="2461"/>
      <c r="H717" s="2461"/>
      <c r="I717" s="2461"/>
      <c r="J717" s="2461"/>
      <c r="K717" s="2461"/>
      <c r="L717" s="2461"/>
      <c r="M717" s="2461"/>
      <c r="N717" s="2461"/>
      <c r="O717" s="2461"/>
      <c r="P717" s="2461"/>
      <c r="Q717" s="2461"/>
      <c r="R717" s="2461"/>
      <c r="S717" s="2461"/>
      <c r="T717" s="2461"/>
      <c r="U717" s="2461"/>
      <c r="V717" s="2461"/>
      <c r="W717" s="2461"/>
      <c r="X717" s="2461"/>
      <c r="Y717" s="2461"/>
      <c r="Z717" s="2461"/>
      <c r="AA717" s="2461"/>
      <c r="AB717" s="2461"/>
      <c r="AC717" s="435"/>
      <c r="AD717" s="435"/>
      <c r="AE717" s="515"/>
      <c r="AF717" s="435"/>
      <c r="AG717" s="435"/>
      <c r="AH717" s="435"/>
      <c r="AI717" s="435"/>
      <c r="AJ717" s="435"/>
      <c r="AK717" s="435"/>
      <c r="AL717" s="435"/>
      <c r="AM717" s="449"/>
      <c r="AN717" s="583"/>
      <c r="AP717" s="469" t="s">
        <v>2532</v>
      </c>
    </row>
    <row r="718" spans="1:43" s="469" customFormat="1" ht="14" customHeight="1">
      <c r="A718" s="449"/>
      <c r="B718" s="509"/>
      <c r="C718" s="824"/>
      <c r="D718" s="562"/>
      <c r="E718" s="829"/>
      <c r="F718" s="829"/>
      <c r="G718" s="829"/>
      <c r="H718" s="829"/>
      <c r="I718" s="829"/>
      <c r="J718" s="829"/>
      <c r="K718" s="829"/>
      <c r="L718" s="829"/>
      <c r="M718" s="829"/>
      <c r="N718" s="829"/>
      <c r="O718" s="829"/>
      <c r="P718" s="829"/>
      <c r="Q718" s="829"/>
      <c r="R718" s="829"/>
      <c r="S718" s="829"/>
      <c r="T718" s="829"/>
      <c r="U718" s="829"/>
      <c r="V718" s="829"/>
      <c r="W718" s="829"/>
      <c r="X718" s="829"/>
      <c r="Y718" s="829"/>
      <c r="Z718" s="829"/>
      <c r="AA718" s="829"/>
      <c r="AB718" s="829"/>
      <c r="AC718" s="435"/>
      <c r="AD718" s="435"/>
      <c r="AE718" s="515"/>
      <c r="AF718" s="435"/>
      <c r="AG718" s="435"/>
      <c r="AH718" s="435"/>
      <c r="AI718" s="435"/>
      <c r="AJ718" s="435"/>
      <c r="AK718" s="435"/>
      <c r="AL718" s="435"/>
      <c r="AM718" s="449"/>
      <c r="AN718" s="583"/>
      <c r="AP718" s="585" t="s">
        <v>2533</v>
      </c>
    </row>
    <row r="719" spans="1:43" s="469" customFormat="1" ht="14" customHeight="1">
      <c r="A719" s="449"/>
      <c r="B719" s="435"/>
      <c r="C719" s="824"/>
      <c r="D719" s="562" t="s">
        <v>27</v>
      </c>
      <c r="E719" s="2462" t="s">
        <v>2534</v>
      </c>
      <c r="F719" s="2462"/>
      <c r="G719" s="2462"/>
      <c r="H719" s="2462"/>
      <c r="I719" s="2462"/>
      <c r="J719" s="2462"/>
      <c r="K719" s="2462"/>
      <c r="L719" s="2462"/>
      <c r="M719" s="2462"/>
      <c r="N719" s="2462"/>
      <c r="O719" s="2462"/>
      <c r="P719" s="2462"/>
      <c r="Q719" s="2462"/>
      <c r="R719" s="2462"/>
      <c r="S719" s="2462"/>
      <c r="T719" s="2462"/>
      <c r="U719" s="2462"/>
      <c r="V719" s="2462"/>
      <c r="W719" s="2462"/>
      <c r="X719" s="2462"/>
      <c r="Y719" s="2462"/>
      <c r="Z719" s="2462"/>
      <c r="AA719" s="2462"/>
      <c r="AB719" s="2462"/>
      <c r="AC719" s="435"/>
      <c r="AD719" s="435"/>
      <c r="AE719" s="435"/>
      <c r="AF719" s="2449" t="s">
        <v>2492</v>
      </c>
      <c r="AG719" s="2449"/>
      <c r="AH719" s="2449"/>
      <c r="AI719" s="2449"/>
      <c r="AJ719" s="2449"/>
      <c r="AK719" s="2449"/>
      <c r="AL719" s="2449"/>
      <c r="AM719" s="449"/>
      <c r="AN719" s="584"/>
    </row>
    <row r="720" spans="1:43" s="469" customFormat="1" ht="12.75" customHeight="1">
      <c r="A720" s="449"/>
      <c r="B720" s="435"/>
      <c r="C720" s="826"/>
      <c r="D720" s="435"/>
      <c r="E720" s="2462"/>
      <c r="F720" s="2462"/>
      <c r="G720" s="2462"/>
      <c r="H720" s="2462"/>
      <c r="I720" s="2462"/>
      <c r="J720" s="2462"/>
      <c r="K720" s="2462"/>
      <c r="L720" s="2462"/>
      <c r="M720" s="2462"/>
      <c r="N720" s="2462"/>
      <c r="O720" s="2462"/>
      <c r="P720" s="2462"/>
      <c r="Q720" s="2462"/>
      <c r="R720" s="2462"/>
      <c r="S720" s="2462"/>
      <c r="T720" s="2462"/>
      <c r="U720" s="2462"/>
      <c r="V720" s="2462"/>
      <c r="W720" s="2462"/>
      <c r="X720" s="2462"/>
      <c r="Y720" s="2462"/>
      <c r="Z720" s="2462"/>
      <c r="AA720" s="2462"/>
      <c r="AB720" s="2462"/>
      <c r="AC720" s="435"/>
      <c r="AD720" s="435"/>
      <c r="AE720" s="435"/>
      <c r="AF720" s="435"/>
      <c r="AG720" s="435"/>
      <c r="AH720" s="435"/>
      <c r="AI720" s="435"/>
      <c r="AJ720" s="435"/>
      <c r="AK720" s="435"/>
      <c r="AL720" s="435"/>
      <c r="AM720" s="449"/>
      <c r="AN720" s="583"/>
      <c r="AP720" s="449" t="s">
        <v>807</v>
      </c>
      <c r="AQ720" s="572">
        <v>0</v>
      </c>
    </row>
    <row r="721" spans="1:81" s="469" customFormat="1" ht="14" customHeight="1">
      <c r="A721" s="449"/>
      <c r="B721" s="435"/>
      <c r="C721" s="826"/>
      <c r="D721" s="435"/>
      <c r="E721" s="2462"/>
      <c r="F721" s="2462"/>
      <c r="G721" s="2462"/>
      <c r="H721" s="2462"/>
      <c r="I721" s="2462"/>
      <c r="J721" s="2462"/>
      <c r="K721" s="2462"/>
      <c r="L721" s="2462"/>
      <c r="M721" s="2462"/>
      <c r="N721" s="2462"/>
      <c r="O721" s="2462"/>
      <c r="P721" s="2462"/>
      <c r="Q721" s="2462"/>
      <c r="R721" s="2462"/>
      <c r="S721" s="2462"/>
      <c r="T721" s="2462"/>
      <c r="U721" s="2462"/>
      <c r="V721" s="2462"/>
      <c r="W721" s="2462"/>
      <c r="X721" s="2462"/>
      <c r="Y721" s="2462"/>
      <c r="Z721" s="2462"/>
      <c r="AA721" s="2462"/>
      <c r="AB721" s="2462"/>
      <c r="AC721" s="435"/>
      <c r="AD721" s="435"/>
      <c r="AE721" s="435"/>
      <c r="AF721" s="435"/>
      <c r="AG721" s="435"/>
      <c r="AH721" s="435"/>
      <c r="AI721" s="435"/>
      <c r="AJ721" s="435"/>
      <c r="AK721" s="435"/>
      <c r="AL721" s="435"/>
      <c r="AM721" s="449"/>
      <c r="AN721" s="583"/>
      <c r="AP721" s="510" t="s">
        <v>22</v>
      </c>
      <c r="AQ721" s="449">
        <v>3</v>
      </c>
    </row>
    <row r="722" spans="1:81" s="469" customFormat="1" ht="14" customHeight="1">
      <c r="A722" s="449"/>
      <c r="B722" s="435"/>
      <c r="C722" s="826"/>
      <c r="D722" s="435"/>
      <c r="E722" s="843"/>
      <c r="F722" s="843"/>
      <c r="G722" s="843"/>
      <c r="H722" s="843"/>
      <c r="I722" s="843"/>
      <c r="J722" s="843"/>
      <c r="K722" s="843"/>
      <c r="L722" s="843"/>
      <c r="M722" s="843"/>
      <c r="N722" s="843"/>
      <c r="O722" s="843"/>
      <c r="P722" s="843"/>
      <c r="Q722" s="843"/>
      <c r="R722" s="843"/>
      <c r="S722" s="843"/>
      <c r="T722" s="843"/>
      <c r="U722" s="843"/>
      <c r="V722" s="843"/>
      <c r="W722" s="843"/>
      <c r="X722" s="843"/>
      <c r="Y722" s="843"/>
      <c r="Z722" s="843"/>
      <c r="AA722" s="843"/>
      <c r="AB722" s="843"/>
      <c r="AC722" s="435"/>
      <c r="AD722" s="435"/>
      <c r="AE722" s="435"/>
      <c r="AF722" s="435"/>
      <c r="AG722" s="435"/>
      <c r="AH722" s="435"/>
      <c r="AI722" s="435"/>
      <c r="AJ722" s="435"/>
      <c r="AK722" s="435"/>
      <c r="AL722" s="435"/>
      <c r="AM722" s="449"/>
      <c r="AN722" s="583"/>
      <c r="AP722" s="510" t="s">
        <v>27</v>
      </c>
      <c r="AQ722" s="449">
        <v>2</v>
      </c>
    </row>
    <row r="723" spans="1:81" s="469" customFormat="1" ht="14" customHeight="1">
      <c r="A723" s="449"/>
      <c r="B723" s="435"/>
      <c r="C723" s="826"/>
      <c r="D723" s="435" t="s">
        <v>2478</v>
      </c>
      <c r="E723" s="829"/>
      <c r="F723" s="829"/>
      <c r="G723" s="829"/>
      <c r="H723" s="2373" t="s">
        <v>807</v>
      </c>
      <c r="I723" s="2373"/>
      <c r="J723" s="843"/>
      <c r="K723" s="843"/>
      <c r="L723" s="843"/>
      <c r="M723" s="843"/>
      <c r="N723" s="843"/>
      <c r="O723" s="843"/>
      <c r="P723" s="843"/>
      <c r="Q723" s="843"/>
      <c r="R723" s="843"/>
      <c r="S723" s="843"/>
      <c r="T723" s="843"/>
      <c r="U723" s="843"/>
      <c r="V723" s="843"/>
      <c r="W723" s="843"/>
      <c r="X723" s="843"/>
      <c r="Y723" s="843"/>
      <c r="Z723" s="843"/>
      <c r="AA723" s="843"/>
      <c r="AB723" s="843"/>
      <c r="AC723" s="435"/>
      <c r="AD723" s="435"/>
      <c r="AE723" s="435"/>
      <c r="AF723" s="435"/>
      <c r="AG723" s="435"/>
      <c r="AH723" s="435"/>
      <c r="AI723" s="435"/>
      <c r="AJ723" s="435"/>
      <c r="AK723" s="435"/>
      <c r="AL723" s="435"/>
      <c r="AM723" s="449"/>
      <c r="AN723" s="583"/>
    </row>
    <row r="724" spans="1:81" s="469" customFormat="1" ht="14.25" customHeight="1">
      <c r="A724" s="449"/>
      <c r="B724" s="435"/>
      <c r="C724" s="826"/>
      <c r="D724" s="435"/>
      <c r="E724" s="843"/>
      <c r="F724" s="843"/>
      <c r="G724" s="843"/>
      <c r="H724" s="843"/>
      <c r="I724" s="843"/>
      <c r="J724" s="843"/>
      <c r="K724" s="843"/>
      <c r="L724" s="843"/>
      <c r="M724" s="843"/>
      <c r="N724" s="843"/>
      <c r="O724" s="843"/>
      <c r="P724" s="843"/>
      <c r="Q724" s="843"/>
      <c r="R724" s="843"/>
      <c r="S724" s="843"/>
      <c r="T724" s="843"/>
      <c r="U724" s="843"/>
      <c r="V724" s="843"/>
      <c r="W724" s="843"/>
      <c r="X724" s="843"/>
      <c r="Y724" s="843"/>
      <c r="Z724" s="843"/>
      <c r="AA724" s="843"/>
      <c r="AB724" s="843"/>
      <c r="AC724" s="435"/>
      <c r="AD724" s="435"/>
      <c r="AE724" s="435"/>
      <c r="AF724" s="435"/>
      <c r="AG724" s="435"/>
      <c r="AH724" s="435"/>
      <c r="AI724" s="435"/>
      <c r="AJ724" s="435"/>
      <c r="AK724" s="435"/>
      <c r="AL724" s="435"/>
      <c r="AM724" s="449"/>
      <c r="AN724" s="583"/>
    </row>
    <row r="725" spans="1:81" s="469" customFormat="1" ht="12.75" customHeight="1">
      <c r="A725" s="505"/>
      <c r="B725" s="500"/>
      <c r="C725" s="831"/>
      <c r="D725" s="500"/>
      <c r="E725" s="500"/>
      <c r="F725" s="500"/>
      <c r="G725" s="500"/>
      <c r="H725" s="500"/>
      <c r="I725" s="500"/>
      <c r="J725" s="844"/>
      <c r="K725" s="844"/>
      <c r="L725" s="844"/>
      <c r="M725" s="844"/>
      <c r="N725" s="844"/>
      <c r="O725" s="844"/>
      <c r="P725" s="844"/>
      <c r="Q725" s="844"/>
      <c r="R725" s="844"/>
      <c r="S725" s="844"/>
      <c r="T725" s="844"/>
      <c r="U725" s="564"/>
      <c r="V725" s="564"/>
      <c r="W725" s="564"/>
      <c r="X725" s="564"/>
      <c r="Y725" s="832"/>
      <c r="Z725" s="832"/>
      <c r="AA725" s="832"/>
      <c r="AB725" s="500"/>
      <c r="AC725" s="500"/>
      <c r="AD725" s="500"/>
      <c r="AE725" s="500"/>
      <c r="AF725" s="500"/>
      <c r="AG725" s="500"/>
      <c r="AH725" s="500"/>
      <c r="AI725" s="464" t="s">
        <v>2535</v>
      </c>
      <c r="AJ725" s="2356">
        <f>VLOOKUP($H$723,$AP$720:$AQ$722,2,FALSE)</f>
        <v>0</v>
      </c>
      <c r="AK725" s="2358"/>
      <c r="AL725" s="494"/>
      <c r="AM725" s="449"/>
      <c r="AN725" s="583"/>
      <c r="AP725" s="2356"/>
      <c r="AQ725" s="2358"/>
    </row>
    <row r="726" spans="1:81" s="469" customFormat="1">
      <c r="A726" s="449"/>
      <c r="B726" s="509"/>
      <c r="C726" s="824"/>
      <c r="D726" s="828"/>
      <c r="E726" s="515"/>
      <c r="F726" s="515"/>
      <c r="G726" s="515"/>
      <c r="H726" s="515"/>
      <c r="I726" s="515"/>
      <c r="J726" s="515"/>
      <c r="K726" s="515"/>
      <c r="L726" s="515"/>
      <c r="M726" s="515"/>
      <c r="N726" s="515"/>
      <c r="O726" s="515"/>
      <c r="P726" s="515"/>
      <c r="Q726" s="515"/>
      <c r="R726" s="515"/>
      <c r="S726" s="515"/>
      <c r="T726" s="515"/>
      <c r="U726" s="515"/>
      <c r="V726" s="515"/>
      <c r="W726" s="515"/>
      <c r="X726" s="515"/>
      <c r="Y726" s="515"/>
      <c r="Z726" s="515"/>
      <c r="AA726" s="515"/>
      <c r="AB726" s="515"/>
      <c r="AC726" s="435"/>
      <c r="AD726" s="435"/>
      <c r="AE726" s="435"/>
      <c r="AF726" s="435"/>
      <c r="AG726" s="435"/>
      <c r="AH726" s="435"/>
      <c r="AI726" s="435"/>
      <c r="AJ726" s="435"/>
      <c r="AK726" s="435"/>
      <c r="AL726" s="435"/>
      <c r="AM726" s="449"/>
      <c r="AN726" s="583"/>
      <c r="AT726" s="13"/>
      <c r="AU726" s="13"/>
      <c r="AV726" s="13"/>
      <c r="AW726" s="13"/>
      <c r="AX726" s="13"/>
      <c r="AY726" s="13"/>
      <c r="AZ726" s="13"/>
    </row>
    <row r="727" spans="1:81" s="469" customFormat="1" ht="13">
      <c r="A727" s="449"/>
      <c r="B727" s="435"/>
      <c r="C727" s="438" t="s">
        <v>2536</v>
      </c>
      <c r="D727" s="845"/>
      <c r="E727" s="515"/>
      <c r="F727" s="515"/>
      <c r="G727" s="515"/>
      <c r="H727" s="515"/>
      <c r="I727" s="515"/>
      <c r="J727" s="515"/>
      <c r="K727" s="515"/>
      <c r="L727" s="515"/>
      <c r="M727" s="515"/>
      <c r="N727" s="515"/>
      <c r="O727" s="515"/>
      <c r="P727" s="515"/>
      <c r="Q727" s="515"/>
      <c r="R727" s="515"/>
      <c r="S727" s="515"/>
      <c r="T727" s="515"/>
      <c r="U727" s="515"/>
      <c r="V727" s="515"/>
      <c r="W727" s="515"/>
      <c r="X727" s="515"/>
      <c r="Y727" s="515"/>
      <c r="Z727" s="515"/>
      <c r="AA727" s="515"/>
      <c r="AB727" s="515"/>
      <c r="AC727" s="435"/>
      <c r="AD727" s="435"/>
      <c r="AE727" s="435"/>
      <c r="AF727" s="435"/>
      <c r="AG727" s="435"/>
      <c r="AH727" s="435"/>
      <c r="AI727" s="435"/>
      <c r="AJ727" s="435"/>
      <c r="AK727" s="435"/>
      <c r="AL727" s="435"/>
      <c r="AM727" s="449"/>
      <c r="AN727" s="583"/>
      <c r="AT727" s="13"/>
      <c r="AU727" s="13"/>
      <c r="AV727" s="13"/>
      <c r="AW727" s="13"/>
      <c r="AX727" s="13"/>
      <c r="AY727" s="13"/>
      <c r="AZ727" s="13"/>
    </row>
    <row r="728" spans="1:81" s="469" customFormat="1">
      <c r="A728" s="449"/>
      <c r="B728" s="509"/>
      <c r="C728" s="824"/>
      <c r="D728" s="828"/>
      <c r="E728" s="515"/>
      <c r="F728" s="515"/>
      <c r="G728" s="515"/>
      <c r="H728" s="515"/>
      <c r="I728" s="515"/>
      <c r="J728" s="515"/>
      <c r="K728" s="515"/>
      <c r="L728" s="515"/>
      <c r="M728" s="515"/>
      <c r="N728" s="515"/>
      <c r="O728" s="515"/>
      <c r="P728" s="515"/>
      <c r="Q728" s="515"/>
      <c r="R728" s="515"/>
      <c r="S728" s="515"/>
      <c r="T728" s="515"/>
      <c r="U728" s="515"/>
      <c r="V728" s="515"/>
      <c r="W728" s="515"/>
      <c r="X728" s="515"/>
      <c r="Y728" s="515"/>
      <c r="Z728" s="515"/>
      <c r="AA728" s="515"/>
      <c r="AB728" s="515"/>
      <c r="AC728" s="435"/>
      <c r="AD728" s="435"/>
      <c r="AE728" s="435"/>
      <c r="AF728" s="435"/>
      <c r="AG728" s="435"/>
      <c r="AH728" s="435"/>
      <c r="AI728" s="435"/>
      <c r="AJ728" s="435"/>
      <c r="AK728" s="435"/>
      <c r="AL728" s="435"/>
      <c r="AM728" s="449"/>
      <c r="AN728" s="583"/>
      <c r="AT728" s="13"/>
      <c r="AU728" s="13"/>
      <c r="AV728" s="13"/>
      <c r="AW728" s="13"/>
      <c r="AX728" s="13"/>
      <c r="AY728" s="13"/>
      <c r="AZ728" s="13"/>
    </row>
    <row r="729" spans="1:81" s="469" customFormat="1" ht="13">
      <c r="A729" s="449"/>
      <c r="B729" s="435"/>
      <c r="C729" s="824"/>
      <c r="D729" s="562" t="s">
        <v>22</v>
      </c>
      <c r="E729" s="2349" t="s">
        <v>2537</v>
      </c>
      <c r="F729" s="2349"/>
      <c r="G729" s="2349"/>
      <c r="H729" s="2349"/>
      <c r="I729" s="2349"/>
      <c r="J729" s="2349"/>
      <c r="K729" s="2349"/>
      <c r="L729" s="2349"/>
      <c r="M729" s="2349"/>
      <c r="N729" s="2349"/>
      <c r="O729" s="2349"/>
      <c r="P729" s="2349"/>
      <c r="Q729" s="2349"/>
      <c r="R729" s="2349"/>
      <c r="S729" s="2349"/>
      <c r="T729" s="2349"/>
      <c r="U729" s="2349"/>
      <c r="V729" s="2349"/>
      <c r="W729" s="2349"/>
      <c r="X729" s="2349"/>
      <c r="Y729" s="2349"/>
      <c r="Z729" s="2349"/>
      <c r="AA729" s="2349"/>
      <c r="AB729" s="2349"/>
      <c r="AC729" s="435"/>
      <c r="AD729" s="435"/>
      <c r="AE729" s="435"/>
      <c r="AF729" s="2449" t="s">
        <v>2205</v>
      </c>
      <c r="AG729" s="2449"/>
      <c r="AH729" s="2449"/>
      <c r="AI729" s="2449"/>
      <c r="AJ729" s="2449"/>
      <c r="AK729" s="2449"/>
      <c r="AL729" s="2449"/>
      <c r="AM729" s="449"/>
      <c r="AN729" s="583"/>
      <c r="AT729" s="13"/>
      <c r="AU729" s="13"/>
      <c r="AV729" s="13"/>
      <c r="AW729" s="13"/>
      <c r="AX729" s="13"/>
      <c r="AY729" s="13"/>
      <c r="AZ729" s="13"/>
    </row>
    <row r="730" spans="1:81" s="469" customFormat="1" ht="13">
      <c r="A730" s="449"/>
      <c r="B730" s="435"/>
      <c r="C730" s="826"/>
      <c r="D730" s="562"/>
      <c r="E730" s="2349"/>
      <c r="F730" s="2349"/>
      <c r="G730" s="2349"/>
      <c r="H730" s="2349"/>
      <c r="I730" s="2349"/>
      <c r="J730" s="2349"/>
      <c r="K730" s="2349"/>
      <c r="L730" s="2349"/>
      <c r="M730" s="2349"/>
      <c r="N730" s="2349"/>
      <c r="O730" s="2349"/>
      <c r="P730" s="2349"/>
      <c r="Q730" s="2349"/>
      <c r="R730" s="2349"/>
      <c r="S730" s="2349"/>
      <c r="T730" s="2349"/>
      <c r="U730" s="2349"/>
      <c r="V730" s="2349"/>
      <c r="W730" s="2349"/>
      <c r="X730" s="2349"/>
      <c r="Y730" s="2349"/>
      <c r="Z730" s="2349"/>
      <c r="AA730" s="2349"/>
      <c r="AB730" s="2349"/>
      <c r="AC730" s="435"/>
      <c r="AD730" s="435"/>
      <c r="AE730" s="435"/>
      <c r="AF730" s="435"/>
      <c r="AG730" s="435"/>
      <c r="AH730" s="435"/>
      <c r="AI730" s="435"/>
      <c r="AJ730" s="435"/>
      <c r="AK730" s="435"/>
      <c r="AL730" s="435"/>
      <c r="AM730" s="449"/>
      <c r="AN730" s="583"/>
      <c r="AT730" s="13"/>
      <c r="AU730" s="13"/>
      <c r="AV730" s="13"/>
      <c r="AW730" s="13"/>
      <c r="AX730" s="13"/>
      <c r="AY730" s="13"/>
      <c r="AZ730" s="13"/>
    </row>
    <row r="731" spans="1:81" s="469" customFormat="1">
      <c r="A731" s="449"/>
      <c r="B731" s="509"/>
      <c r="C731" s="824"/>
      <c r="D731" s="562"/>
      <c r="E731" s="515"/>
      <c r="F731" s="515"/>
      <c r="G731" s="515"/>
      <c r="H731" s="515"/>
      <c r="I731" s="515"/>
      <c r="J731" s="515"/>
      <c r="K731" s="515"/>
      <c r="L731" s="515"/>
      <c r="M731" s="515"/>
      <c r="N731" s="515"/>
      <c r="O731" s="515"/>
      <c r="P731" s="515"/>
      <c r="Q731" s="515"/>
      <c r="R731" s="515"/>
      <c r="S731" s="515"/>
      <c r="T731" s="515"/>
      <c r="U731" s="515"/>
      <c r="V731" s="515"/>
      <c r="W731" s="515"/>
      <c r="X731" s="515"/>
      <c r="Y731" s="515"/>
      <c r="Z731" s="515"/>
      <c r="AA731" s="515"/>
      <c r="AB731" s="515"/>
      <c r="AC731" s="435"/>
      <c r="AD731" s="435"/>
      <c r="AE731" s="435"/>
      <c r="AF731" s="435"/>
      <c r="AG731" s="435"/>
      <c r="AH731" s="435"/>
      <c r="AI731" s="435"/>
      <c r="AJ731" s="435"/>
      <c r="AK731" s="435"/>
      <c r="AL731" s="435"/>
      <c r="AM731" s="449"/>
      <c r="AN731" s="583"/>
      <c r="AT731" s="13"/>
      <c r="AU731" s="13"/>
      <c r="AV731" s="13"/>
      <c r="AW731" s="13"/>
      <c r="AX731" s="13"/>
      <c r="AY731" s="13"/>
      <c r="AZ731" s="13"/>
    </row>
    <row r="732" spans="1:81" s="469" customFormat="1" ht="12.75" customHeight="1">
      <c r="A732" s="449"/>
      <c r="B732" s="435"/>
      <c r="C732" s="824"/>
      <c r="D732" s="562" t="s">
        <v>27</v>
      </c>
      <c r="E732" s="2349" t="s">
        <v>2538</v>
      </c>
      <c r="F732" s="2349"/>
      <c r="G732" s="2349"/>
      <c r="H732" s="2349"/>
      <c r="I732" s="2349"/>
      <c r="J732" s="2349"/>
      <c r="K732" s="2349"/>
      <c r="L732" s="2349"/>
      <c r="M732" s="2349"/>
      <c r="N732" s="2349"/>
      <c r="O732" s="2349"/>
      <c r="P732" s="2349"/>
      <c r="Q732" s="2349"/>
      <c r="R732" s="2349"/>
      <c r="S732" s="2349"/>
      <c r="T732" s="2349"/>
      <c r="U732" s="2349"/>
      <c r="V732" s="2349"/>
      <c r="W732" s="2349"/>
      <c r="X732" s="2349"/>
      <c r="Y732" s="2349"/>
      <c r="Z732" s="2349"/>
      <c r="AA732" s="2349"/>
      <c r="AB732" s="2349"/>
      <c r="AC732" s="435"/>
      <c r="AD732" s="435"/>
      <c r="AE732" s="435"/>
      <c r="AF732" s="2449" t="s">
        <v>2492</v>
      </c>
      <c r="AG732" s="2449"/>
      <c r="AH732" s="2449"/>
      <c r="AI732" s="2449"/>
      <c r="AJ732" s="2449"/>
      <c r="AK732" s="2449"/>
      <c r="AL732" s="2449"/>
      <c r="AM732" s="449"/>
      <c r="AN732" s="583"/>
      <c r="AT732" s="13"/>
      <c r="AU732" s="13"/>
      <c r="AV732" s="13"/>
      <c r="AW732" s="13"/>
      <c r="AX732" s="13"/>
      <c r="AY732" s="13"/>
      <c r="AZ732" s="13"/>
    </row>
    <row r="733" spans="1:81" s="469" customFormat="1" ht="13">
      <c r="A733" s="449"/>
      <c r="B733" s="435"/>
      <c r="C733" s="826"/>
      <c r="D733" s="435"/>
      <c r="E733" s="2349"/>
      <c r="F733" s="2349"/>
      <c r="G733" s="2349"/>
      <c r="H733" s="2349"/>
      <c r="I733" s="2349"/>
      <c r="J733" s="2349"/>
      <c r="K733" s="2349"/>
      <c r="L733" s="2349"/>
      <c r="M733" s="2349"/>
      <c r="N733" s="2349"/>
      <c r="O733" s="2349"/>
      <c r="P733" s="2349"/>
      <c r="Q733" s="2349"/>
      <c r="R733" s="2349"/>
      <c r="S733" s="2349"/>
      <c r="T733" s="2349"/>
      <c r="U733" s="2349"/>
      <c r="V733" s="2349"/>
      <c r="W733" s="2349"/>
      <c r="X733" s="2349"/>
      <c r="Y733" s="2349"/>
      <c r="Z733" s="2349"/>
      <c r="AA733" s="2349"/>
      <c r="AB733" s="2349"/>
      <c r="AC733" s="435"/>
      <c r="AD733" s="435"/>
      <c r="AE733" s="435"/>
      <c r="AF733" s="435"/>
      <c r="AG733" s="435"/>
      <c r="AH733" s="435"/>
      <c r="AI733" s="435"/>
      <c r="AJ733" s="435"/>
      <c r="AK733" s="435"/>
      <c r="AL733" s="435"/>
      <c r="AM733" s="449"/>
      <c r="AN733" s="583"/>
      <c r="AT733" s="13"/>
      <c r="AU733" s="13"/>
      <c r="AV733" s="13"/>
      <c r="AW733" s="13"/>
      <c r="AX733" s="13"/>
      <c r="AY733" s="13"/>
      <c r="AZ733" s="13"/>
    </row>
    <row r="734" spans="1:81" s="469" customFormat="1" ht="13">
      <c r="A734" s="449"/>
      <c r="B734" s="435"/>
      <c r="C734" s="826"/>
      <c r="D734" s="435"/>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435"/>
      <c r="AD734" s="435"/>
      <c r="AE734" s="435"/>
      <c r="AF734" s="435"/>
      <c r="AG734" s="435"/>
      <c r="AH734" s="435"/>
      <c r="AI734" s="435"/>
      <c r="AJ734" s="435"/>
      <c r="AK734" s="435"/>
      <c r="AL734" s="435"/>
      <c r="AM734" s="449"/>
      <c r="AN734" s="583"/>
      <c r="AT734" s="13"/>
      <c r="AU734" s="13"/>
      <c r="AV734" s="13"/>
      <c r="AW734" s="13"/>
      <c r="AX734" s="13"/>
      <c r="AY734" s="13"/>
      <c r="AZ734" s="13"/>
    </row>
    <row r="735" spans="1:81" s="469" customFormat="1" ht="12.75" customHeight="1">
      <c r="A735" s="449"/>
      <c r="B735" s="435"/>
      <c r="C735" s="826"/>
      <c r="D735" s="435" t="s">
        <v>2478</v>
      </c>
      <c r="E735" s="829"/>
      <c r="F735" s="829"/>
      <c r="G735" s="829"/>
      <c r="H735" s="2373" t="s">
        <v>807</v>
      </c>
      <c r="I735" s="2373"/>
      <c r="J735" s="542"/>
      <c r="K735" s="542"/>
      <c r="L735" s="542"/>
      <c r="M735" s="542"/>
      <c r="N735" s="542"/>
      <c r="O735" s="542"/>
      <c r="P735" s="542"/>
      <c r="Q735" s="542"/>
      <c r="R735" s="542"/>
      <c r="S735" s="542"/>
      <c r="T735" s="542"/>
      <c r="U735" s="542"/>
      <c r="V735" s="542"/>
      <c r="W735" s="542"/>
      <c r="X735" s="542"/>
      <c r="Y735" s="542"/>
      <c r="Z735" s="542"/>
      <c r="AA735" s="542"/>
      <c r="AB735" s="542"/>
      <c r="AC735" s="435"/>
      <c r="AD735" s="435"/>
      <c r="AE735" s="435"/>
      <c r="AF735" s="435"/>
      <c r="AG735" s="435"/>
      <c r="AH735" s="435"/>
      <c r="AI735" s="435"/>
      <c r="AJ735" s="435"/>
      <c r="AK735" s="435"/>
      <c r="AL735" s="435"/>
      <c r="AM735" s="449"/>
      <c r="AN735" s="583"/>
      <c r="AT735" s="13"/>
      <c r="AU735" s="13"/>
      <c r="AV735" s="13"/>
      <c r="AW735" s="13"/>
      <c r="AX735" s="13"/>
      <c r="AY735" s="13"/>
      <c r="AZ735" s="13"/>
    </row>
    <row r="736" spans="1:81" s="469" customFormat="1" ht="13">
      <c r="A736" s="449"/>
      <c r="B736" s="435"/>
      <c r="C736" s="826"/>
      <c r="D736" s="435"/>
      <c r="E736" s="542"/>
      <c r="F736" s="542"/>
      <c r="G736" s="542"/>
      <c r="H736" s="542"/>
      <c r="I736" s="542"/>
      <c r="J736" s="542"/>
      <c r="K736" s="542"/>
      <c r="L736" s="542"/>
      <c r="M736" s="542"/>
      <c r="N736" s="542"/>
      <c r="O736" s="542"/>
      <c r="P736" s="542"/>
      <c r="Q736" s="542"/>
      <c r="R736" s="542"/>
      <c r="S736" s="542"/>
      <c r="T736" s="542"/>
      <c r="U736" s="542"/>
      <c r="V736" s="542"/>
      <c r="W736" s="542"/>
      <c r="X736" s="542"/>
      <c r="Y736" s="542"/>
      <c r="Z736" s="542"/>
      <c r="AA736" s="542"/>
      <c r="AB736" s="542"/>
      <c r="AC736" s="435"/>
      <c r="AD736" s="435"/>
      <c r="AE736" s="435"/>
      <c r="AF736" s="435"/>
      <c r="AG736" s="435"/>
      <c r="AH736" s="435"/>
      <c r="AI736" s="435"/>
      <c r="AJ736" s="435"/>
      <c r="AK736" s="435"/>
      <c r="AL736" s="435"/>
      <c r="AM736" s="449"/>
      <c r="AN736" s="583"/>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69" customFormat="1" ht="13">
      <c r="A737" s="505"/>
      <c r="B737" s="500"/>
      <c r="C737" s="831"/>
      <c r="D737" s="500"/>
      <c r="E737" s="842"/>
      <c r="F737" s="842"/>
      <c r="G737" s="842"/>
      <c r="H737" s="842"/>
      <c r="I737" s="842"/>
      <c r="J737" s="842"/>
      <c r="K737" s="842"/>
      <c r="L737" s="842"/>
      <c r="M737" s="842"/>
      <c r="N737" s="842"/>
      <c r="O737" s="842"/>
      <c r="P737" s="842"/>
      <c r="Q737" s="842"/>
      <c r="R737" s="842"/>
      <c r="S737" s="842"/>
      <c r="T737" s="842"/>
      <c r="U737" s="842"/>
      <c r="V737" s="564"/>
      <c r="W737" s="564"/>
      <c r="X737" s="564"/>
      <c r="Y737" s="832"/>
      <c r="Z737" s="832"/>
      <c r="AA737" s="832"/>
      <c r="AB737" s="500"/>
      <c r="AC737" s="500"/>
      <c r="AD737" s="500"/>
      <c r="AE737" s="500"/>
      <c r="AF737" s="500"/>
      <c r="AG737" s="500"/>
      <c r="AH737" s="500"/>
      <c r="AI737" s="464" t="s">
        <v>2539</v>
      </c>
      <c r="AJ737" s="2356">
        <f>VLOOKUP($H$735,$AO$666:$AP$668,2,FALSE)</f>
        <v>0</v>
      </c>
      <c r="AK737" s="2358"/>
      <c r="AL737" s="494"/>
      <c r="AM737" s="449"/>
      <c r="AN737" s="583"/>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69" customFormat="1" ht="12.75" customHeight="1">
      <c r="A738" s="449"/>
      <c r="B738" s="435"/>
      <c r="C738" s="826"/>
      <c r="D738" s="435"/>
      <c r="E738" s="435"/>
      <c r="F738" s="435"/>
      <c r="G738" s="435"/>
      <c r="H738" s="435"/>
      <c r="I738" s="435"/>
      <c r="J738" s="542"/>
      <c r="K738" s="542"/>
      <c r="L738" s="542"/>
      <c r="M738" s="542"/>
      <c r="N738" s="435"/>
      <c r="O738" s="435"/>
      <c r="P738" s="435"/>
      <c r="Q738" s="435"/>
      <c r="R738" s="435"/>
      <c r="S738" s="435"/>
      <c r="T738" s="435"/>
      <c r="U738" s="435"/>
      <c r="V738" s="435"/>
      <c r="W738" s="435"/>
      <c r="X738" s="435"/>
      <c r="Y738" s="435"/>
      <c r="Z738" s="435"/>
      <c r="AA738" s="435"/>
      <c r="AB738" s="435"/>
      <c r="AC738" s="435"/>
      <c r="AD738" s="435"/>
      <c r="AE738" s="435"/>
      <c r="AF738" s="435"/>
      <c r="AG738" s="435"/>
      <c r="AH738" s="435"/>
      <c r="AI738" s="435"/>
      <c r="AJ738" s="435"/>
      <c r="AK738" s="435"/>
      <c r="AL738" s="435"/>
      <c r="AM738" s="449"/>
      <c r="AN738" s="583"/>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69" customFormat="1" ht="12.75" customHeight="1">
      <c r="A739" s="449"/>
      <c r="B739" s="435"/>
      <c r="C739" s="438" t="s">
        <v>2540</v>
      </c>
      <c r="D739" s="435"/>
      <c r="E739" s="435"/>
      <c r="F739" s="435"/>
      <c r="G739" s="435"/>
      <c r="H739" s="435"/>
      <c r="I739" s="435"/>
      <c r="J739" s="435"/>
      <c r="K739" s="435"/>
      <c r="L739" s="435"/>
      <c r="M739" s="435"/>
      <c r="N739" s="435"/>
      <c r="O739" s="435"/>
      <c r="P739" s="435"/>
      <c r="Q739" s="435"/>
      <c r="R739" s="435"/>
      <c r="S739" s="435"/>
      <c r="T739" s="435"/>
      <c r="U739" s="435"/>
      <c r="V739" s="435"/>
      <c r="W739" s="435"/>
      <c r="X739" s="435"/>
      <c r="Y739" s="435"/>
      <c r="Z739" s="435"/>
      <c r="AA739" s="435"/>
      <c r="AB739" s="435"/>
      <c r="AC739" s="435"/>
      <c r="AD739" s="435"/>
      <c r="AE739" s="435"/>
      <c r="AF739" s="435"/>
      <c r="AG739" s="435"/>
      <c r="AH739" s="435"/>
      <c r="AI739" s="435"/>
      <c r="AJ739" s="435"/>
      <c r="AK739" s="435"/>
      <c r="AL739" s="435"/>
      <c r="AM739" s="449"/>
      <c r="AN739" s="583"/>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69" customFormat="1">
      <c r="A740" s="449"/>
      <c r="B740" s="509"/>
      <c r="C740" s="846"/>
      <c r="D740" s="509"/>
      <c r="E740" s="509"/>
      <c r="F740" s="435"/>
      <c r="G740" s="435"/>
      <c r="H740" s="509"/>
      <c r="I740" s="509"/>
      <c r="J740" s="509"/>
      <c r="K740" s="509"/>
      <c r="L740" s="509"/>
      <c r="M740" s="509"/>
      <c r="N740" s="509"/>
      <c r="O740" s="509"/>
      <c r="P740" s="509"/>
      <c r="Q740" s="509"/>
      <c r="R740" s="509"/>
      <c r="S740" s="509"/>
      <c r="T740" s="435"/>
      <c r="U740" s="435"/>
      <c r="V740" s="435"/>
      <c r="W740" s="435"/>
      <c r="X740" s="494"/>
      <c r="Y740" s="494"/>
      <c r="Z740" s="494"/>
      <c r="AA740" s="494"/>
      <c r="AB740" s="494"/>
      <c r="AC740" s="435"/>
      <c r="AD740" s="435"/>
      <c r="AE740" s="435"/>
      <c r="AF740" s="435"/>
      <c r="AG740" s="435"/>
      <c r="AH740" s="435"/>
      <c r="AI740" s="435"/>
      <c r="AJ740" s="435"/>
      <c r="AK740" s="435"/>
      <c r="AL740" s="435"/>
      <c r="AM740" s="449"/>
      <c r="AN740" s="583"/>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69" customFormat="1" ht="13">
      <c r="A741" s="449"/>
      <c r="B741" s="435"/>
      <c r="C741" s="824"/>
      <c r="D741" s="562" t="s">
        <v>22</v>
      </c>
      <c r="E741" s="2349" t="s">
        <v>2541</v>
      </c>
      <c r="F741" s="2349"/>
      <c r="G741" s="2349"/>
      <c r="H741" s="2349"/>
      <c r="I741" s="2349"/>
      <c r="J741" s="2349"/>
      <c r="K741" s="2349"/>
      <c r="L741" s="2349"/>
      <c r="M741" s="2349"/>
      <c r="N741" s="2349"/>
      <c r="O741" s="2349"/>
      <c r="P741" s="2349"/>
      <c r="Q741" s="2349"/>
      <c r="R741" s="2349"/>
      <c r="S741" s="2349"/>
      <c r="T741" s="2349"/>
      <c r="U741" s="2349"/>
      <c r="V741" s="2349"/>
      <c r="W741" s="2349"/>
      <c r="X741" s="2349"/>
      <c r="Y741" s="2349"/>
      <c r="Z741" s="2349"/>
      <c r="AA741" s="2349"/>
      <c r="AB741" s="2349"/>
      <c r="AC741" s="435"/>
      <c r="AD741" s="435"/>
      <c r="AE741" s="435"/>
      <c r="AF741" s="2449" t="s">
        <v>2205</v>
      </c>
      <c r="AG741" s="2449"/>
      <c r="AH741" s="2449"/>
      <c r="AI741" s="2449"/>
      <c r="AJ741" s="2449"/>
      <c r="AK741" s="2449"/>
      <c r="AL741" s="2449"/>
      <c r="AM741" s="449"/>
      <c r="AN741" s="583"/>
      <c r="AT741" s="13"/>
      <c r="AU741" s="13"/>
      <c r="AV741" s="13"/>
      <c r="AW741" s="13"/>
      <c r="AX741" s="13"/>
      <c r="AY741" s="13"/>
      <c r="AZ741" s="13"/>
    </row>
    <row r="742" spans="1:81" s="469" customFormat="1" ht="13">
      <c r="A742" s="449"/>
      <c r="B742" s="435"/>
      <c r="C742" s="824"/>
      <c r="D742" s="562"/>
      <c r="E742" s="2349"/>
      <c r="F742" s="2349"/>
      <c r="G742" s="2349"/>
      <c r="H742" s="2349"/>
      <c r="I742" s="2349"/>
      <c r="J742" s="2349"/>
      <c r="K742" s="2349"/>
      <c r="L742" s="2349"/>
      <c r="M742" s="2349"/>
      <c r="N742" s="2349"/>
      <c r="O742" s="2349"/>
      <c r="P742" s="2349"/>
      <c r="Q742" s="2349"/>
      <c r="R742" s="2349"/>
      <c r="S742" s="2349"/>
      <c r="T742" s="2349"/>
      <c r="U742" s="2349"/>
      <c r="V742" s="2349"/>
      <c r="W742" s="2349"/>
      <c r="X742" s="2349"/>
      <c r="Y742" s="2349"/>
      <c r="Z742" s="2349"/>
      <c r="AA742" s="2349"/>
      <c r="AB742" s="2349"/>
      <c r="AC742" s="435"/>
      <c r="AD742" s="435"/>
      <c r="AE742" s="435"/>
      <c r="AF742" s="493"/>
      <c r="AG742" s="493"/>
      <c r="AH742" s="493"/>
      <c r="AI742" s="493"/>
      <c r="AJ742" s="493"/>
      <c r="AK742" s="493"/>
      <c r="AL742" s="493"/>
      <c r="AM742" s="449"/>
      <c r="AN742" s="583"/>
      <c r="AT742" s="13"/>
      <c r="AU742" s="13"/>
      <c r="AV742" s="13"/>
      <c r="AW742" s="13"/>
      <c r="AX742" s="13"/>
      <c r="AY742" s="13"/>
      <c r="AZ742" s="13"/>
    </row>
    <row r="743" spans="1:81" s="469" customFormat="1" ht="13">
      <c r="A743" s="449"/>
      <c r="B743" s="435"/>
      <c r="C743" s="826"/>
      <c r="D743" s="562"/>
      <c r="E743" s="2349"/>
      <c r="F743" s="2349"/>
      <c r="G743" s="2349"/>
      <c r="H743" s="2349"/>
      <c r="I743" s="2349"/>
      <c r="J743" s="2349"/>
      <c r="K743" s="2349"/>
      <c r="L743" s="2349"/>
      <c r="M743" s="2349"/>
      <c r="N743" s="2349"/>
      <c r="O743" s="2349"/>
      <c r="P743" s="2349"/>
      <c r="Q743" s="2349"/>
      <c r="R743" s="2349"/>
      <c r="S743" s="2349"/>
      <c r="T743" s="2349"/>
      <c r="U743" s="2349"/>
      <c r="V743" s="2349"/>
      <c r="W743" s="2349"/>
      <c r="X743" s="2349"/>
      <c r="Y743" s="2349"/>
      <c r="Z743" s="2349"/>
      <c r="AA743" s="2349"/>
      <c r="AB743" s="2349"/>
      <c r="AC743" s="435"/>
      <c r="AD743" s="435"/>
      <c r="AE743" s="435"/>
      <c r="AF743" s="435"/>
      <c r="AG743" s="435"/>
      <c r="AH743" s="435"/>
      <c r="AI743" s="435"/>
      <c r="AJ743" s="435"/>
      <c r="AK743" s="435"/>
      <c r="AL743" s="435"/>
      <c r="AM743" s="449"/>
      <c r="AN743" s="583"/>
    </row>
    <row r="744" spans="1:81" s="469" customFormat="1" ht="12.75" customHeight="1">
      <c r="A744" s="449"/>
      <c r="B744" s="435"/>
      <c r="C744" s="826"/>
      <c r="D744" s="562"/>
      <c r="E744" s="2349"/>
      <c r="F744" s="2349"/>
      <c r="G744" s="2349"/>
      <c r="H744" s="2349"/>
      <c r="I744" s="2349"/>
      <c r="J744" s="2349"/>
      <c r="K744" s="2349"/>
      <c r="L744" s="2349"/>
      <c r="M744" s="2349"/>
      <c r="N744" s="2349"/>
      <c r="O744" s="2349"/>
      <c r="P744" s="2349"/>
      <c r="Q744" s="2349"/>
      <c r="R744" s="2349"/>
      <c r="S744" s="2349"/>
      <c r="T744" s="2349"/>
      <c r="U744" s="2349"/>
      <c r="V744" s="2349"/>
      <c r="W744" s="2349"/>
      <c r="X744" s="2349"/>
      <c r="Y744" s="2349"/>
      <c r="Z744" s="2349"/>
      <c r="AA744" s="2349"/>
      <c r="AB744" s="2349"/>
      <c r="AC744" s="435"/>
      <c r="AD744" s="435"/>
      <c r="AE744" s="435"/>
      <c r="AF744" s="435"/>
      <c r="AG744" s="435"/>
      <c r="AH744" s="435"/>
      <c r="AI744" s="435"/>
      <c r="AJ744" s="435"/>
      <c r="AK744" s="435"/>
      <c r="AL744" s="435"/>
      <c r="AM744" s="449"/>
      <c r="AN744" s="433"/>
      <c r="AO744" s="13"/>
    </row>
    <row r="745" spans="1:81" s="469" customFormat="1">
      <c r="A745" s="578"/>
      <c r="B745" s="494"/>
      <c r="C745" s="824"/>
      <c r="D745" s="562"/>
      <c r="E745" s="839"/>
      <c r="F745" s="839"/>
      <c r="G745" s="839"/>
      <c r="H745" s="839"/>
      <c r="I745" s="839"/>
      <c r="J745" s="839"/>
      <c r="K745" s="839"/>
      <c r="L745" s="839"/>
      <c r="M745" s="839"/>
      <c r="N745" s="839"/>
      <c r="O745" s="839"/>
      <c r="P745" s="839"/>
      <c r="Q745" s="839"/>
      <c r="R745" s="839"/>
      <c r="S745" s="839"/>
      <c r="T745" s="839"/>
      <c r="U745" s="839"/>
      <c r="V745" s="839"/>
      <c r="W745" s="839"/>
      <c r="X745" s="839"/>
      <c r="Y745" s="839"/>
      <c r="Z745" s="839"/>
      <c r="AA745" s="839"/>
      <c r="AB745" s="839"/>
      <c r="AC745" s="435"/>
      <c r="AD745" s="435"/>
      <c r="AE745" s="435"/>
      <c r="AF745" s="435"/>
      <c r="AG745" s="435"/>
      <c r="AH745" s="435"/>
      <c r="AI745" s="435"/>
      <c r="AJ745" s="435"/>
      <c r="AK745" s="435"/>
      <c r="AL745" s="435"/>
      <c r="AM745" s="449"/>
      <c r="AN745" s="583"/>
      <c r="AO745" s="25"/>
      <c r="AP745" s="13"/>
    </row>
    <row r="746" spans="1:81" s="469" customFormat="1" ht="13">
      <c r="A746" s="449"/>
      <c r="B746" s="435"/>
      <c r="C746" s="824"/>
      <c r="D746" s="562" t="s">
        <v>27</v>
      </c>
      <c r="E746" s="2349" t="s">
        <v>2542</v>
      </c>
      <c r="F746" s="2349"/>
      <c r="G746" s="2349"/>
      <c r="H746" s="2349"/>
      <c r="I746" s="2349"/>
      <c r="J746" s="2349"/>
      <c r="K746" s="2349"/>
      <c r="L746" s="2349"/>
      <c r="M746" s="2349"/>
      <c r="N746" s="2349"/>
      <c r="O746" s="2349"/>
      <c r="P746" s="2349"/>
      <c r="Q746" s="2349"/>
      <c r="R746" s="2349"/>
      <c r="S746" s="2349"/>
      <c r="T746" s="2349"/>
      <c r="U746" s="2349"/>
      <c r="V746" s="2349"/>
      <c r="W746" s="2349"/>
      <c r="X746" s="2349"/>
      <c r="Y746" s="2349"/>
      <c r="Z746" s="2349"/>
      <c r="AA746" s="2349"/>
      <c r="AB746" s="474"/>
      <c r="AC746" s="435"/>
      <c r="AD746" s="435"/>
      <c r="AE746" s="435"/>
      <c r="AF746" s="2449" t="s">
        <v>2492</v>
      </c>
      <c r="AG746" s="2449"/>
      <c r="AH746" s="2449"/>
      <c r="AI746" s="2449"/>
      <c r="AJ746" s="2449"/>
      <c r="AK746" s="2449"/>
      <c r="AL746" s="2449"/>
      <c r="AM746" s="449"/>
      <c r="AN746" s="583"/>
      <c r="AO746" s="25"/>
      <c r="AP746" s="13"/>
    </row>
    <row r="747" spans="1:81" s="469" customFormat="1" ht="13">
      <c r="A747" s="449"/>
      <c r="B747" s="435"/>
      <c r="C747" s="824"/>
      <c r="D747" s="562"/>
      <c r="E747" s="2349"/>
      <c r="F747" s="2349"/>
      <c r="G747" s="2349"/>
      <c r="H747" s="2349"/>
      <c r="I747" s="2349"/>
      <c r="J747" s="2349"/>
      <c r="K747" s="2349"/>
      <c r="L747" s="2349"/>
      <c r="M747" s="2349"/>
      <c r="N747" s="2349"/>
      <c r="O747" s="2349"/>
      <c r="P747" s="2349"/>
      <c r="Q747" s="2349"/>
      <c r="R747" s="2349"/>
      <c r="S747" s="2349"/>
      <c r="T747" s="2349"/>
      <c r="U747" s="2349"/>
      <c r="V747" s="2349"/>
      <c r="W747" s="2349"/>
      <c r="X747" s="2349"/>
      <c r="Y747" s="2349"/>
      <c r="Z747" s="2349"/>
      <c r="AA747" s="2349"/>
      <c r="AB747" s="474"/>
      <c r="AC747" s="435"/>
      <c r="AD747" s="435"/>
      <c r="AE747" s="435"/>
      <c r="AF747" s="493"/>
      <c r="AG747" s="493"/>
      <c r="AH747" s="493"/>
      <c r="AI747" s="493"/>
      <c r="AJ747" s="493"/>
      <c r="AK747" s="493"/>
      <c r="AL747" s="493"/>
      <c r="AM747" s="449"/>
      <c r="AN747" s="583"/>
      <c r="AO747" s="25"/>
      <c r="AP747" s="13"/>
    </row>
    <row r="748" spans="1:81" s="469" customFormat="1" ht="13">
      <c r="A748" s="449"/>
      <c r="B748" s="435"/>
      <c r="C748" s="824"/>
      <c r="D748" s="435"/>
      <c r="E748" s="2349"/>
      <c r="F748" s="2349"/>
      <c r="G748" s="2349"/>
      <c r="H748" s="2349"/>
      <c r="I748" s="2349"/>
      <c r="J748" s="2349"/>
      <c r="K748" s="2349"/>
      <c r="L748" s="2349"/>
      <c r="M748" s="2349"/>
      <c r="N748" s="2349"/>
      <c r="O748" s="2349"/>
      <c r="P748" s="2349"/>
      <c r="Q748" s="2349"/>
      <c r="R748" s="2349"/>
      <c r="S748" s="2349"/>
      <c r="T748" s="2349"/>
      <c r="U748" s="2349"/>
      <c r="V748" s="2349"/>
      <c r="W748" s="2349"/>
      <c r="X748" s="2349"/>
      <c r="Y748" s="2349"/>
      <c r="Z748" s="2349"/>
      <c r="AA748" s="2349"/>
      <c r="AB748" s="474"/>
      <c r="AC748" s="493"/>
      <c r="AD748" s="493"/>
      <c r="AE748" s="493"/>
      <c r="AF748" s="493"/>
      <c r="AG748" s="493"/>
      <c r="AH748" s="493"/>
      <c r="AI748" s="493"/>
      <c r="AJ748" s="435"/>
      <c r="AK748" s="435"/>
      <c r="AL748" s="435"/>
      <c r="AM748" s="449"/>
      <c r="AN748" s="583"/>
      <c r="AO748" s="25"/>
      <c r="AP748" s="13"/>
    </row>
    <row r="749" spans="1:81" s="469" customFormat="1" ht="13">
      <c r="A749" s="449"/>
      <c r="B749" s="435"/>
      <c r="C749" s="824"/>
      <c r="D749" s="435"/>
      <c r="E749" s="2349"/>
      <c r="F749" s="2349"/>
      <c r="G749" s="2349"/>
      <c r="H749" s="2349"/>
      <c r="I749" s="2349"/>
      <c r="J749" s="2349"/>
      <c r="K749" s="2349"/>
      <c r="L749" s="2349"/>
      <c r="M749" s="2349"/>
      <c r="N749" s="2349"/>
      <c r="O749" s="2349"/>
      <c r="P749" s="2349"/>
      <c r="Q749" s="2349"/>
      <c r="R749" s="2349"/>
      <c r="S749" s="2349"/>
      <c r="T749" s="2349"/>
      <c r="U749" s="2349"/>
      <c r="V749" s="2349"/>
      <c r="W749" s="2349"/>
      <c r="X749" s="2349"/>
      <c r="Y749" s="2349"/>
      <c r="Z749" s="2349"/>
      <c r="AA749" s="2349"/>
      <c r="AB749" s="474"/>
      <c r="AC749" s="493"/>
      <c r="AD749" s="493"/>
      <c r="AE749" s="493"/>
      <c r="AF749" s="493"/>
      <c r="AG749" s="493"/>
      <c r="AH749" s="493"/>
      <c r="AI749" s="493"/>
      <c r="AJ749" s="435"/>
      <c r="AK749" s="435"/>
      <c r="AL749" s="435"/>
      <c r="AM749" s="449"/>
      <c r="AN749" s="583"/>
      <c r="AO749" s="25"/>
      <c r="AP749" s="13"/>
    </row>
    <row r="750" spans="1:81" s="469" customFormat="1" ht="13">
      <c r="A750" s="449"/>
      <c r="B750" s="435"/>
      <c r="C750" s="824"/>
      <c r="D750" s="435"/>
      <c r="E750" s="541"/>
      <c r="F750" s="541"/>
      <c r="G750" s="541"/>
      <c r="H750" s="541"/>
      <c r="I750" s="541"/>
      <c r="J750" s="541"/>
      <c r="K750" s="541"/>
      <c r="L750" s="541"/>
      <c r="M750" s="541"/>
      <c r="N750" s="541"/>
      <c r="O750" s="541"/>
      <c r="P750" s="541"/>
      <c r="Q750" s="541"/>
      <c r="R750" s="541"/>
      <c r="S750" s="541"/>
      <c r="T750" s="541"/>
      <c r="U750" s="541"/>
      <c r="V750" s="541"/>
      <c r="W750" s="541"/>
      <c r="X750" s="541"/>
      <c r="Y750" s="541"/>
      <c r="Z750" s="541"/>
      <c r="AA750" s="541"/>
      <c r="AB750" s="541"/>
      <c r="AC750" s="493"/>
      <c r="AD750" s="493"/>
      <c r="AE750" s="493"/>
      <c r="AF750" s="493"/>
      <c r="AG750" s="493"/>
      <c r="AH750" s="493"/>
      <c r="AI750" s="493"/>
      <c r="AJ750" s="435"/>
      <c r="AK750" s="435"/>
      <c r="AL750" s="435"/>
      <c r="AM750" s="449"/>
      <c r="AN750" s="583"/>
    </row>
    <row r="751" spans="1:81" s="469" customFormat="1" ht="12.75" customHeight="1">
      <c r="A751" s="449"/>
      <c r="B751" s="435"/>
      <c r="C751" s="824"/>
      <c r="D751" s="435" t="s">
        <v>2478</v>
      </c>
      <c r="E751" s="829"/>
      <c r="F751" s="829"/>
      <c r="G751" s="829"/>
      <c r="H751" s="2373" t="s">
        <v>27</v>
      </c>
      <c r="I751" s="2373"/>
      <c r="J751" s="541"/>
      <c r="K751" s="541"/>
      <c r="L751" s="541"/>
      <c r="M751" s="541"/>
      <c r="N751" s="541"/>
      <c r="O751" s="541"/>
      <c r="P751" s="541"/>
      <c r="Q751" s="541"/>
      <c r="R751" s="541"/>
      <c r="S751" s="541"/>
      <c r="T751" s="541"/>
      <c r="U751" s="541"/>
      <c r="V751" s="541"/>
      <c r="W751" s="541"/>
      <c r="X751" s="541"/>
      <c r="Y751" s="541"/>
      <c r="Z751" s="541"/>
      <c r="AA751" s="541"/>
      <c r="AB751" s="541"/>
      <c r="AC751" s="493"/>
      <c r="AD751" s="493"/>
      <c r="AE751" s="493"/>
      <c r="AF751" s="493"/>
      <c r="AG751" s="493"/>
      <c r="AH751" s="493"/>
      <c r="AI751" s="493"/>
      <c r="AJ751" s="435"/>
      <c r="AK751" s="435"/>
      <c r="AL751" s="435"/>
      <c r="AM751" s="449"/>
      <c r="AN751" s="583"/>
    </row>
    <row r="752" spans="1:81" s="469" customFormat="1" ht="12.75" customHeight="1">
      <c r="A752" s="449"/>
      <c r="B752" s="435"/>
      <c r="C752" s="824"/>
      <c r="D752" s="435"/>
      <c r="E752" s="541"/>
      <c r="F752" s="541"/>
      <c r="G752" s="541"/>
      <c r="H752" s="541"/>
      <c r="I752" s="541"/>
      <c r="J752" s="541"/>
      <c r="K752" s="541"/>
      <c r="L752" s="541"/>
      <c r="M752" s="541"/>
      <c r="N752" s="541"/>
      <c r="O752" s="541"/>
      <c r="P752" s="541"/>
      <c r="Q752" s="541"/>
      <c r="R752" s="541"/>
      <c r="S752" s="541"/>
      <c r="T752" s="541"/>
      <c r="U752" s="541"/>
      <c r="V752" s="541"/>
      <c r="W752" s="541"/>
      <c r="X752" s="541"/>
      <c r="Y752" s="541"/>
      <c r="Z752" s="541"/>
      <c r="AA752" s="541"/>
      <c r="AB752" s="541"/>
      <c r="AC752" s="493"/>
      <c r="AD752" s="493"/>
      <c r="AE752" s="493"/>
      <c r="AF752" s="493"/>
      <c r="AG752" s="493"/>
      <c r="AH752" s="493"/>
      <c r="AI752" s="493"/>
      <c r="AJ752" s="435"/>
      <c r="AK752" s="435"/>
      <c r="AL752" s="435"/>
      <c r="AM752" s="449"/>
      <c r="AN752" s="433"/>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69" customFormat="1" ht="13">
      <c r="A753" s="505"/>
      <c r="B753" s="500"/>
      <c r="C753" s="837"/>
      <c r="D753" s="500"/>
      <c r="E753" s="847"/>
      <c r="F753" s="847"/>
      <c r="G753" s="847"/>
      <c r="H753" s="847"/>
      <c r="I753" s="847"/>
      <c r="J753" s="847"/>
      <c r="K753" s="847"/>
      <c r="L753" s="847"/>
      <c r="M753" s="847"/>
      <c r="N753" s="847"/>
      <c r="O753" s="847"/>
      <c r="P753" s="847"/>
      <c r="Q753" s="847"/>
      <c r="R753" s="847"/>
      <c r="S753" s="847"/>
      <c r="T753" s="847"/>
      <c r="U753" s="847"/>
      <c r="V753" s="847"/>
      <c r="W753" s="847"/>
      <c r="X753" s="847"/>
      <c r="Y753" s="847"/>
      <c r="Z753" s="847"/>
      <c r="AA753" s="847"/>
      <c r="AB753" s="586"/>
      <c r="AC753" s="586"/>
      <c r="AD753" s="586"/>
      <c r="AE753" s="586"/>
      <c r="AF753" s="586"/>
      <c r="AG753" s="586"/>
      <c r="AH753" s="500"/>
      <c r="AI753" s="464" t="s">
        <v>2543</v>
      </c>
      <c r="AJ753" s="2356">
        <f>VLOOKUP($H$751,$AO$680:$AP$682,2,FALSE)</f>
        <v>2</v>
      </c>
      <c r="AK753" s="2358"/>
      <c r="AL753" s="494"/>
      <c r="AM753" s="449"/>
      <c r="AN753" s="433"/>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69" customFormat="1" ht="12.75" customHeight="1">
      <c r="A754" s="536"/>
      <c r="B754" s="435"/>
      <c r="C754" s="826"/>
      <c r="D754" s="435"/>
      <c r="E754" s="435"/>
      <c r="F754" s="435"/>
      <c r="G754" s="435"/>
      <c r="H754" s="435"/>
      <c r="I754" s="435"/>
      <c r="J754" s="541"/>
      <c r="K754" s="541"/>
      <c r="L754" s="542"/>
      <c r="M754" s="542"/>
      <c r="N754" s="542"/>
      <c r="O754" s="542"/>
      <c r="P754" s="542"/>
      <c r="Q754" s="542"/>
      <c r="R754" s="542"/>
      <c r="S754" s="542"/>
      <c r="T754" s="542"/>
      <c r="U754" s="542"/>
      <c r="V754" s="515"/>
      <c r="W754" s="515"/>
      <c r="X754" s="515"/>
      <c r="Y754" s="515"/>
      <c r="Z754" s="829"/>
      <c r="AA754" s="829"/>
      <c r="AB754" s="829"/>
      <c r="AC754" s="435"/>
      <c r="AD754" s="435"/>
      <c r="AE754" s="435"/>
      <c r="AF754" s="435"/>
      <c r="AG754" s="435"/>
      <c r="AH754" s="435"/>
      <c r="AI754" s="435"/>
      <c r="AJ754" s="435"/>
      <c r="AK754" s="435"/>
      <c r="AL754" s="435"/>
      <c r="AM754" s="449"/>
      <c r="AN754" s="433"/>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69" customFormat="1" ht="13">
      <c r="A755" s="449"/>
      <c r="B755" s="435"/>
      <c r="C755" s="438" t="s">
        <v>2532</v>
      </c>
      <c r="D755" s="515"/>
      <c r="E755" s="435"/>
      <c r="F755" s="435"/>
      <c r="G755" s="435"/>
      <c r="H755" s="435"/>
      <c r="I755" s="435"/>
      <c r="J755" s="435"/>
      <c r="K755" s="435"/>
      <c r="L755" s="435"/>
      <c r="M755" s="435"/>
      <c r="N755" s="435"/>
      <c r="O755" s="435"/>
      <c r="P755" s="435"/>
      <c r="Q755" s="435"/>
      <c r="R755" s="435"/>
      <c r="S755" s="435"/>
      <c r="T755" s="435"/>
      <c r="U755" s="435"/>
      <c r="V755" s="435"/>
      <c r="W755" s="435"/>
      <c r="X755" s="435"/>
      <c r="Y755" s="435"/>
      <c r="Z755" s="435"/>
      <c r="AA755" s="435"/>
      <c r="AB755" s="435"/>
      <c r="AC755" s="435"/>
      <c r="AD755" s="435"/>
      <c r="AE755" s="435"/>
      <c r="AF755" s="435"/>
      <c r="AG755" s="435"/>
      <c r="AH755" s="435"/>
      <c r="AI755" s="435"/>
      <c r="AJ755" s="435"/>
      <c r="AK755" s="435"/>
      <c r="AL755" s="435"/>
      <c r="AM755" s="449"/>
      <c r="AN755" s="433"/>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69" customFormat="1">
      <c r="A756" s="449"/>
      <c r="B756" s="515"/>
      <c r="C756" s="435"/>
      <c r="D756" s="435"/>
      <c r="E756" s="515"/>
      <c r="F756" s="515"/>
      <c r="G756" s="515"/>
      <c r="H756" s="515"/>
      <c r="I756" s="515"/>
      <c r="J756" s="515"/>
      <c r="K756" s="515"/>
      <c r="L756" s="515"/>
      <c r="M756" s="515"/>
      <c r="N756" s="515"/>
      <c r="O756" s="515"/>
      <c r="P756" s="515"/>
      <c r="Q756" s="515"/>
      <c r="R756" s="515"/>
      <c r="S756" s="515"/>
      <c r="T756" s="515"/>
      <c r="U756" s="515"/>
      <c r="V756" s="515"/>
      <c r="W756" s="515"/>
      <c r="X756" s="515"/>
      <c r="Y756" s="515"/>
      <c r="Z756" s="515"/>
      <c r="AA756" s="515"/>
      <c r="AB756" s="515"/>
      <c r="AC756" s="515"/>
      <c r="AD756" s="515"/>
      <c r="AE756" s="515"/>
      <c r="AF756" s="515"/>
      <c r="AG756" s="515"/>
      <c r="AH756" s="515"/>
      <c r="AI756" s="435"/>
      <c r="AJ756" s="435"/>
      <c r="AK756" s="435"/>
      <c r="AL756" s="435"/>
      <c r="AM756" s="449"/>
      <c r="AN756" s="433"/>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69" customFormat="1" ht="13">
      <c r="A757" s="449"/>
      <c r="B757" s="435"/>
      <c r="C757" s="824"/>
      <c r="D757" s="562" t="s">
        <v>22</v>
      </c>
      <c r="E757" s="2349" t="s">
        <v>2544</v>
      </c>
      <c r="F757" s="2349"/>
      <c r="G757" s="2349"/>
      <c r="H757" s="2349"/>
      <c r="I757" s="2349"/>
      <c r="J757" s="2349"/>
      <c r="K757" s="2349"/>
      <c r="L757" s="2349"/>
      <c r="M757" s="2349"/>
      <c r="N757" s="2349"/>
      <c r="O757" s="2349"/>
      <c r="P757" s="2349"/>
      <c r="Q757" s="2349"/>
      <c r="R757" s="2349"/>
      <c r="S757" s="2349"/>
      <c r="T757" s="2349"/>
      <c r="U757" s="2349"/>
      <c r="V757" s="2349"/>
      <c r="W757" s="2349"/>
      <c r="X757" s="2349"/>
      <c r="Y757" s="2349"/>
      <c r="Z757" s="2349"/>
      <c r="AA757" s="2349"/>
      <c r="AB757" s="2349"/>
      <c r="AC757" s="435"/>
      <c r="AD757" s="435"/>
      <c r="AE757" s="435"/>
      <c r="AF757" s="2449" t="s">
        <v>2492</v>
      </c>
      <c r="AG757" s="2449"/>
      <c r="AH757" s="2449"/>
      <c r="AI757" s="2449"/>
      <c r="AJ757" s="2449"/>
      <c r="AK757" s="2449"/>
      <c r="AL757" s="2449"/>
      <c r="AM757" s="449"/>
      <c r="AN757" s="433"/>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69" customFormat="1" ht="13">
      <c r="A758" s="449"/>
      <c r="B758" s="435"/>
      <c r="C758" s="826"/>
      <c r="D758" s="562"/>
      <c r="E758" s="2349"/>
      <c r="F758" s="2349"/>
      <c r="G758" s="2349"/>
      <c r="H758" s="2349"/>
      <c r="I758" s="2349"/>
      <c r="J758" s="2349"/>
      <c r="K758" s="2349"/>
      <c r="L758" s="2349"/>
      <c r="M758" s="2349"/>
      <c r="N758" s="2349"/>
      <c r="O758" s="2349"/>
      <c r="P758" s="2349"/>
      <c r="Q758" s="2349"/>
      <c r="R758" s="2349"/>
      <c r="S758" s="2349"/>
      <c r="T758" s="2349"/>
      <c r="U758" s="2349"/>
      <c r="V758" s="2349"/>
      <c r="W758" s="2349"/>
      <c r="X758" s="2349"/>
      <c r="Y758" s="2349"/>
      <c r="Z758" s="2349"/>
      <c r="AA758" s="2349"/>
      <c r="AB758" s="2349"/>
      <c r="AC758" s="435"/>
      <c r="AD758" s="435"/>
      <c r="AE758" s="435"/>
      <c r="AF758" s="435"/>
      <c r="AG758" s="435"/>
      <c r="AH758" s="435"/>
      <c r="AI758" s="435"/>
      <c r="AJ758" s="435"/>
      <c r="AK758" s="435"/>
      <c r="AL758" s="435"/>
      <c r="AM758" s="449"/>
      <c r="AN758" s="433"/>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69" customFormat="1">
      <c r="A759" s="449"/>
      <c r="B759" s="515"/>
      <c r="C759" s="833"/>
      <c r="D759" s="562"/>
      <c r="E759" s="515"/>
      <c r="F759" s="515"/>
      <c r="G759" s="515"/>
      <c r="H759" s="515"/>
      <c r="I759" s="515"/>
      <c r="J759" s="515"/>
      <c r="K759" s="515"/>
      <c r="L759" s="515"/>
      <c r="M759" s="515"/>
      <c r="N759" s="515"/>
      <c r="O759" s="515"/>
      <c r="P759" s="515"/>
      <c r="Q759" s="515"/>
      <c r="R759" s="515"/>
      <c r="S759" s="515"/>
      <c r="T759" s="515"/>
      <c r="U759" s="515"/>
      <c r="V759" s="515"/>
      <c r="W759" s="515"/>
      <c r="X759" s="515"/>
      <c r="Y759" s="515"/>
      <c r="Z759" s="515"/>
      <c r="AA759" s="515"/>
      <c r="AB759" s="515"/>
      <c r="AC759" s="435"/>
      <c r="AD759" s="435"/>
      <c r="AE759" s="515"/>
      <c r="AF759" s="515"/>
      <c r="AG759" s="515"/>
      <c r="AH759" s="515"/>
      <c r="AI759" s="515"/>
      <c r="AJ759" s="515"/>
      <c r="AK759" s="435"/>
      <c r="AL759" s="435"/>
      <c r="AM759" s="449"/>
      <c r="AN759" s="433"/>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69" customFormat="1" ht="13">
      <c r="A760" s="536"/>
      <c r="B760" s="435"/>
      <c r="C760" s="824"/>
      <c r="D760" s="562" t="s">
        <v>27</v>
      </c>
      <c r="E760" s="2349" t="s">
        <v>2545</v>
      </c>
      <c r="F760" s="2349"/>
      <c r="G760" s="2349"/>
      <c r="H760" s="2349"/>
      <c r="I760" s="2349"/>
      <c r="J760" s="2349"/>
      <c r="K760" s="2349"/>
      <c r="L760" s="2349"/>
      <c r="M760" s="2349"/>
      <c r="N760" s="2349"/>
      <c r="O760" s="2349"/>
      <c r="P760" s="2349"/>
      <c r="Q760" s="2349"/>
      <c r="R760" s="2349"/>
      <c r="S760" s="2349"/>
      <c r="T760" s="2349"/>
      <c r="U760" s="2349"/>
      <c r="V760" s="2349"/>
      <c r="W760" s="2349"/>
      <c r="X760" s="2349"/>
      <c r="Y760" s="2349"/>
      <c r="Z760" s="2349"/>
      <c r="AA760" s="2349"/>
      <c r="AB760" s="2349"/>
      <c r="AC760" s="435"/>
      <c r="AD760" s="435"/>
      <c r="AE760" s="435"/>
      <c r="AF760" s="2449" t="s">
        <v>2510</v>
      </c>
      <c r="AG760" s="2449"/>
      <c r="AH760" s="2449"/>
      <c r="AI760" s="2449"/>
      <c r="AJ760" s="2449"/>
      <c r="AK760" s="2449"/>
      <c r="AL760" s="2449"/>
      <c r="AM760" s="449"/>
      <c r="AN760" s="433"/>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69" customFormat="1" ht="12.75" customHeight="1">
      <c r="A761" s="536"/>
      <c r="B761" s="435"/>
      <c r="C761" s="824"/>
      <c r="D761" s="562"/>
      <c r="E761" s="2349"/>
      <c r="F761" s="2349"/>
      <c r="G761" s="2349"/>
      <c r="H761" s="2349"/>
      <c r="I761" s="2349"/>
      <c r="J761" s="2349"/>
      <c r="K761" s="2349"/>
      <c r="L761" s="2349"/>
      <c r="M761" s="2349"/>
      <c r="N761" s="2349"/>
      <c r="O761" s="2349"/>
      <c r="P761" s="2349"/>
      <c r="Q761" s="2349"/>
      <c r="R761" s="2349"/>
      <c r="S761" s="2349"/>
      <c r="T761" s="2349"/>
      <c r="U761" s="2349"/>
      <c r="V761" s="2349"/>
      <c r="W761" s="2349"/>
      <c r="X761" s="2349"/>
      <c r="Y761" s="2349"/>
      <c r="Z761" s="2349"/>
      <c r="AA761" s="2349"/>
      <c r="AB761" s="2349"/>
      <c r="AC761" s="435"/>
      <c r="AD761" s="435"/>
      <c r="AE761" s="493"/>
      <c r="AF761" s="435"/>
      <c r="AG761" s="435"/>
      <c r="AH761" s="435"/>
      <c r="AI761" s="435"/>
      <c r="AJ761" s="435"/>
      <c r="AK761" s="435"/>
      <c r="AL761" s="435"/>
      <c r="AM761" s="449"/>
      <c r="AN761" s="433"/>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69" customFormat="1" ht="13">
      <c r="A762" s="449"/>
      <c r="B762" s="435"/>
      <c r="C762" s="826"/>
      <c r="D762" s="435"/>
      <c r="E762" s="542"/>
      <c r="F762" s="542"/>
      <c r="G762" s="542"/>
      <c r="H762" s="542"/>
      <c r="I762" s="542"/>
      <c r="J762" s="542"/>
      <c r="K762" s="542"/>
      <c r="L762" s="542"/>
      <c r="M762" s="542"/>
      <c r="N762" s="542"/>
      <c r="O762" s="542"/>
      <c r="P762" s="542"/>
      <c r="Q762" s="542"/>
      <c r="R762" s="542"/>
      <c r="S762" s="542"/>
      <c r="T762" s="542"/>
      <c r="U762" s="542"/>
      <c r="V762" s="542"/>
      <c r="W762" s="542"/>
      <c r="X762" s="542"/>
      <c r="Y762" s="542"/>
      <c r="Z762" s="542"/>
      <c r="AA762" s="542"/>
      <c r="AB762" s="542"/>
      <c r="AC762" s="435"/>
      <c r="AD762" s="435"/>
      <c r="AE762" s="515"/>
      <c r="AF762" s="515"/>
      <c r="AG762" s="515"/>
      <c r="AH762" s="515"/>
      <c r="AI762" s="435"/>
      <c r="AJ762" s="435"/>
      <c r="AK762" s="435"/>
      <c r="AL762" s="435"/>
      <c r="AM762" s="449"/>
      <c r="AN762" s="433"/>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69" customFormat="1" ht="12.75" customHeight="1">
      <c r="A763" s="449"/>
      <c r="B763" s="435"/>
      <c r="C763" s="435"/>
      <c r="D763" s="435" t="s">
        <v>2478</v>
      </c>
      <c r="E763" s="829"/>
      <c r="F763" s="829"/>
      <c r="G763" s="829"/>
      <c r="H763" s="2373" t="s">
        <v>27</v>
      </c>
      <c r="I763" s="2373"/>
      <c r="J763" s="542"/>
      <c r="K763" s="542"/>
      <c r="L763" s="542"/>
      <c r="M763" s="542"/>
      <c r="N763" s="542"/>
      <c r="O763" s="542"/>
      <c r="P763" s="542"/>
      <c r="Q763" s="435"/>
      <c r="R763" s="435"/>
      <c r="S763" s="435"/>
      <c r="T763" s="435"/>
      <c r="U763" s="435"/>
      <c r="V763" s="435"/>
      <c r="W763" s="542"/>
      <c r="X763" s="542"/>
      <c r="Y763" s="542"/>
      <c r="Z763" s="542"/>
      <c r="AA763" s="542"/>
      <c r="AB763" s="542"/>
      <c r="AC763" s="435"/>
      <c r="AD763" s="435"/>
      <c r="AE763" s="515"/>
      <c r="AF763" s="515"/>
      <c r="AG763" s="515"/>
      <c r="AH763" s="515"/>
      <c r="AI763" s="435"/>
      <c r="AJ763" s="435"/>
      <c r="AK763" s="435"/>
      <c r="AL763" s="435"/>
      <c r="AM763" s="449"/>
      <c r="AN763" s="433"/>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69" customFormat="1" ht="12.75" customHeight="1">
      <c r="A764" s="449"/>
      <c r="B764" s="515"/>
      <c r="C764" s="833"/>
      <c r="D764" s="515"/>
      <c r="E764" s="515"/>
      <c r="F764" s="515"/>
      <c r="G764" s="515"/>
      <c r="H764" s="515"/>
      <c r="I764" s="515"/>
      <c r="J764" s="515"/>
      <c r="K764" s="515"/>
      <c r="L764" s="515"/>
      <c r="M764" s="515"/>
      <c r="N764" s="515"/>
      <c r="O764" s="515"/>
      <c r="P764" s="515"/>
      <c r="Q764" s="515"/>
      <c r="R764" s="515"/>
      <c r="S764" s="515"/>
      <c r="T764" s="515"/>
      <c r="U764" s="515"/>
      <c r="V764" s="515"/>
      <c r="W764" s="515"/>
      <c r="X764" s="515"/>
      <c r="Y764" s="515"/>
      <c r="Z764" s="515"/>
      <c r="AA764" s="515"/>
      <c r="AB764" s="515"/>
      <c r="AC764" s="515"/>
      <c r="AD764" s="515"/>
      <c r="AE764" s="515"/>
      <c r="AF764" s="515"/>
      <c r="AG764" s="515"/>
      <c r="AH764" s="515"/>
      <c r="AI764" s="435"/>
      <c r="AJ764" s="435"/>
      <c r="AK764" s="435"/>
      <c r="AL764" s="435"/>
      <c r="AM764" s="449"/>
      <c r="AN764" s="433"/>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69" customFormat="1" ht="14" customHeight="1">
      <c r="A765" s="505"/>
      <c r="B765" s="564"/>
      <c r="C765" s="848"/>
      <c r="D765" s="564"/>
      <c r="E765" s="564"/>
      <c r="F765" s="564"/>
      <c r="G765" s="564"/>
      <c r="H765" s="564"/>
      <c r="I765" s="564"/>
      <c r="J765" s="564"/>
      <c r="K765" s="564"/>
      <c r="L765" s="564"/>
      <c r="M765" s="564"/>
      <c r="N765" s="564"/>
      <c r="O765" s="564"/>
      <c r="P765" s="564"/>
      <c r="Q765" s="564"/>
      <c r="R765" s="564"/>
      <c r="S765" s="564"/>
      <c r="T765" s="564"/>
      <c r="U765" s="564"/>
      <c r="V765" s="564"/>
      <c r="W765" s="564"/>
      <c r="X765" s="564"/>
      <c r="Y765" s="564"/>
      <c r="Z765" s="564"/>
      <c r="AA765" s="564"/>
      <c r="AB765" s="564"/>
      <c r="AC765" s="564"/>
      <c r="AD765" s="564"/>
      <c r="AE765" s="564"/>
      <c r="AF765" s="564"/>
      <c r="AG765" s="564"/>
      <c r="AH765" s="500"/>
      <c r="AI765" s="464" t="s">
        <v>2546</v>
      </c>
      <c r="AJ765" s="2356">
        <f>VLOOKUP($H$763,$AO$697:$AP$699,2,FALSE)</f>
        <v>1</v>
      </c>
      <c r="AK765" s="2358"/>
      <c r="AL765" s="494"/>
      <c r="AM765" s="449"/>
      <c r="AN765" s="433"/>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69" customFormat="1" ht="13">
      <c r="A766" s="449"/>
      <c r="B766" s="515"/>
      <c r="C766" s="833"/>
      <c r="D766" s="515"/>
      <c r="E766" s="515"/>
      <c r="F766" s="515"/>
      <c r="G766" s="515"/>
      <c r="H766" s="515"/>
      <c r="I766" s="515"/>
      <c r="J766" s="515"/>
      <c r="K766" s="515"/>
      <c r="L766" s="515"/>
      <c r="M766" s="515"/>
      <c r="N766" s="515"/>
      <c r="O766" s="515"/>
      <c r="P766" s="515"/>
      <c r="Q766" s="515"/>
      <c r="R766" s="515"/>
      <c r="S766" s="515"/>
      <c r="T766" s="515"/>
      <c r="U766" s="515"/>
      <c r="V766" s="515"/>
      <c r="W766" s="515"/>
      <c r="X766" s="515"/>
      <c r="Y766" s="515"/>
      <c r="Z766" s="515"/>
      <c r="AA766" s="515"/>
      <c r="AB766" s="515"/>
      <c r="AC766" s="515"/>
      <c r="AD766" s="515"/>
      <c r="AE766" s="515"/>
      <c r="AF766" s="515"/>
      <c r="AG766" s="515"/>
      <c r="AH766" s="435"/>
      <c r="AI766" s="442"/>
      <c r="AJ766" s="494"/>
      <c r="AK766" s="494"/>
      <c r="AL766" s="494"/>
      <c r="AM766" s="449"/>
      <c r="AN766" s="433"/>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69" customFormat="1" ht="13">
      <c r="A767" s="449"/>
      <c r="B767" s="515"/>
      <c r="C767" s="438" t="s">
        <v>2533</v>
      </c>
      <c r="D767" s="515"/>
      <c r="E767" s="515"/>
      <c r="F767" s="515"/>
      <c r="G767" s="515"/>
      <c r="H767" s="515"/>
      <c r="I767" s="515"/>
      <c r="J767" s="515"/>
      <c r="K767" s="515"/>
      <c r="L767" s="515"/>
      <c r="M767" s="515"/>
      <c r="N767" s="515"/>
      <c r="O767" s="515"/>
      <c r="P767" s="515"/>
      <c r="Q767" s="515"/>
      <c r="R767" s="515"/>
      <c r="S767" s="515"/>
      <c r="T767" s="515"/>
      <c r="U767" s="515"/>
      <c r="V767" s="515"/>
      <c r="W767" s="515"/>
      <c r="X767" s="515"/>
      <c r="Y767" s="515"/>
      <c r="Z767" s="515"/>
      <c r="AA767" s="515"/>
      <c r="AB767" s="515"/>
      <c r="AC767" s="515"/>
      <c r="AD767" s="515"/>
      <c r="AE767" s="515"/>
      <c r="AF767" s="515"/>
      <c r="AG767" s="515"/>
      <c r="AH767" s="435"/>
      <c r="AI767" s="442"/>
      <c r="AJ767" s="494"/>
      <c r="AK767" s="494"/>
      <c r="AL767" s="494"/>
      <c r="AM767" s="449"/>
      <c r="AN767" s="433"/>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69" customFormat="1" ht="13">
      <c r="A768" s="449"/>
      <c r="B768" s="515"/>
      <c r="C768" s="833"/>
      <c r="D768" s="515"/>
      <c r="E768" s="515"/>
      <c r="F768" s="515"/>
      <c r="G768" s="515"/>
      <c r="H768" s="515"/>
      <c r="I768" s="515"/>
      <c r="J768" s="515"/>
      <c r="K768" s="515"/>
      <c r="L768" s="515"/>
      <c r="M768" s="515"/>
      <c r="N768" s="515"/>
      <c r="O768" s="515"/>
      <c r="P768" s="515"/>
      <c r="Q768" s="515"/>
      <c r="R768" s="515"/>
      <c r="S768" s="515"/>
      <c r="T768" s="515"/>
      <c r="U768" s="515"/>
      <c r="V768" s="515"/>
      <c r="W768" s="515"/>
      <c r="X768" s="515"/>
      <c r="Y768" s="515"/>
      <c r="Z768" s="515"/>
      <c r="AA768" s="515"/>
      <c r="AB768" s="515"/>
      <c r="AC768" s="515"/>
      <c r="AD768" s="515"/>
      <c r="AE768" s="515"/>
      <c r="AF768" s="515"/>
      <c r="AG768" s="515"/>
      <c r="AH768" s="435"/>
      <c r="AI768" s="442"/>
      <c r="AJ768" s="494"/>
      <c r="AK768" s="494"/>
      <c r="AL768" s="494"/>
      <c r="AM768" s="449"/>
      <c r="AN768" s="583"/>
    </row>
    <row r="769" spans="1:81" s="469" customFormat="1" ht="13.75" customHeight="1">
      <c r="A769" s="449"/>
      <c r="B769" s="515"/>
      <c r="C769" s="833"/>
      <c r="D769" s="562" t="s">
        <v>22</v>
      </c>
      <c r="E769" s="2349" t="s">
        <v>2547</v>
      </c>
      <c r="F769" s="2349"/>
      <c r="G769" s="2349"/>
      <c r="H769" s="2349"/>
      <c r="I769" s="2349"/>
      <c r="J769" s="2349"/>
      <c r="K769" s="2349"/>
      <c r="L769" s="2349"/>
      <c r="M769" s="2349"/>
      <c r="N769" s="2349"/>
      <c r="O769" s="2349"/>
      <c r="P769" s="2349"/>
      <c r="Q769" s="2349"/>
      <c r="R769" s="2349"/>
      <c r="S769" s="2349"/>
      <c r="T769" s="2349"/>
      <c r="U769" s="2349"/>
      <c r="V769" s="2349"/>
      <c r="W769" s="2349"/>
      <c r="X769" s="2349"/>
      <c r="Y769" s="2349"/>
      <c r="Z769" s="2349"/>
      <c r="AA769" s="2349"/>
      <c r="AB769" s="2349"/>
      <c r="AC769" s="2349"/>
      <c r="AD769" s="2349"/>
      <c r="AE769" s="435"/>
      <c r="AF769" s="2449" t="s">
        <v>2492</v>
      </c>
      <c r="AG769" s="2449"/>
      <c r="AH769" s="2449"/>
      <c r="AI769" s="2449"/>
      <c r="AJ769" s="2449"/>
      <c r="AK769" s="2449"/>
      <c r="AL769" s="2449"/>
      <c r="AM769" s="512"/>
      <c r="AN769" s="583"/>
      <c r="AO769" s="449" t="s">
        <v>807</v>
      </c>
      <c r="AP769" s="572">
        <v>0</v>
      </c>
    </row>
    <row r="770" spans="1:81" s="469" customFormat="1" ht="13.75" customHeight="1">
      <c r="A770" s="449"/>
      <c r="B770" s="515"/>
      <c r="C770" s="833"/>
      <c r="D770" s="562"/>
      <c r="E770" s="2349"/>
      <c r="F770" s="2349"/>
      <c r="G770" s="2349"/>
      <c r="H770" s="2349"/>
      <c r="I770" s="2349"/>
      <c r="J770" s="2349"/>
      <c r="K770" s="2349"/>
      <c r="L770" s="2349"/>
      <c r="M770" s="2349"/>
      <c r="N770" s="2349"/>
      <c r="O770" s="2349"/>
      <c r="P770" s="2349"/>
      <c r="Q770" s="2349"/>
      <c r="R770" s="2349"/>
      <c r="S770" s="2349"/>
      <c r="T770" s="2349"/>
      <c r="U770" s="2349"/>
      <c r="V770" s="2349"/>
      <c r="W770" s="2349"/>
      <c r="X770" s="2349"/>
      <c r="Y770" s="2349"/>
      <c r="Z770" s="2349"/>
      <c r="AA770" s="2349"/>
      <c r="AB770" s="2349"/>
      <c r="AC770" s="2349"/>
      <c r="AD770" s="2349"/>
      <c r="AE770" s="435"/>
      <c r="AF770" s="493"/>
      <c r="AG770" s="493"/>
      <c r="AH770" s="493"/>
      <c r="AI770" s="493"/>
      <c r="AJ770" s="493"/>
      <c r="AK770" s="493"/>
      <c r="AL770" s="493"/>
      <c r="AM770" s="512"/>
      <c r="AN770" s="583"/>
      <c r="AO770" s="510" t="s">
        <v>22</v>
      </c>
      <c r="AP770" s="449">
        <v>2</v>
      </c>
    </row>
    <row r="771" spans="1:81" s="469" customFormat="1" ht="13">
      <c r="A771" s="449"/>
      <c r="B771" s="515"/>
      <c r="C771" s="833"/>
      <c r="D771" s="562"/>
      <c r="E771" s="2349"/>
      <c r="F771" s="2349"/>
      <c r="G771" s="2349"/>
      <c r="H771" s="2349"/>
      <c r="I771" s="2349"/>
      <c r="J771" s="2349"/>
      <c r="K771" s="2349"/>
      <c r="L771" s="2349"/>
      <c r="M771" s="2349"/>
      <c r="N771" s="2349"/>
      <c r="O771" s="2349"/>
      <c r="P771" s="2349"/>
      <c r="Q771" s="2349"/>
      <c r="R771" s="2349"/>
      <c r="S771" s="2349"/>
      <c r="T771" s="2349"/>
      <c r="U771" s="2349"/>
      <c r="V771" s="2349"/>
      <c r="W771" s="2349"/>
      <c r="X771" s="2349"/>
      <c r="Y771" s="2349"/>
      <c r="Z771" s="2349"/>
      <c r="AA771" s="2349"/>
      <c r="AB771" s="2349"/>
      <c r="AC771" s="2349"/>
      <c r="AD771" s="2349"/>
      <c r="AE771" s="435"/>
      <c r="AF771" s="435"/>
      <c r="AG771" s="435"/>
      <c r="AH771" s="435"/>
      <c r="AI771" s="435"/>
      <c r="AJ771" s="435"/>
      <c r="AK771" s="435"/>
      <c r="AL771" s="493"/>
      <c r="AM771" s="512"/>
      <c r="AN771" s="433"/>
      <c r="AO771" s="510" t="s">
        <v>27</v>
      </c>
      <c r="AP771" s="449">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69" customFormat="1" ht="18.75" customHeight="1">
      <c r="A772" s="449"/>
      <c r="B772" s="515"/>
      <c r="C772" s="833"/>
      <c r="D772" s="562"/>
      <c r="E772" s="2349"/>
      <c r="F772" s="2349"/>
      <c r="G772" s="2349"/>
      <c r="H772" s="2349"/>
      <c r="I772" s="2349"/>
      <c r="J772" s="2349"/>
      <c r="K772" s="2349"/>
      <c r="L772" s="2349"/>
      <c r="M772" s="2349"/>
      <c r="N772" s="2349"/>
      <c r="O772" s="2349"/>
      <c r="P772" s="2349"/>
      <c r="Q772" s="2349"/>
      <c r="R772" s="2349"/>
      <c r="S772" s="2349"/>
      <c r="T772" s="2349"/>
      <c r="U772" s="2349"/>
      <c r="V772" s="2349"/>
      <c r="W772" s="2349"/>
      <c r="X772" s="2349"/>
      <c r="Y772" s="2349"/>
      <c r="Z772" s="2349"/>
      <c r="AA772" s="2349"/>
      <c r="AB772" s="2349"/>
      <c r="AC772" s="2349"/>
      <c r="AD772" s="2349"/>
      <c r="AE772" s="493"/>
      <c r="AF772" s="493"/>
      <c r="AG772" s="493"/>
      <c r="AH772" s="493"/>
      <c r="AI772" s="493"/>
      <c r="AJ772" s="493"/>
      <c r="AK772" s="493"/>
      <c r="AL772" s="493"/>
      <c r="AM772" s="512"/>
      <c r="AN772" s="433"/>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49" customFormat="1" ht="12.75" customHeight="1">
      <c r="B773" s="515"/>
      <c r="C773" s="833"/>
      <c r="D773" s="562"/>
      <c r="E773" s="803"/>
      <c r="F773" s="803"/>
      <c r="G773" s="803"/>
      <c r="H773" s="803"/>
      <c r="I773" s="803"/>
      <c r="J773" s="803"/>
      <c r="K773" s="803"/>
      <c r="L773" s="803"/>
      <c r="M773" s="803"/>
      <c r="N773" s="803"/>
      <c r="O773" s="803"/>
      <c r="P773" s="803"/>
      <c r="Q773" s="803"/>
      <c r="R773" s="803"/>
      <c r="S773" s="803"/>
      <c r="T773" s="803"/>
      <c r="U773" s="803"/>
      <c r="V773" s="803"/>
      <c r="W773" s="803"/>
      <c r="X773" s="803"/>
      <c r="Y773" s="803"/>
      <c r="Z773" s="803"/>
      <c r="AA773" s="803"/>
      <c r="AB773" s="803"/>
      <c r="AC773" s="803"/>
      <c r="AD773" s="803"/>
      <c r="AE773" s="493"/>
      <c r="AF773" s="435"/>
      <c r="AG773" s="435"/>
      <c r="AH773" s="435"/>
      <c r="AI773" s="435"/>
      <c r="AJ773" s="435"/>
      <c r="AK773" s="435"/>
      <c r="AL773" s="435"/>
      <c r="AM773" s="512"/>
      <c r="AN773" s="496"/>
    </row>
    <row r="774" spans="1:81" s="449" customFormat="1" ht="12.75" customHeight="1">
      <c r="B774" s="515"/>
      <c r="C774" s="833"/>
      <c r="D774" s="562" t="s">
        <v>27</v>
      </c>
      <c r="E774" s="2460" t="s">
        <v>2548</v>
      </c>
      <c r="F774" s="2460"/>
      <c r="G774" s="2460"/>
      <c r="H774" s="2460"/>
      <c r="I774" s="2460"/>
      <c r="J774" s="2460"/>
      <c r="K774" s="2460"/>
      <c r="L774" s="2460"/>
      <c r="M774" s="2460"/>
      <c r="N774" s="2460"/>
      <c r="O774" s="2460"/>
      <c r="P774" s="2460"/>
      <c r="Q774" s="2460"/>
      <c r="R774" s="2460"/>
      <c r="S774" s="2460"/>
      <c r="T774" s="2460"/>
      <c r="U774" s="2460"/>
      <c r="V774" s="2460"/>
      <c r="W774" s="2460"/>
      <c r="X774" s="2460"/>
      <c r="Y774" s="2460"/>
      <c r="Z774" s="2460"/>
      <c r="AA774" s="2460"/>
      <c r="AB774" s="2460"/>
      <c r="AC774" s="2460"/>
      <c r="AD774" s="2460"/>
      <c r="AE774" s="435"/>
      <c r="AF774" s="2449" t="s">
        <v>2205</v>
      </c>
      <c r="AG774" s="2449"/>
      <c r="AH774" s="2449"/>
      <c r="AI774" s="2449"/>
      <c r="AJ774" s="2449"/>
      <c r="AK774" s="2449"/>
      <c r="AL774" s="2449"/>
      <c r="AM774" s="512"/>
      <c r="AN774" s="496"/>
    </row>
    <row r="775" spans="1:81" s="449" customFormat="1" ht="12.75" customHeight="1">
      <c r="B775" s="515"/>
      <c r="C775" s="833"/>
      <c r="D775" s="562"/>
      <c r="E775" s="2460"/>
      <c r="F775" s="2460"/>
      <c r="G775" s="2460"/>
      <c r="H775" s="2460"/>
      <c r="I775" s="2460"/>
      <c r="J775" s="2460"/>
      <c r="K775" s="2460"/>
      <c r="L775" s="2460"/>
      <c r="M775" s="2460"/>
      <c r="N775" s="2460"/>
      <c r="O775" s="2460"/>
      <c r="P775" s="2460"/>
      <c r="Q775" s="2460"/>
      <c r="R775" s="2460"/>
      <c r="S775" s="2460"/>
      <c r="T775" s="2460"/>
      <c r="U775" s="2460"/>
      <c r="V775" s="2460"/>
      <c r="W775" s="2460"/>
      <c r="X775" s="2460"/>
      <c r="Y775" s="2460"/>
      <c r="Z775" s="2460"/>
      <c r="AA775" s="2460"/>
      <c r="AB775" s="2460"/>
      <c r="AC775" s="2460"/>
      <c r="AD775" s="2460"/>
      <c r="AE775" s="493"/>
      <c r="AF775" s="493"/>
      <c r="AG775" s="493"/>
      <c r="AH775" s="493"/>
      <c r="AI775" s="493"/>
      <c r="AJ775" s="493"/>
      <c r="AK775" s="493"/>
      <c r="AL775" s="493"/>
      <c r="AM775" s="512"/>
      <c r="AN775" s="496"/>
    </row>
    <row r="776" spans="1:81" s="449" customFormat="1" ht="12.75" customHeight="1">
      <c r="B776" s="515"/>
      <c r="C776" s="833"/>
      <c r="D776" s="562"/>
      <c r="E776" s="2460"/>
      <c r="F776" s="2460"/>
      <c r="G776" s="2460"/>
      <c r="H776" s="2460"/>
      <c r="I776" s="2460"/>
      <c r="J776" s="2460"/>
      <c r="K776" s="2460"/>
      <c r="L776" s="2460"/>
      <c r="M776" s="2460"/>
      <c r="N776" s="2460"/>
      <c r="O776" s="2460"/>
      <c r="P776" s="2460"/>
      <c r="Q776" s="2460"/>
      <c r="R776" s="2460"/>
      <c r="S776" s="2460"/>
      <c r="T776" s="2460"/>
      <c r="U776" s="2460"/>
      <c r="V776" s="2460"/>
      <c r="W776" s="2460"/>
      <c r="X776" s="2460"/>
      <c r="Y776" s="2460"/>
      <c r="Z776" s="2460"/>
      <c r="AA776" s="2460"/>
      <c r="AB776" s="2460"/>
      <c r="AC776" s="2460"/>
      <c r="AD776" s="2460"/>
      <c r="AE776" s="493"/>
      <c r="AF776" s="493"/>
      <c r="AG776" s="493"/>
      <c r="AH776" s="493"/>
      <c r="AI776" s="493"/>
      <c r="AJ776" s="493"/>
      <c r="AK776" s="493"/>
      <c r="AL776" s="493"/>
      <c r="AM776" s="512"/>
      <c r="AN776" s="496"/>
    </row>
    <row r="777" spans="1:81" s="449" customFormat="1" ht="12.75" customHeight="1">
      <c r="B777" s="515"/>
      <c r="C777" s="833"/>
      <c r="D777" s="562"/>
      <c r="E777" s="2460"/>
      <c r="F777" s="2460"/>
      <c r="G777" s="2460"/>
      <c r="H777" s="2460"/>
      <c r="I777" s="2460"/>
      <c r="J777" s="2460"/>
      <c r="K777" s="2460"/>
      <c r="L777" s="2460"/>
      <c r="M777" s="2460"/>
      <c r="N777" s="2460"/>
      <c r="O777" s="2460"/>
      <c r="P777" s="2460"/>
      <c r="Q777" s="2460"/>
      <c r="R777" s="2460"/>
      <c r="S777" s="2460"/>
      <c r="T777" s="2460"/>
      <c r="U777" s="2460"/>
      <c r="V777" s="2460"/>
      <c r="W777" s="2460"/>
      <c r="X777" s="2460"/>
      <c r="Y777" s="2460"/>
      <c r="Z777" s="2460"/>
      <c r="AA777" s="2460"/>
      <c r="AB777" s="2460"/>
      <c r="AC777" s="2460"/>
      <c r="AD777" s="2460"/>
      <c r="AE777" s="493"/>
      <c r="AF777" s="493"/>
      <c r="AG777" s="493"/>
      <c r="AH777" s="493"/>
      <c r="AI777" s="493"/>
      <c r="AJ777" s="493"/>
      <c r="AK777" s="493"/>
      <c r="AL777" s="493"/>
      <c r="AM777" s="512"/>
      <c r="AN777" s="496"/>
    </row>
    <row r="778" spans="1:81" s="449" customFormat="1" ht="12.75" customHeight="1">
      <c r="A778" s="469"/>
      <c r="B778" s="435"/>
      <c r="C778" s="435"/>
      <c r="D778" s="435"/>
      <c r="E778" s="435"/>
      <c r="F778" s="435"/>
      <c r="G778" s="435"/>
      <c r="H778" s="435"/>
      <c r="I778" s="435"/>
      <c r="J778" s="435"/>
      <c r="K778" s="435"/>
      <c r="L778" s="435"/>
      <c r="M778" s="435"/>
      <c r="N778" s="435"/>
      <c r="O778" s="435"/>
      <c r="P778" s="435"/>
      <c r="Q778" s="435"/>
      <c r="R778" s="435"/>
      <c r="S778" s="435"/>
      <c r="T778" s="435"/>
      <c r="U778" s="435"/>
      <c r="V778" s="435"/>
      <c r="W778" s="435"/>
      <c r="X778" s="435"/>
      <c r="Y778" s="435"/>
      <c r="Z778" s="435"/>
      <c r="AA778" s="435"/>
      <c r="AB778" s="435"/>
      <c r="AC778" s="435"/>
      <c r="AD778" s="435"/>
      <c r="AE778" s="435"/>
      <c r="AF778" s="435"/>
      <c r="AG778" s="435"/>
      <c r="AH778" s="435"/>
      <c r="AI778" s="435"/>
      <c r="AJ778" s="435"/>
      <c r="AK778" s="435"/>
      <c r="AL778" s="435"/>
      <c r="AM778" s="469"/>
      <c r="AN778" s="496"/>
    </row>
    <row r="779" spans="1:81" s="449" customFormat="1" ht="12.75" customHeight="1">
      <c r="B779" s="515"/>
      <c r="C779" s="833"/>
      <c r="D779" s="435" t="s">
        <v>2478</v>
      </c>
      <c r="E779" s="829"/>
      <c r="F779" s="829"/>
      <c r="G779" s="829"/>
      <c r="H779" s="2373" t="s">
        <v>807</v>
      </c>
      <c r="I779" s="2373"/>
      <c r="J779" s="542"/>
      <c r="K779" s="542"/>
      <c r="L779" s="542"/>
      <c r="M779" s="542"/>
      <c r="N779" s="542"/>
      <c r="O779" s="542"/>
      <c r="P779" s="542"/>
      <c r="Q779" s="542"/>
      <c r="R779" s="542"/>
      <c r="S779" s="542"/>
      <c r="T779" s="542"/>
      <c r="U779" s="542"/>
      <c r="V779" s="542"/>
      <c r="W779" s="542"/>
      <c r="X779" s="542"/>
      <c r="Y779" s="542"/>
      <c r="Z779" s="542"/>
      <c r="AA779" s="542"/>
      <c r="AB779" s="542"/>
      <c r="AC779" s="542"/>
      <c r="AD779" s="542"/>
      <c r="AE779" s="542"/>
      <c r="AF779" s="542"/>
      <c r="AG779" s="515"/>
      <c r="AH779" s="435"/>
      <c r="AI779" s="442"/>
      <c r="AJ779" s="494"/>
      <c r="AK779" s="494"/>
      <c r="AL779" s="494"/>
      <c r="AN779" s="496"/>
    </row>
    <row r="780" spans="1:81" s="449" customFormat="1" ht="12.75" customHeight="1">
      <c r="B780" s="515"/>
      <c r="C780" s="833"/>
      <c r="D780" s="515"/>
      <c r="E780" s="515"/>
      <c r="F780" s="515"/>
      <c r="G780" s="515"/>
      <c r="H780" s="515"/>
      <c r="I780" s="515"/>
      <c r="J780" s="515"/>
      <c r="K780" s="515"/>
      <c r="L780" s="515"/>
      <c r="M780" s="515"/>
      <c r="N780" s="515"/>
      <c r="O780" s="515"/>
      <c r="P780" s="515"/>
      <c r="Q780" s="515"/>
      <c r="R780" s="515"/>
      <c r="S780" s="515"/>
      <c r="T780" s="515"/>
      <c r="U780" s="515"/>
      <c r="V780" s="515"/>
      <c r="W780" s="515"/>
      <c r="X780" s="515"/>
      <c r="Y780" s="515"/>
      <c r="Z780" s="515"/>
      <c r="AA780" s="515"/>
      <c r="AB780" s="515"/>
      <c r="AC780" s="515"/>
      <c r="AD780" s="515"/>
      <c r="AE780" s="515"/>
      <c r="AF780" s="515"/>
      <c r="AG780" s="515"/>
      <c r="AH780" s="435"/>
      <c r="AI780" s="442"/>
      <c r="AJ780" s="494"/>
      <c r="AK780" s="494"/>
      <c r="AL780" s="494"/>
      <c r="AN780" s="496"/>
    </row>
    <row r="781" spans="1:81" s="449" customFormat="1" ht="12.75" customHeight="1">
      <c r="A781" s="505"/>
      <c r="B781" s="564"/>
      <c r="C781" s="848"/>
      <c r="D781" s="564"/>
      <c r="E781" s="564"/>
      <c r="F781" s="564"/>
      <c r="G781" s="564"/>
      <c r="H781" s="564"/>
      <c r="I781" s="564"/>
      <c r="J781" s="564"/>
      <c r="K781" s="564"/>
      <c r="L781" s="564"/>
      <c r="M781" s="564"/>
      <c r="N781" s="564"/>
      <c r="O781" s="564"/>
      <c r="P781" s="564"/>
      <c r="Q781" s="564"/>
      <c r="R781" s="564"/>
      <c r="S781" s="564"/>
      <c r="T781" s="564"/>
      <c r="U781" s="564"/>
      <c r="V781" s="564"/>
      <c r="W781" s="564"/>
      <c r="X781" s="564"/>
      <c r="Y781" s="564"/>
      <c r="Z781" s="564"/>
      <c r="AA781" s="564"/>
      <c r="AB781" s="564"/>
      <c r="AC781" s="564"/>
      <c r="AD781" s="564"/>
      <c r="AE781" s="564"/>
      <c r="AF781" s="564"/>
      <c r="AG781" s="564"/>
      <c r="AH781" s="500"/>
      <c r="AI781" s="464" t="s">
        <v>2549</v>
      </c>
      <c r="AJ781" s="2356">
        <f>VLOOKUP($H$779,$AO$769:$AP$771,2,FALSE)</f>
        <v>0</v>
      </c>
      <c r="AK781" s="2358"/>
      <c r="AL781" s="494"/>
      <c r="AN781" s="496"/>
    </row>
    <row r="782" spans="1:81" s="469" customFormat="1" ht="13">
      <c r="A782" s="449"/>
      <c r="B782" s="515"/>
      <c r="C782" s="833"/>
      <c r="D782" s="515"/>
      <c r="E782" s="515"/>
      <c r="F782" s="515"/>
      <c r="G782" s="515"/>
      <c r="H782" s="515"/>
      <c r="I782" s="515"/>
      <c r="J782" s="515"/>
      <c r="K782" s="515"/>
      <c r="L782" s="515"/>
      <c r="M782" s="515"/>
      <c r="N782" s="515"/>
      <c r="O782" s="515"/>
      <c r="P782" s="515"/>
      <c r="Q782" s="515"/>
      <c r="R782" s="515"/>
      <c r="S782" s="515"/>
      <c r="T782" s="515"/>
      <c r="U782" s="515"/>
      <c r="V782" s="515"/>
      <c r="W782" s="515"/>
      <c r="X782" s="515"/>
      <c r="Y782" s="515"/>
      <c r="Z782" s="515"/>
      <c r="AA782" s="515"/>
      <c r="AB782" s="515"/>
      <c r="AC782" s="515"/>
      <c r="AD782" s="515"/>
      <c r="AE782" s="515"/>
      <c r="AF782" s="515"/>
      <c r="AG782" s="515"/>
      <c r="AH782" s="435"/>
      <c r="AI782" s="442"/>
      <c r="AJ782" s="494"/>
      <c r="AK782" s="494"/>
      <c r="AL782" s="494"/>
      <c r="AM782" s="449"/>
      <c r="AN782" s="583"/>
      <c r="AS782" s="573"/>
      <c r="AT782" s="573"/>
      <c r="AU782" s="573"/>
      <c r="AV782" s="573"/>
      <c r="AW782" s="573"/>
      <c r="AX782" s="573"/>
      <c r="AY782" s="573"/>
      <c r="AZ782" s="573"/>
      <c r="BA782" s="573"/>
      <c r="BB782" s="573"/>
      <c r="BC782" s="573"/>
      <c r="BD782" s="589"/>
      <c r="BE782" s="589"/>
      <c r="BF782" s="589"/>
      <c r="BG782" s="589"/>
      <c r="BH782" s="589"/>
      <c r="BI782" s="573"/>
      <c r="BJ782" s="573"/>
      <c r="BK782" s="573"/>
      <c r="BL782" s="573"/>
      <c r="BM782" s="573"/>
      <c r="BN782" s="573"/>
      <c r="BO782" s="573"/>
      <c r="BP782" s="573"/>
      <c r="BQ782" s="573"/>
      <c r="BR782" s="573"/>
      <c r="BS782" s="573"/>
      <c r="BT782" s="573"/>
      <c r="BU782" s="573"/>
      <c r="BV782" s="573"/>
      <c r="BW782" s="573"/>
      <c r="BX782" s="573"/>
      <c r="BY782" s="573"/>
      <c r="BZ782" s="573"/>
      <c r="CA782" s="573"/>
      <c r="CB782" s="573"/>
      <c r="CC782" s="573"/>
    </row>
    <row r="783" spans="1:81" s="469" customFormat="1" ht="13">
      <c r="A783" s="449"/>
      <c r="B783" s="515"/>
      <c r="C783" s="438" t="s">
        <v>2550</v>
      </c>
      <c r="D783" s="515"/>
      <c r="E783" s="515"/>
      <c r="F783" s="515"/>
      <c r="G783" s="515"/>
      <c r="H783" s="515"/>
      <c r="I783" s="515"/>
      <c r="J783" s="515"/>
      <c r="K783" s="515"/>
      <c r="L783" s="515"/>
      <c r="M783" s="515"/>
      <c r="N783" s="515"/>
      <c r="O783" s="515"/>
      <c r="P783" s="515"/>
      <c r="Q783" s="515"/>
      <c r="R783" s="515"/>
      <c r="S783" s="515"/>
      <c r="T783" s="515"/>
      <c r="U783" s="515"/>
      <c r="V783" s="515"/>
      <c r="W783" s="515"/>
      <c r="X783" s="515"/>
      <c r="Y783" s="515"/>
      <c r="Z783" s="515"/>
      <c r="AA783" s="515"/>
      <c r="AB783" s="515"/>
      <c r="AC783" s="515"/>
      <c r="AD783" s="515"/>
      <c r="AE783" s="515"/>
      <c r="AF783" s="515"/>
      <c r="AG783" s="515"/>
      <c r="AH783" s="435"/>
      <c r="AI783" s="442"/>
      <c r="AJ783" s="494"/>
      <c r="AK783" s="494"/>
      <c r="AL783" s="494"/>
      <c r="AM783" s="449"/>
      <c r="AN783" s="583"/>
      <c r="AT783" s="573"/>
      <c r="AU783" s="573"/>
      <c r="AV783" s="573"/>
      <c r="AW783" s="573"/>
      <c r="AX783" s="573"/>
      <c r="AY783" s="573"/>
      <c r="AZ783" s="573"/>
    </row>
    <row r="784" spans="1:81" s="469" customFormat="1">
      <c r="A784" s="449"/>
      <c r="B784" s="515"/>
      <c r="C784" s="833"/>
      <c r="D784" s="515"/>
      <c r="E784" s="515"/>
      <c r="F784" s="515"/>
      <c r="G784" s="515"/>
      <c r="H784" s="515"/>
      <c r="I784" s="515"/>
      <c r="J784" s="515"/>
      <c r="K784" s="515"/>
      <c r="L784" s="515"/>
      <c r="M784" s="515"/>
      <c r="N784" s="515"/>
      <c r="O784" s="515"/>
      <c r="P784" s="515"/>
      <c r="Q784" s="515"/>
      <c r="R784" s="515"/>
      <c r="S784" s="515"/>
      <c r="T784" s="515"/>
      <c r="U784" s="515"/>
      <c r="V784" s="515"/>
      <c r="W784" s="515"/>
      <c r="X784" s="515"/>
      <c r="Y784" s="515"/>
      <c r="Z784" s="515"/>
      <c r="AA784" s="515"/>
      <c r="AB784" s="515"/>
      <c r="AC784" s="515"/>
      <c r="AD784" s="515"/>
      <c r="AE784" s="435"/>
      <c r="AF784" s="435"/>
      <c r="AG784" s="435"/>
      <c r="AH784" s="435"/>
      <c r="AI784" s="435"/>
      <c r="AJ784" s="435"/>
      <c r="AK784" s="435"/>
      <c r="AL784" s="494"/>
      <c r="AM784" s="449"/>
      <c r="AN784" s="583"/>
      <c r="AO784" s="449" t="s">
        <v>807</v>
      </c>
      <c r="AP784" s="579">
        <v>0</v>
      </c>
      <c r="AS784" s="573"/>
      <c r="AT784" s="573"/>
      <c r="AU784" s="573"/>
      <c r="AV784" s="573"/>
      <c r="AW784" s="573"/>
      <c r="AX784" s="573"/>
      <c r="AY784" s="573"/>
      <c r="AZ784" s="573"/>
      <c r="BA784" s="573"/>
      <c r="BB784" s="573"/>
      <c r="BC784" s="573"/>
      <c r="BD784" s="589"/>
      <c r="BE784" s="589"/>
      <c r="BF784" s="589"/>
      <c r="BG784" s="589"/>
      <c r="BH784" s="589"/>
      <c r="BI784" s="573"/>
      <c r="BJ784" s="573"/>
      <c r="BK784" s="573"/>
      <c r="BL784" s="573"/>
      <c r="BM784" s="573"/>
      <c r="BN784" s="573"/>
      <c r="BO784" s="573"/>
      <c r="BP784" s="573"/>
      <c r="BQ784" s="573"/>
      <c r="BR784" s="573"/>
      <c r="BS784" s="573"/>
      <c r="BT784" s="573"/>
      <c r="BU784" s="573"/>
      <c r="BV784" s="573"/>
      <c r="BW784" s="573"/>
      <c r="BX784" s="573"/>
      <c r="BY784" s="573"/>
      <c r="BZ784" s="573"/>
      <c r="CA784" s="573"/>
      <c r="CB784" s="573"/>
      <c r="CC784" s="573"/>
    </row>
    <row r="785" spans="1:81" s="469" customFormat="1" ht="13.75" customHeight="1">
      <c r="A785" s="449"/>
      <c r="B785" s="515"/>
      <c r="C785" s="833"/>
      <c r="D785" s="562" t="s">
        <v>22</v>
      </c>
      <c r="E785" s="2349" t="s">
        <v>2551</v>
      </c>
      <c r="F785" s="2349"/>
      <c r="G785" s="2349"/>
      <c r="H785" s="2349"/>
      <c r="I785" s="2349"/>
      <c r="J785" s="2349"/>
      <c r="K785" s="2349"/>
      <c r="L785" s="2349"/>
      <c r="M785" s="2349"/>
      <c r="N785" s="2349"/>
      <c r="O785" s="2349"/>
      <c r="P785" s="2349"/>
      <c r="Q785" s="2349"/>
      <c r="R785" s="2349"/>
      <c r="S785" s="2349"/>
      <c r="T785" s="2349"/>
      <c r="U785" s="2349"/>
      <c r="V785" s="2349"/>
      <c r="W785" s="2349"/>
      <c r="X785" s="2349"/>
      <c r="Y785" s="2349"/>
      <c r="Z785" s="2349"/>
      <c r="AA785" s="2349"/>
      <c r="AB785" s="2349"/>
      <c r="AC785" s="2349"/>
      <c r="AD785" s="2349"/>
      <c r="AE785" s="435"/>
      <c r="AF785" s="2449" t="s">
        <v>2205</v>
      </c>
      <c r="AG785" s="2449"/>
      <c r="AH785" s="2449"/>
      <c r="AI785" s="2449"/>
      <c r="AJ785" s="2449"/>
      <c r="AK785" s="2449"/>
      <c r="AL785" s="2449"/>
      <c r="AM785" s="512"/>
      <c r="AN785" s="583"/>
      <c r="AO785" s="510" t="s">
        <v>842</v>
      </c>
      <c r="AP785" s="449">
        <v>3</v>
      </c>
      <c r="AT785" s="573"/>
      <c r="AU785" s="573"/>
      <c r="AV785" s="573"/>
      <c r="AW785" s="573"/>
      <c r="AX785" s="573"/>
      <c r="AY785" s="573"/>
      <c r="AZ785" s="573"/>
    </row>
    <row r="786" spans="1:81" s="469" customFormat="1" ht="13.75" customHeight="1">
      <c r="A786" s="449"/>
      <c r="B786" s="515"/>
      <c r="C786" s="833"/>
      <c r="D786" s="562"/>
      <c r="E786" s="2349"/>
      <c r="F786" s="2349"/>
      <c r="G786" s="2349"/>
      <c r="H786" s="2349"/>
      <c r="I786" s="2349"/>
      <c r="J786" s="2349"/>
      <c r="K786" s="2349"/>
      <c r="L786" s="2349"/>
      <c r="M786" s="2349"/>
      <c r="N786" s="2349"/>
      <c r="O786" s="2349"/>
      <c r="P786" s="2349"/>
      <c r="Q786" s="2349"/>
      <c r="R786" s="2349"/>
      <c r="S786" s="2349"/>
      <c r="T786" s="2349"/>
      <c r="U786" s="2349"/>
      <c r="V786" s="2349"/>
      <c r="W786" s="2349"/>
      <c r="X786" s="2349"/>
      <c r="Y786" s="2349"/>
      <c r="Z786" s="2349"/>
      <c r="AA786" s="2349"/>
      <c r="AB786" s="2349"/>
      <c r="AC786" s="2349"/>
      <c r="AD786" s="2349"/>
      <c r="AE786" s="435"/>
      <c r="AF786" s="493"/>
      <c r="AG786" s="493"/>
      <c r="AH786" s="493"/>
      <c r="AI786" s="493"/>
      <c r="AJ786" s="493"/>
      <c r="AK786" s="493"/>
      <c r="AL786" s="493"/>
      <c r="AM786" s="512"/>
      <c r="AN786" s="583"/>
      <c r="AO786" s="510"/>
      <c r="AP786" s="449"/>
      <c r="AT786" s="573"/>
      <c r="AU786" s="573"/>
      <c r="AV786" s="573"/>
      <c r="AW786" s="573"/>
      <c r="AX786" s="573"/>
      <c r="AY786" s="573"/>
      <c r="AZ786" s="573"/>
    </row>
    <row r="787" spans="1:81" s="469" customFormat="1" ht="13">
      <c r="A787" s="449"/>
      <c r="B787" s="515"/>
      <c r="C787" s="833"/>
      <c r="D787" s="562"/>
      <c r="E787" s="2349"/>
      <c r="F787" s="2349"/>
      <c r="G787" s="2349"/>
      <c r="H787" s="2349"/>
      <c r="I787" s="2349"/>
      <c r="J787" s="2349"/>
      <c r="K787" s="2349"/>
      <c r="L787" s="2349"/>
      <c r="M787" s="2349"/>
      <c r="N787" s="2349"/>
      <c r="O787" s="2349"/>
      <c r="P787" s="2349"/>
      <c r="Q787" s="2349"/>
      <c r="R787" s="2349"/>
      <c r="S787" s="2349"/>
      <c r="T787" s="2349"/>
      <c r="U787" s="2349"/>
      <c r="V787" s="2349"/>
      <c r="W787" s="2349"/>
      <c r="X787" s="2349"/>
      <c r="Y787" s="2349"/>
      <c r="Z787" s="2349"/>
      <c r="AA787" s="2349"/>
      <c r="AB787" s="2349"/>
      <c r="AC787" s="2349"/>
      <c r="AD787" s="2349"/>
      <c r="AE787" s="493"/>
      <c r="AF787" s="493"/>
      <c r="AG787" s="493"/>
      <c r="AH787" s="493"/>
      <c r="AI787" s="493"/>
      <c r="AJ787" s="493"/>
      <c r="AK787" s="493"/>
      <c r="AL787" s="493"/>
      <c r="AM787" s="512"/>
      <c r="AN787" s="583"/>
      <c r="AO787" s="510"/>
      <c r="AP787" s="449"/>
      <c r="AT787" s="573"/>
      <c r="AU787" s="573"/>
      <c r="AV787" s="573"/>
      <c r="AW787" s="573"/>
      <c r="AX787" s="573"/>
      <c r="AY787" s="573"/>
      <c r="AZ787" s="573"/>
    </row>
    <row r="788" spans="1:81" s="469" customFormat="1" ht="13">
      <c r="A788" s="449"/>
      <c r="B788" s="515"/>
      <c r="C788" s="833"/>
      <c r="D788" s="562"/>
      <c r="E788" s="2349"/>
      <c r="F788" s="2349"/>
      <c r="G788" s="2349"/>
      <c r="H788" s="2349"/>
      <c r="I788" s="2349"/>
      <c r="J788" s="2349"/>
      <c r="K788" s="2349"/>
      <c r="L788" s="2349"/>
      <c r="M788" s="2349"/>
      <c r="N788" s="2349"/>
      <c r="O788" s="2349"/>
      <c r="P788" s="2349"/>
      <c r="Q788" s="2349"/>
      <c r="R788" s="2349"/>
      <c r="S788" s="2349"/>
      <c r="T788" s="2349"/>
      <c r="U788" s="2349"/>
      <c r="V788" s="2349"/>
      <c r="W788" s="2349"/>
      <c r="X788" s="2349"/>
      <c r="Y788" s="2349"/>
      <c r="Z788" s="2349"/>
      <c r="AA788" s="2349"/>
      <c r="AB788" s="2349"/>
      <c r="AC788" s="2349"/>
      <c r="AD788" s="2349"/>
      <c r="AE788" s="493"/>
      <c r="AF788" s="493"/>
      <c r="AG788" s="493"/>
      <c r="AH788" s="493"/>
      <c r="AI788" s="493"/>
      <c r="AJ788" s="493"/>
      <c r="AK788" s="493"/>
      <c r="AL788" s="493"/>
      <c r="AM788" s="512"/>
      <c r="AN788" s="583"/>
      <c r="AO788" s="590"/>
      <c r="AT788" s="573"/>
      <c r="AU788" s="573"/>
      <c r="AV788" s="573"/>
      <c r="AW788" s="573"/>
      <c r="AX788" s="573"/>
      <c r="AY788" s="573"/>
      <c r="AZ788" s="573"/>
    </row>
    <row r="789" spans="1:81" s="469" customFormat="1" ht="13">
      <c r="A789" s="449"/>
      <c r="B789" s="515"/>
      <c r="C789" s="833"/>
      <c r="D789" s="562"/>
      <c r="E789" s="542"/>
      <c r="F789" s="542"/>
      <c r="G789" s="542"/>
      <c r="H789" s="542"/>
      <c r="I789" s="542"/>
      <c r="J789" s="542"/>
      <c r="K789" s="542"/>
      <c r="L789" s="542"/>
      <c r="M789" s="542"/>
      <c r="N789" s="542"/>
      <c r="O789" s="542"/>
      <c r="P789" s="542"/>
      <c r="Q789" s="542"/>
      <c r="R789" s="542"/>
      <c r="S789" s="542"/>
      <c r="T789" s="542"/>
      <c r="U789" s="542"/>
      <c r="V789" s="542"/>
      <c r="W789" s="542"/>
      <c r="X789" s="542"/>
      <c r="Y789" s="542"/>
      <c r="Z789" s="542"/>
      <c r="AA789" s="542"/>
      <c r="AB789" s="542"/>
      <c r="AC789" s="542"/>
      <c r="AD789" s="542"/>
      <c r="AE789" s="493"/>
      <c r="AF789" s="493"/>
      <c r="AG789" s="493"/>
      <c r="AH789" s="493"/>
      <c r="AI789" s="493"/>
      <c r="AJ789" s="493"/>
      <c r="AK789" s="493"/>
      <c r="AL789" s="493"/>
      <c r="AM789" s="512"/>
      <c r="AN789" s="583"/>
      <c r="AO789" s="590"/>
      <c r="AT789" s="573"/>
      <c r="AU789" s="573"/>
      <c r="AV789" s="573"/>
      <c r="AW789" s="573"/>
      <c r="AX789" s="573"/>
      <c r="AY789" s="573"/>
      <c r="AZ789" s="573"/>
    </row>
    <row r="790" spans="1:81" s="469" customFormat="1" ht="13">
      <c r="A790" s="449"/>
      <c r="B790" s="515"/>
      <c r="C790" s="833"/>
      <c r="D790" s="435" t="s">
        <v>2478</v>
      </c>
      <c r="E790" s="829"/>
      <c r="F790" s="829"/>
      <c r="G790" s="829"/>
      <c r="H790" s="2373" t="s">
        <v>807</v>
      </c>
      <c r="I790" s="2373"/>
      <c r="J790" s="515"/>
      <c r="K790" s="515"/>
      <c r="L790" s="515"/>
      <c r="M790" s="515"/>
      <c r="N790" s="515"/>
      <c r="O790" s="515"/>
      <c r="P790" s="515"/>
      <c r="Q790" s="515"/>
      <c r="R790" s="515"/>
      <c r="S790" s="515"/>
      <c r="T790" s="515"/>
      <c r="U790" s="515"/>
      <c r="V790" s="515"/>
      <c r="W790" s="515"/>
      <c r="X790" s="515"/>
      <c r="Y790" s="515"/>
      <c r="Z790" s="515"/>
      <c r="AA790" s="515"/>
      <c r="AB790" s="515"/>
      <c r="AC790" s="515"/>
      <c r="AD790" s="515"/>
      <c r="AE790" s="515"/>
      <c r="AF790" s="515"/>
      <c r="AG790" s="515"/>
      <c r="AH790" s="435"/>
      <c r="AI790" s="442"/>
      <c r="AJ790" s="494"/>
      <c r="AK790" s="494"/>
      <c r="AL790" s="494"/>
      <c r="AM790" s="449"/>
      <c r="AN790" s="583"/>
      <c r="AS790" s="573"/>
      <c r="AT790" s="573"/>
      <c r="AU790" s="573"/>
      <c r="AV790" s="573"/>
      <c r="AW790" s="573"/>
      <c r="AX790" s="573"/>
      <c r="AY790" s="573"/>
      <c r="AZ790" s="573"/>
      <c r="BA790" s="573"/>
      <c r="BB790" s="573"/>
      <c r="BC790" s="573"/>
      <c r="BD790" s="589"/>
      <c r="BE790" s="589"/>
      <c r="BF790" s="589"/>
      <c r="BG790" s="589"/>
      <c r="BH790" s="589"/>
      <c r="BI790" s="573"/>
      <c r="BJ790" s="573"/>
      <c r="BK790" s="573"/>
      <c r="BL790" s="573"/>
      <c r="BM790" s="573"/>
      <c r="BN790" s="573"/>
      <c r="BO790" s="573"/>
      <c r="BP790" s="573"/>
      <c r="BQ790" s="573"/>
      <c r="BR790" s="573"/>
      <c r="BS790" s="573"/>
      <c r="BT790" s="573"/>
      <c r="BU790" s="573"/>
      <c r="BV790" s="573"/>
      <c r="BW790" s="573"/>
      <c r="BX790" s="573"/>
      <c r="BY790" s="573"/>
      <c r="BZ790" s="573"/>
      <c r="CA790" s="573"/>
      <c r="CB790" s="573"/>
      <c r="CC790" s="573"/>
    </row>
    <row r="791" spans="1:81" s="469" customFormat="1">
      <c r="A791" s="449"/>
      <c r="B791" s="515"/>
      <c r="C791" s="587"/>
      <c r="D791" s="450"/>
      <c r="E791" s="450"/>
      <c r="F791" s="450"/>
      <c r="G791" s="450"/>
      <c r="H791" s="450"/>
      <c r="I791" s="450"/>
      <c r="J791" s="450"/>
      <c r="K791" s="450"/>
      <c r="L791" s="450"/>
      <c r="M791" s="450"/>
      <c r="N791" s="450"/>
      <c r="O791" s="450"/>
      <c r="P791" s="450"/>
      <c r="Q791" s="450"/>
      <c r="R791" s="450"/>
      <c r="S791" s="450"/>
      <c r="T791" s="450"/>
      <c r="U791" s="450"/>
      <c r="V791" s="450"/>
      <c r="W791" s="450"/>
      <c r="X791" s="450"/>
      <c r="Y791" s="450"/>
      <c r="Z791" s="450"/>
      <c r="AA791" s="450"/>
      <c r="AB791" s="450"/>
      <c r="AC791" s="450"/>
      <c r="AD791" s="515"/>
      <c r="AE791" s="450"/>
      <c r="AF791" s="450"/>
      <c r="AG791" s="450"/>
      <c r="AH791" s="450"/>
      <c r="AI791" s="449"/>
      <c r="AJ791" s="449"/>
      <c r="AK791" s="449"/>
      <c r="AL791" s="449"/>
      <c r="AM791" s="449"/>
      <c r="AN791" s="583"/>
      <c r="AT791" s="573"/>
      <c r="AU791" s="573"/>
      <c r="AV791" s="573"/>
      <c r="AW791" s="573"/>
      <c r="AX791" s="573"/>
      <c r="AY791" s="573"/>
      <c r="AZ791" s="573"/>
    </row>
    <row r="792" spans="1:81" s="469" customFormat="1" ht="13">
      <c r="A792" s="505"/>
      <c r="B792" s="564"/>
      <c r="C792" s="588"/>
      <c r="D792" s="563"/>
      <c r="E792" s="563"/>
      <c r="F792" s="563"/>
      <c r="G792" s="563"/>
      <c r="H792" s="563"/>
      <c r="I792" s="563"/>
      <c r="J792" s="563"/>
      <c r="K792" s="563"/>
      <c r="L792" s="563"/>
      <c r="M792" s="563"/>
      <c r="N792" s="563"/>
      <c r="O792" s="563"/>
      <c r="P792" s="563"/>
      <c r="Q792" s="563"/>
      <c r="R792" s="563"/>
      <c r="S792" s="563"/>
      <c r="T792" s="563"/>
      <c r="U792" s="563"/>
      <c r="V792" s="563"/>
      <c r="W792" s="563"/>
      <c r="X792" s="563"/>
      <c r="Y792" s="563"/>
      <c r="Z792" s="563"/>
      <c r="AA792" s="563"/>
      <c r="AB792" s="563"/>
      <c r="AC792" s="564"/>
      <c r="AD792" s="563"/>
      <c r="AE792" s="563"/>
      <c r="AF792" s="563"/>
      <c r="AG792" s="563"/>
      <c r="AH792" s="463"/>
      <c r="AI792" s="464" t="s">
        <v>2552</v>
      </c>
      <c r="AJ792" s="2356">
        <f>VLOOKUP($H$790,$AO$784:$AP$785,2,FALSE)</f>
        <v>0</v>
      </c>
      <c r="AK792" s="2358"/>
      <c r="AL792" s="494"/>
      <c r="AM792" s="449"/>
      <c r="AN792" s="583"/>
      <c r="AS792" s="573"/>
      <c r="AT792" s="573"/>
      <c r="AU792" s="573"/>
      <c r="AV792" s="573"/>
      <c r="AW792" s="573"/>
      <c r="AX792" s="573"/>
      <c r="AY792" s="573"/>
      <c r="AZ792" s="573"/>
      <c r="BA792" s="573"/>
      <c r="BB792" s="573"/>
      <c r="BC792" s="573"/>
      <c r="BD792" s="589"/>
      <c r="BE792" s="589"/>
      <c r="BF792" s="589"/>
      <c r="BG792" s="589"/>
      <c r="BH792" s="589"/>
      <c r="BI792" s="573"/>
      <c r="BJ792" s="573"/>
      <c r="BK792" s="573"/>
      <c r="BL792" s="573"/>
      <c r="BM792" s="573"/>
      <c r="BN792" s="573"/>
      <c r="BO792" s="573"/>
      <c r="BP792" s="573"/>
      <c r="BQ792" s="573"/>
      <c r="BR792" s="573"/>
      <c r="BS792" s="573"/>
      <c r="BT792" s="573"/>
      <c r="BU792" s="573"/>
      <c r="BV792" s="573"/>
      <c r="BW792" s="573"/>
      <c r="BX792" s="573"/>
      <c r="BY792" s="573"/>
      <c r="BZ792" s="573"/>
      <c r="CA792" s="573"/>
      <c r="CB792" s="573"/>
      <c r="CC792" s="573"/>
    </row>
    <row r="793" spans="1:81" s="449" customFormat="1" ht="12.75" customHeight="1">
      <c r="B793" s="515"/>
      <c r="C793" s="587"/>
      <c r="D793" s="450"/>
      <c r="E793" s="450"/>
      <c r="F793" s="450"/>
      <c r="G793" s="450"/>
      <c r="H793" s="450"/>
      <c r="I793" s="450"/>
      <c r="J793" s="450"/>
      <c r="K793" s="450"/>
      <c r="L793" s="450"/>
      <c r="M793" s="450"/>
      <c r="N793" s="450"/>
      <c r="O793" s="450"/>
      <c r="P793" s="450"/>
      <c r="Q793" s="450"/>
      <c r="R793" s="450"/>
      <c r="S793" s="450"/>
      <c r="T793" s="450"/>
      <c r="U793" s="450"/>
      <c r="V793" s="450"/>
      <c r="W793" s="450"/>
      <c r="X793" s="450"/>
      <c r="Y793" s="450"/>
      <c r="Z793" s="450"/>
      <c r="AA793" s="450"/>
      <c r="AB793" s="450"/>
      <c r="AC793" s="450"/>
      <c r="AD793" s="515"/>
      <c r="AE793" s="450"/>
      <c r="AF793" s="450"/>
      <c r="AG793" s="450"/>
      <c r="AH793" s="450"/>
      <c r="AN793" s="496"/>
    </row>
    <row r="794" spans="1:81" s="449" customFormat="1" ht="12.75" customHeight="1">
      <c r="A794" s="505"/>
      <c r="B794" s="563"/>
      <c r="C794" s="563"/>
      <c r="D794" s="563"/>
      <c r="E794" s="563"/>
      <c r="F794" s="563"/>
      <c r="G794" s="563"/>
      <c r="H794" s="563"/>
      <c r="I794" s="563"/>
      <c r="J794" s="563"/>
      <c r="K794" s="563"/>
      <c r="L794" s="563"/>
      <c r="M794" s="563"/>
      <c r="N794" s="563"/>
      <c r="O794" s="563"/>
      <c r="P794" s="563"/>
      <c r="Q794" s="563"/>
      <c r="R794" s="563"/>
      <c r="S794" s="563"/>
      <c r="T794" s="563"/>
      <c r="U794" s="563"/>
      <c r="V794" s="563"/>
      <c r="W794" s="563"/>
      <c r="X794" s="563"/>
      <c r="Y794" s="563"/>
      <c r="Z794" s="563"/>
      <c r="AA794" s="563"/>
      <c r="AB794" s="563"/>
      <c r="AC794" s="564"/>
      <c r="AD794" s="563"/>
      <c r="AE794" s="463"/>
      <c r="AF794" s="463"/>
      <c r="AG794" s="463"/>
      <c r="AH794" s="463"/>
      <c r="AI794" s="464"/>
      <c r="AJ794" s="464" t="s">
        <v>2553</v>
      </c>
      <c r="AK794" s="2356">
        <f>IF(($AJ$621+$AJ$640+$AJ$652+$AJ$687+$AJ$711+$AJ$725+$AJ$737+$AJ$753+$AJ$765+$AJ$781+AJ792)&gt;10,10,($AJ$621+$AJ$640+$AJ$652+$AJ$687+$AJ$711+$AJ$725+$AJ$737+$AJ$753+$AJ$765+$AJ$781+AJ792))</f>
        <v>10</v>
      </c>
      <c r="AL794" s="2357"/>
      <c r="AM794" s="2358"/>
      <c r="AN794" s="496"/>
    </row>
    <row r="795" spans="1:81" s="449" customFormat="1" ht="12.75" customHeight="1">
      <c r="B795" s="450"/>
      <c r="C795" s="450"/>
      <c r="D795" s="450"/>
      <c r="E795" s="450"/>
      <c r="F795" s="450"/>
      <c r="G795" s="450"/>
      <c r="H795" s="450"/>
      <c r="I795" s="450"/>
      <c r="J795" s="450"/>
      <c r="K795" s="450"/>
      <c r="L795" s="450"/>
      <c r="M795" s="450"/>
      <c r="N795" s="450"/>
      <c r="O795" s="450"/>
      <c r="P795" s="450"/>
      <c r="Q795" s="450"/>
      <c r="R795" s="450"/>
      <c r="S795" s="450"/>
      <c r="T795" s="450"/>
      <c r="U795" s="450"/>
      <c r="V795" s="450"/>
      <c r="W795" s="450"/>
      <c r="X795" s="450"/>
      <c r="Y795" s="450"/>
      <c r="Z795" s="450"/>
      <c r="AA795" s="450"/>
      <c r="AB795" s="450"/>
      <c r="AC795" s="515"/>
      <c r="AD795" s="450"/>
      <c r="AI795" s="442"/>
      <c r="AJ795" s="442"/>
      <c r="AK795" s="494"/>
      <c r="AL795" s="494"/>
      <c r="AM795" s="494"/>
      <c r="AN795" s="496"/>
    </row>
    <row r="796" spans="1:81">
      <c r="B796" s="449"/>
      <c r="C796" s="449"/>
      <c r="D796" s="449"/>
      <c r="E796" s="449"/>
      <c r="F796" s="449"/>
      <c r="G796" s="449"/>
      <c r="H796" s="449"/>
      <c r="I796" s="449"/>
      <c r="J796" s="449"/>
      <c r="K796" s="449"/>
      <c r="L796" s="449"/>
      <c r="M796" s="449"/>
      <c r="N796" s="449"/>
      <c r="O796" s="449"/>
      <c r="P796" s="449"/>
      <c r="Q796" s="449"/>
      <c r="R796" s="449"/>
      <c r="S796" s="449"/>
      <c r="T796" s="449"/>
      <c r="U796" s="449"/>
      <c r="V796" s="449"/>
      <c r="W796" s="449"/>
      <c r="X796" s="449"/>
      <c r="Y796" s="449"/>
      <c r="Z796" s="449"/>
      <c r="AA796" s="449"/>
      <c r="AB796" s="449"/>
      <c r="AC796" s="449"/>
      <c r="AD796" s="449"/>
      <c r="AE796" s="449"/>
      <c r="AF796" s="449"/>
      <c r="AG796" s="449"/>
      <c r="AH796" s="449"/>
      <c r="AI796" s="449"/>
      <c r="AJ796" s="449"/>
      <c r="AK796" s="449"/>
      <c r="AL796" s="449"/>
      <c r="AM796" s="449"/>
    </row>
    <row r="797" spans="1:81">
      <c r="A797" s="2440" t="s">
        <v>2554</v>
      </c>
      <c r="B797" s="2441"/>
      <c r="C797" s="2441"/>
      <c r="D797" s="2441"/>
      <c r="E797" s="2441"/>
      <c r="F797" s="2441"/>
      <c r="G797" s="2441"/>
      <c r="H797" s="2441"/>
      <c r="I797" s="2441"/>
      <c r="J797" s="2441"/>
      <c r="K797" s="2441"/>
      <c r="L797" s="2441"/>
      <c r="M797" s="2441"/>
      <c r="N797" s="2441"/>
      <c r="O797" s="2441"/>
      <c r="P797" s="2441"/>
      <c r="Q797" s="2441"/>
      <c r="R797" s="2441"/>
      <c r="S797" s="2441"/>
      <c r="T797" s="2441"/>
      <c r="U797" s="2441"/>
      <c r="V797" s="2441"/>
      <c r="W797" s="2441"/>
      <c r="X797" s="2441"/>
      <c r="Y797" s="2441"/>
      <c r="Z797" s="2441"/>
      <c r="AA797" s="2441"/>
      <c r="AB797" s="2441"/>
      <c r="AC797" s="2441"/>
      <c r="AD797" s="2441"/>
      <c r="AE797" s="2441"/>
      <c r="AF797" s="2441"/>
      <c r="AG797" s="2441"/>
      <c r="AH797" s="2441"/>
      <c r="AI797" s="2441"/>
      <c r="AJ797" s="2441"/>
      <c r="AK797" s="2441"/>
      <c r="AL797" s="2441"/>
      <c r="AM797" s="2441"/>
    </row>
    <row r="798" spans="1:81">
      <c r="A798" s="2442"/>
      <c r="B798" s="2442"/>
      <c r="C798" s="2442"/>
      <c r="D798" s="2442"/>
      <c r="E798" s="2442"/>
      <c r="F798" s="2442"/>
      <c r="G798" s="2442"/>
      <c r="H798" s="2442"/>
      <c r="I798" s="2442"/>
      <c r="J798" s="2442"/>
      <c r="K798" s="2442"/>
      <c r="L798" s="2442"/>
      <c r="M798" s="2442"/>
      <c r="N798" s="2442"/>
      <c r="O798" s="2442"/>
      <c r="P798" s="2442"/>
      <c r="Q798" s="2442"/>
      <c r="R798" s="2442"/>
      <c r="S798" s="2442"/>
      <c r="T798" s="2442"/>
      <c r="U798" s="2442"/>
      <c r="V798" s="2442"/>
      <c r="W798" s="2442"/>
      <c r="X798" s="2442"/>
      <c r="Y798" s="2442"/>
      <c r="Z798" s="2442"/>
      <c r="AA798" s="2442"/>
      <c r="AB798" s="2442"/>
      <c r="AC798" s="2442"/>
      <c r="AD798" s="2442"/>
      <c r="AE798" s="2442"/>
      <c r="AF798" s="2442"/>
      <c r="AG798" s="2442"/>
      <c r="AH798" s="2442"/>
      <c r="AI798" s="2442"/>
      <c r="AJ798" s="2442"/>
      <c r="AK798" s="2442"/>
      <c r="AL798" s="2442"/>
      <c r="AM798" s="2442"/>
      <c r="AO798" s="715"/>
      <c r="AP798" s="715"/>
      <c r="AQ798" s="715"/>
    </row>
    <row r="799" spans="1:81" ht="13">
      <c r="A799" s="449"/>
      <c r="B799" s="470"/>
      <c r="C799" s="471"/>
      <c r="D799" s="471"/>
      <c r="E799" s="471"/>
      <c r="F799" s="471"/>
      <c r="G799" s="471"/>
      <c r="H799" s="471"/>
      <c r="I799" s="472"/>
      <c r="J799" s="472"/>
      <c r="K799" s="472"/>
      <c r="L799" s="472"/>
      <c r="M799" s="472"/>
      <c r="N799" s="472"/>
      <c r="O799" s="472"/>
      <c r="P799" s="472"/>
      <c r="Q799" s="472"/>
      <c r="S799" s="438"/>
      <c r="T799" s="438"/>
      <c r="U799" s="438"/>
      <c r="V799" s="438"/>
      <c r="W799" s="438"/>
      <c r="X799" s="438"/>
      <c r="Y799" s="438"/>
      <c r="Z799" s="438"/>
      <c r="AA799" s="438"/>
      <c r="AB799" s="438"/>
      <c r="AC799" s="438"/>
      <c r="AD799" s="438"/>
      <c r="AE799" s="438"/>
      <c r="AG799" s="438"/>
      <c r="AH799" s="438"/>
      <c r="AI799" s="438"/>
      <c r="AJ799" s="438"/>
      <c r="AK799" s="449"/>
      <c r="AL799" s="449"/>
      <c r="AM799" s="436"/>
      <c r="AO799" s="715"/>
      <c r="AP799" s="715"/>
      <c r="AQ799" s="715"/>
    </row>
    <row r="800" spans="1:81" ht="13">
      <c r="A800" s="2371"/>
      <c r="B800" s="2371"/>
      <c r="C800" s="2371"/>
      <c r="D800" s="2371"/>
      <c r="E800" s="2371"/>
      <c r="F800" s="2371"/>
      <c r="G800" s="2371"/>
      <c r="H800" s="2371"/>
      <c r="I800" s="2371"/>
      <c r="J800" s="2371"/>
      <c r="K800" s="2371"/>
      <c r="L800" s="2371"/>
      <c r="M800" s="2371"/>
      <c r="N800" s="2371"/>
      <c r="O800" s="2371"/>
      <c r="P800" s="2371"/>
      <c r="Q800" s="2371"/>
      <c r="R800" s="2371"/>
      <c r="S800" s="2371"/>
      <c r="T800" s="2371"/>
      <c r="U800" s="2371"/>
      <c r="V800" s="2371"/>
      <c r="W800" s="2371"/>
      <c r="X800" s="2371"/>
      <c r="Y800" s="2371"/>
      <c r="Z800" s="2371"/>
      <c r="AA800" s="2371"/>
      <c r="AB800" s="2371"/>
      <c r="AC800" s="2371"/>
      <c r="AD800" s="2371"/>
      <c r="AE800" s="2371"/>
      <c r="AF800" s="2371"/>
      <c r="AG800" s="2371"/>
      <c r="AH800" s="2371"/>
      <c r="AI800" s="2371"/>
      <c r="AJ800" s="2371"/>
      <c r="AK800" s="2371"/>
      <c r="AL800" s="2371"/>
      <c r="AM800" s="2371"/>
      <c r="AP800" s="715"/>
      <c r="AQ800" s="715"/>
    </row>
    <row r="801" spans="1:81" ht="13">
      <c r="A801" s="2371"/>
      <c r="B801" s="2371"/>
      <c r="C801" s="2371"/>
      <c r="D801" s="2371"/>
      <c r="E801" s="2371"/>
      <c r="F801" s="2371"/>
      <c r="G801" s="2371"/>
      <c r="H801" s="2371"/>
      <c r="I801" s="2371"/>
      <c r="J801" s="2371"/>
      <c r="K801" s="2371"/>
      <c r="L801" s="2371"/>
      <c r="M801" s="2371"/>
      <c r="N801" s="2371"/>
      <c r="O801" s="2371"/>
      <c r="P801" s="2371"/>
      <c r="Q801" s="2371"/>
      <c r="R801" s="2371"/>
      <c r="S801" s="2371"/>
      <c r="T801" s="2371"/>
      <c r="U801" s="2371"/>
      <c r="V801" s="2371"/>
      <c r="W801" s="2371"/>
      <c r="X801" s="2371"/>
      <c r="Y801" s="2371"/>
      <c r="Z801" s="2371"/>
      <c r="AA801" s="2371"/>
      <c r="AB801" s="2371"/>
      <c r="AC801" s="2371"/>
      <c r="AD801" s="2371"/>
      <c r="AE801" s="2371"/>
      <c r="AF801" s="2371"/>
      <c r="AG801" s="2371"/>
      <c r="AH801" s="2371"/>
      <c r="AI801" s="2371"/>
      <c r="AJ801" s="2371"/>
      <c r="AK801" s="2371"/>
      <c r="AL801" s="2371"/>
      <c r="AM801" s="2371"/>
      <c r="AO801" s="715"/>
      <c r="AQ801" s="715"/>
    </row>
    <row r="802" spans="1:81" ht="13">
      <c r="A802" s="716"/>
      <c r="B802" s="566"/>
      <c r="C802" s="566"/>
      <c r="D802" s="566"/>
      <c r="E802" s="566"/>
      <c r="F802" s="566"/>
      <c r="G802" s="566"/>
      <c r="H802" s="566"/>
      <c r="I802" s="566"/>
      <c r="J802" s="566"/>
      <c r="K802" s="566"/>
      <c r="L802" s="566"/>
      <c r="M802" s="566"/>
      <c r="N802" s="566"/>
      <c r="O802" s="566"/>
      <c r="P802" s="566"/>
      <c r="Q802" s="566"/>
      <c r="R802" s="566"/>
      <c r="S802" s="568"/>
      <c r="T802" s="2443" t="s">
        <v>2555</v>
      </c>
      <c r="U802" s="2444"/>
      <c r="V802" s="2444"/>
      <c r="W802" s="2444"/>
      <c r="X802" s="2444"/>
      <c r="Y802" s="2445"/>
      <c r="Z802" s="2443" t="s">
        <v>2556</v>
      </c>
      <c r="AA802" s="2444"/>
      <c r="AB802" s="2444"/>
      <c r="AC802" s="2444"/>
      <c r="AD802" s="2444"/>
      <c r="AE802" s="2445"/>
      <c r="AF802" s="2443" t="s">
        <v>2557</v>
      </c>
      <c r="AG802" s="2444"/>
      <c r="AH802" s="2444"/>
      <c r="AI802" s="2444"/>
      <c r="AJ802" s="2444"/>
      <c r="AK802" s="2445"/>
      <c r="AL802" s="717"/>
      <c r="AM802" s="495"/>
      <c r="AO802" s="715"/>
      <c r="AP802" s="715"/>
      <c r="AQ802" s="715"/>
    </row>
    <row r="803" spans="1:81" ht="13">
      <c r="A803" s="718"/>
      <c r="B803" s="593"/>
      <c r="C803" s="593"/>
      <c r="D803" s="593"/>
      <c r="E803" s="593"/>
      <c r="F803" s="593"/>
      <c r="G803" s="593"/>
      <c r="H803" s="593"/>
      <c r="I803" s="593"/>
      <c r="J803" s="593"/>
      <c r="K803" s="593"/>
      <c r="L803" s="593"/>
      <c r="M803" s="593"/>
      <c r="N803" s="593"/>
      <c r="O803" s="593"/>
      <c r="P803" s="593"/>
      <c r="Q803" s="593"/>
      <c r="R803" s="593"/>
      <c r="S803" s="607"/>
      <c r="T803" s="2446"/>
      <c r="U803" s="2447"/>
      <c r="V803" s="2447"/>
      <c r="W803" s="2447"/>
      <c r="X803" s="2447"/>
      <c r="Y803" s="2448"/>
      <c r="Z803" s="2446"/>
      <c r="AA803" s="2447"/>
      <c r="AB803" s="2447"/>
      <c r="AC803" s="2447"/>
      <c r="AD803" s="2447"/>
      <c r="AE803" s="2448"/>
      <c r="AF803" s="2446"/>
      <c r="AG803" s="2447"/>
      <c r="AH803" s="2447"/>
      <c r="AI803" s="2447"/>
      <c r="AJ803" s="2447"/>
      <c r="AK803" s="2448"/>
      <c r="AL803" s="717"/>
      <c r="AM803" s="495"/>
      <c r="AO803" s="715"/>
      <c r="AP803" s="715"/>
      <c r="AQ803" s="715"/>
    </row>
    <row r="804" spans="1:81" ht="13">
      <c r="A804" s="718" t="s">
        <v>53</v>
      </c>
      <c r="B804" s="2400" t="s">
        <v>2120</v>
      </c>
      <c r="C804" s="2400"/>
      <c r="D804" s="2400"/>
      <c r="E804" s="2400"/>
      <c r="F804" s="2400"/>
      <c r="G804" s="2400"/>
      <c r="H804" s="2400"/>
      <c r="I804" s="2400"/>
      <c r="J804" s="2400"/>
      <c r="K804" s="2400"/>
      <c r="L804" s="2400"/>
      <c r="M804" s="2400"/>
      <c r="N804" s="2400"/>
      <c r="O804" s="2400"/>
      <c r="P804" s="2400"/>
      <c r="Q804" s="2400"/>
      <c r="R804" s="2400"/>
      <c r="S804" s="2401"/>
      <c r="T804" s="2428">
        <f>AK62</f>
        <v>20</v>
      </c>
      <c r="U804" s="2404"/>
      <c r="V804" s="2404"/>
      <c r="W804" s="2404"/>
      <c r="X804" s="2404"/>
      <c r="Y804" s="2405"/>
      <c r="Z804" s="2403">
        <v>20</v>
      </c>
      <c r="AA804" s="2404"/>
      <c r="AB804" s="2404"/>
      <c r="AC804" s="2404"/>
      <c r="AD804" s="2404"/>
      <c r="AE804" s="2405"/>
      <c r="AF804" s="2368">
        <f>IF(T804&gt;Z804,Z804,T804)</f>
        <v>20</v>
      </c>
      <c r="AG804" s="2368"/>
      <c r="AH804" s="2368"/>
      <c r="AI804" s="2368"/>
      <c r="AJ804" s="2368"/>
      <c r="AK804" s="2368"/>
      <c r="AL804" s="717"/>
      <c r="AM804" s="495"/>
      <c r="AO804" s="715"/>
      <c r="AP804" s="715"/>
      <c r="AQ804" s="715"/>
    </row>
    <row r="805" spans="1:81" ht="13">
      <c r="A805" s="718" t="s">
        <v>2410</v>
      </c>
      <c r="B805" s="2400" t="s">
        <v>617</v>
      </c>
      <c r="C805" s="2400"/>
      <c r="D805" s="2400"/>
      <c r="E805" s="2400"/>
      <c r="F805" s="2400"/>
      <c r="G805" s="2400"/>
      <c r="H805" s="2400"/>
      <c r="I805" s="2400"/>
      <c r="J805" s="2400"/>
      <c r="K805" s="2400"/>
      <c r="L805" s="2400"/>
      <c r="M805" s="2400"/>
      <c r="N805" s="2400"/>
      <c r="O805" s="2400"/>
      <c r="P805" s="2400"/>
      <c r="Q805" s="2400"/>
      <c r="R805" s="2400"/>
      <c r="S805" s="2401"/>
      <c r="T805" s="2428">
        <f>AK84</f>
        <v>0</v>
      </c>
      <c r="U805" s="2404"/>
      <c r="V805" s="2404"/>
      <c r="W805" s="2404"/>
      <c r="X805" s="2404"/>
      <c r="Y805" s="2405"/>
      <c r="Z805" s="2403">
        <v>10</v>
      </c>
      <c r="AA805" s="2404"/>
      <c r="AB805" s="2404"/>
      <c r="AC805" s="2404"/>
      <c r="AD805" s="2404"/>
      <c r="AE805" s="2405"/>
      <c r="AF805" s="2368">
        <f>IF(T805&gt;Z805,Z805,T805)</f>
        <v>0</v>
      </c>
      <c r="AG805" s="2368"/>
      <c r="AH805" s="2368"/>
      <c r="AI805" s="2368"/>
      <c r="AJ805" s="2368"/>
      <c r="AK805" s="2368"/>
      <c r="AL805" s="717"/>
      <c r="AM805" s="495"/>
      <c r="AO805" s="715"/>
      <c r="AP805" s="715"/>
      <c r="AQ805" s="715"/>
    </row>
    <row r="806" spans="1:81" ht="13">
      <c r="A806" s="718" t="s">
        <v>2419</v>
      </c>
      <c r="B806" s="2400" t="s">
        <v>2160</v>
      </c>
      <c r="C806" s="2400"/>
      <c r="D806" s="2400"/>
      <c r="E806" s="2400"/>
      <c r="F806" s="2400"/>
      <c r="G806" s="2400"/>
      <c r="H806" s="2400"/>
      <c r="I806" s="2400"/>
      <c r="J806" s="2400"/>
      <c r="K806" s="2400"/>
      <c r="L806" s="2400"/>
      <c r="M806" s="2400"/>
      <c r="N806" s="2400"/>
      <c r="O806" s="2400"/>
      <c r="P806" s="2400"/>
      <c r="Q806" s="2400"/>
      <c r="R806" s="2400"/>
      <c r="S806" s="2401"/>
      <c r="T806" s="2428">
        <f ca="1">AK109</f>
        <v>20</v>
      </c>
      <c r="U806" s="2404"/>
      <c r="V806" s="2404"/>
      <c r="W806" s="2404"/>
      <c r="X806" s="2404"/>
      <c r="Y806" s="2405"/>
      <c r="Z806" s="2403">
        <v>20</v>
      </c>
      <c r="AA806" s="2404"/>
      <c r="AB806" s="2404"/>
      <c r="AC806" s="2404"/>
      <c r="AD806" s="2404"/>
      <c r="AE806" s="2405"/>
      <c r="AF806" s="2368">
        <f ca="1">IF(T806&gt;Z806,Z806,T806)</f>
        <v>20</v>
      </c>
      <c r="AG806" s="2368"/>
      <c r="AH806" s="2368"/>
      <c r="AI806" s="2368"/>
      <c r="AJ806" s="2368"/>
      <c r="AK806" s="2368"/>
      <c r="AL806" s="717"/>
      <c r="AM806" s="495"/>
      <c r="AO806" s="715"/>
      <c r="AP806" s="715"/>
      <c r="AQ806" s="715"/>
    </row>
    <row r="807" spans="1:81" ht="13">
      <c r="A807" s="718" t="s">
        <v>2558</v>
      </c>
      <c r="B807" s="2400" t="s">
        <v>2171</v>
      </c>
      <c r="C807" s="2400"/>
      <c r="D807" s="2400"/>
      <c r="E807" s="2400"/>
      <c r="F807" s="2400"/>
      <c r="G807" s="2400"/>
      <c r="H807" s="2400"/>
      <c r="I807" s="2400"/>
      <c r="J807" s="2400"/>
      <c r="K807" s="2400"/>
      <c r="L807" s="2400"/>
      <c r="M807" s="2400"/>
      <c r="N807" s="2400"/>
      <c r="O807" s="2400"/>
      <c r="P807" s="2400"/>
      <c r="Q807" s="2400"/>
      <c r="R807" s="2400"/>
      <c r="S807" s="2401"/>
      <c r="T807" s="2428">
        <f>AK143</f>
        <v>10</v>
      </c>
      <c r="U807" s="2404"/>
      <c r="V807" s="2404"/>
      <c r="W807" s="2404"/>
      <c r="X807" s="2404"/>
      <c r="Y807" s="2405"/>
      <c r="Z807" s="2403">
        <v>10</v>
      </c>
      <c r="AA807" s="2404"/>
      <c r="AB807" s="2404"/>
      <c r="AC807" s="2404"/>
      <c r="AD807" s="2404"/>
      <c r="AE807" s="2405"/>
      <c r="AF807" s="2368">
        <f>IF(T807&gt;Z807,Z807,T807)</f>
        <v>10</v>
      </c>
      <c r="AG807" s="2368"/>
      <c r="AH807" s="2368"/>
      <c r="AI807" s="2368"/>
      <c r="AJ807" s="2368"/>
      <c r="AK807" s="2368"/>
      <c r="AL807" s="717"/>
      <c r="AM807" s="495"/>
      <c r="AO807" s="715"/>
      <c r="AP807" s="715"/>
      <c r="AQ807" s="715"/>
    </row>
    <row r="808" spans="1:81" ht="13">
      <c r="A808" s="719" t="s">
        <v>2559</v>
      </c>
      <c r="B808" s="2400" t="s">
        <v>2560</v>
      </c>
      <c r="C808" s="2400"/>
      <c r="D808" s="2400"/>
      <c r="E808" s="2400"/>
      <c r="F808" s="2400"/>
      <c r="G808" s="2400"/>
      <c r="H808" s="2400"/>
      <c r="I808" s="2400"/>
      <c r="J808" s="2400"/>
      <c r="K808" s="2400"/>
      <c r="L808" s="2400"/>
      <c r="M808" s="2400"/>
      <c r="N808" s="2400"/>
      <c r="O808" s="2400"/>
      <c r="P808" s="2400"/>
      <c r="Q808" s="2400"/>
      <c r="R808" s="2400"/>
      <c r="S808" s="2401"/>
      <c r="T808" s="2402">
        <f>SUM(T809:Y810)</f>
        <v>10</v>
      </c>
      <c r="U808" s="2402"/>
      <c r="V808" s="2402"/>
      <c r="W808" s="2402"/>
      <c r="X808" s="2402"/>
      <c r="Y808" s="2402"/>
      <c r="Z808" s="2368">
        <v>10</v>
      </c>
      <c r="AA808" s="2368"/>
      <c r="AB808" s="2368"/>
      <c r="AC808" s="2368"/>
      <c r="AD808" s="2368"/>
      <c r="AE808" s="2368"/>
      <c r="AF808" s="2368">
        <f>IF(T808&gt;Z808,Z808,T808)</f>
        <v>10</v>
      </c>
      <c r="AG808" s="2368"/>
      <c r="AH808" s="2368"/>
      <c r="AI808" s="2368"/>
      <c r="AJ808" s="2368"/>
      <c r="AK808" s="2368"/>
      <c r="AL808" s="717"/>
      <c r="AM808" s="495"/>
    </row>
    <row r="809" spans="1:81" ht="13">
      <c r="A809" s="434"/>
      <c r="B809" s="500"/>
      <c r="C809" s="2406" t="s">
        <v>2561</v>
      </c>
      <c r="D809" s="2406"/>
      <c r="E809" s="2406"/>
      <c r="F809" s="2406"/>
      <c r="G809" s="2406"/>
      <c r="H809" s="2406"/>
      <c r="I809" s="2406"/>
      <c r="J809" s="2406"/>
      <c r="K809" s="2406"/>
      <c r="L809" s="2406"/>
      <c r="M809" s="2406"/>
      <c r="N809" s="2406"/>
      <c r="O809" s="2406"/>
      <c r="P809" s="2406"/>
      <c r="Q809" s="2406"/>
      <c r="R809" s="2406"/>
      <c r="S809" s="2407"/>
      <c r="T809" s="2408">
        <f>AJ166</f>
        <v>7</v>
      </c>
      <c r="U809" s="2408"/>
      <c r="V809" s="2408"/>
      <c r="W809" s="2408"/>
      <c r="X809" s="2408"/>
      <c r="Y809" s="2408"/>
      <c r="Z809" s="2409">
        <v>7</v>
      </c>
      <c r="AA809" s="2409"/>
      <c r="AB809" s="2409"/>
      <c r="AC809" s="2409"/>
      <c r="AD809" s="2409"/>
      <c r="AE809" s="2409"/>
      <c r="AF809" s="2410"/>
      <c r="AG809" s="2410"/>
      <c r="AH809" s="2410"/>
      <c r="AI809" s="2410"/>
      <c r="AJ809" s="2410"/>
      <c r="AK809" s="2410"/>
      <c r="AL809" s="717"/>
      <c r="AM809" s="495"/>
    </row>
    <row r="810" spans="1:81" ht="13">
      <c r="A810" s="499"/>
      <c r="B810" s="500"/>
      <c r="C810" s="2406" t="s">
        <v>1990</v>
      </c>
      <c r="D810" s="2406"/>
      <c r="E810" s="2406"/>
      <c r="F810" s="2406"/>
      <c r="G810" s="2406"/>
      <c r="H810" s="2406"/>
      <c r="I810" s="2406"/>
      <c r="J810" s="2406"/>
      <c r="K810" s="2406"/>
      <c r="L810" s="2406"/>
      <c r="M810" s="2406"/>
      <c r="N810" s="2406"/>
      <c r="O810" s="2406"/>
      <c r="P810" s="2406"/>
      <c r="Q810" s="2406"/>
      <c r="R810" s="2406"/>
      <c r="S810" s="2407"/>
      <c r="T810" s="2408">
        <f>AJ180</f>
        <v>3</v>
      </c>
      <c r="U810" s="2408"/>
      <c r="V810" s="2408"/>
      <c r="W810" s="2408"/>
      <c r="X810" s="2408"/>
      <c r="Y810" s="2408"/>
      <c r="Z810" s="2409">
        <v>3</v>
      </c>
      <c r="AA810" s="2409"/>
      <c r="AB810" s="2409"/>
      <c r="AC810" s="2409"/>
      <c r="AD810" s="2409"/>
      <c r="AE810" s="2409"/>
      <c r="AF810" s="2410"/>
      <c r="AG810" s="2410"/>
      <c r="AH810" s="2410"/>
      <c r="AI810" s="2410"/>
      <c r="AJ810" s="2410"/>
      <c r="AK810" s="2410"/>
      <c r="AL810" s="717"/>
      <c r="AM810" s="495"/>
      <c r="AO810" s="449"/>
    </row>
    <row r="811" spans="1:81" ht="13">
      <c r="A811" s="719" t="s">
        <v>2217</v>
      </c>
      <c r="B811" s="2400" t="s">
        <v>2562</v>
      </c>
      <c r="C811" s="2400"/>
      <c r="D811" s="2400"/>
      <c r="E811" s="2400"/>
      <c r="F811" s="2400"/>
      <c r="G811" s="2400"/>
      <c r="H811" s="2400"/>
      <c r="I811" s="2400"/>
      <c r="J811" s="2400"/>
      <c r="K811" s="2400"/>
      <c r="L811" s="2400"/>
      <c r="M811" s="2400"/>
      <c r="N811" s="2400"/>
      <c r="O811" s="2400"/>
      <c r="P811" s="2400"/>
      <c r="Q811" s="2400"/>
      <c r="R811" s="2400"/>
      <c r="S811" s="2401"/>
      <c r="T811" s="2402">
        <f>AK191</f>
        <v>0</v>
      </c>
      <c r="U811" s="2402"/>
      <c r="V811" s="2402"/>
      <c r="W811" s="2402"/>
      <c r="X811" s="2402"/>
      <c r="Y811" s="2402"/>
      <c r="Z811" s="2368">
        <v>10</v>
      </c>
      <c r="AA811" s="2368"/>
      <c r="AB811" s="2368"/>
      <c r="AC811" s="2368"/>
      <c r="AD811" s="2368"/>
      <c r="AE811" s="2368"/>
      <c r="AF811" s="2368">
        <f>IF(T811&gt;Z811,Z811,T811)</f>
        <v>0</v>
      </c>
      <c r="AG811" s="2368"/>
      <c r="AH811" s="2368"/>
      <c r="AI811" s="2368"/>
      <c r="AJ811" s="2368"/>
      <c r="AK811" s="2368"/>
      <c r="AL811" s="717"/>
      <c r="AM811" s="495"/>
    </row>
    <row r="812" spans="1:81" ht="13">
      <c r="A812" s="718" t="s">
        <v>2227</v>
      </c>
      <c r="B812" s="2400" t="s">
        <v>2228</v>
      </c>
      <c r="C812" s="2400"/>
      <c r="D812" s="2400"/>
      <c r="E812" s="2400"/>
      <c r="F812" s="2400"/>
      <c r="G812" s="2400"/>
      <c r="H812" s="2400"/>
      <c r="I812" s="2400"/>
      <c r="J812" s="2400"/>
      <c r="K812" s="2400"/>
      <c r="L812" s="2400"/>
      <c r="M812" s="2400"/>
      <c r="N812" s="2400"/>
      <c r="O812" s="2400"/>
      <c r="P812" s="2400"/>
      <c r="Q812" s="2400"/>
      <c r="R812" s="2400"/>
      <c r="S812" s="2401"/>
      <c r="T812" s="2402">
        <f>AK273</f>
        <v>8</v>
      </c>
      <c r="U812" s="2402"/>
      <c r="V812" s="2402"/>
      <c r="W812" s="2402"/>
      <c r="X812" s="2402"/>
      <c r="Y812" s="2402"/>
      <c r="Z812" s="2403">
        <v>8</v>
      </c>
      <c r="AA812" s="2404"/>
      <c r="AB812" s="2404"/>
      <c r="AC812" s="2404"/>
      <c r="AD812" s="2404"/>
      <c r="AE812" s="2405"/>
      <c r="AF812" s="2368">
        <f>IF(T812&gt;Z812,Z812,T812)</f>
        <v>8</v>
      </c>
      <c r="AG812" s="2368"/>
      <c r="AH812" s="2368"/>
      <c r="AI812" s="2368"/>
      <c r="AJ812" s="2368"/>
      <c r="AK812" s="2368"/>
      <c r="AL812" s="717"/>
      <c r="AM812" s="495"/>
    </row>
    <row r="813" spans="1:81" s="433" customFormat="1" ht="13" hidden="1">
      <c r="A813" s="719" t="s">
        <v>1005</v>
      </c>
      <c r="B813" s="2400" t="s">
        <v>2563</v>
      </c>
      <c r="C813" s="2400"/>
      <c r="D813" s="2400"/>
      <c r="E813" s="2400"/>
      <c r="F813" s="2400"/>
      <c r="G813" s="2400"/>
      <c r="H813" s="2400"/>
      <c r="I813" s="2400"/>
      <c r="J813" s="2400"/>
      <c r="K813" s="2400"/>
      <c r="L813" s="2400"/>
      <c r="M813" s="2400"/>
      <c r="N813" s="2400"/>
      <c r="O813" s="2400"/>
      <c r="P813" s="2400"/>
      <c r="Q813" s="2400"/>
      <c r="R813" s="2400"/>
      <c r="S813" s="2401"/>
      <c r="T813" s="2402">
        <f>IF(AK535&gt;5,5,AK535)</f>
        <v>0</v>
      </c>
      <c r="U813" s="2402"/>
      <c r="V813" s="2402"/>
      <c r="W813" s="2402"/>
      <c r="X813" s="2402"/>
      <c r="Y813" s="2402"/>
      <c r="Z813" s="2368">
        <v>5</v>
      </c>
      <c r="AA813" s="2368"/>
      <c r="AB813" s="2368"/>
      <c r="AC813" s="2368"/>
      <c r="AD813" s="2368"/>
      <c r="AE813" s="2368"/>
      <c r="AF813" s="2368">
        <f>IF(T813&gt;Z813,5,T813)</f>
        <v>0</v>
      </c>
      <c r="AG813" s="2368"/>
      <c r="AH813" s="2368"/>
      <c r="AI813" s="2368"/>
      <c r="AJ813" s="2368"/>
      <c r="AK813" s="2368"/>
      <c r="AL813" s="717"/>
      <c r="AM813" s="495"/>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3" customFormat="1" ht="13">
      <c r="A814" s="718" t="s">
        <v>2278</v>
      </c>
      <c r="B814" s="2400" t="s">
        <v>2564</v>
      </c>
      <c r="C814" s="2400"/>
      <c r="D814" s="2400"/>
      <c r="E814" s="2400"/>
      <c r="F814" s="2400"/>
      <c r="G814" s="2400"/>
      <c r="H814" s="2400"/>
      <c r="I814" s="2400"/>
      <c r="J814" s="2400"/>
      <c r="K814" s="2400"/>
      <c r="L814" s="2400"/>
      <c r="M814" s="2400"/>
      <c r="N814" s="2400"/>
      <c r="O814" s="2400"/>
      <c r="P814" s="2400"/>
      <c r="Q814" s="2400"/>
      <c r="R814" s="2400"/>
      <c r="S814" s="2401"/>
      <c r="T814" s="2402">
        <f>AK285</f>
        <v>10</v>
      </c>
      <c r="U814" s="2402"/>
      <c r="V814" s="2402"/>
      <c r="W814" s="2402"/>
      <c r="X814" s="2402"/>
      <c r="Y814" s="2402"/>
      <c r="Z814" s="2368">
        <v>10</v>
      </c>
      <c r="AA814" s="2368"/>
      <c r="AB814" s="2368"/>
      <c r="AC814" s="2368"/>
      <c r="AD814" s="2368"/>
      <c r="AE814" s="2368"/>
      <c r="AF814" s="2411">
        <f>IF(T814&gt;Z814,Z814,T814)</f>
        <v>10</v>
      </c>
      <c r="AG814" s="2412"/>
      <c r="AH814" s="2412"/>
      <c r="AI814" s="2412"/>
      <c r="AJ814" s="2412"/>
      <c r="AK814" s="2413"/>
      <c r="AL814" s="717"/>
      <c r="AM814" s="495"/>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3" customFormat="1" ht="13">
      <c r="A815" s="719" t="s">
        <v>2282</v>
      </c>
      <c r="B815" s="2400" t="s">
        <v>2565</v>
      </c>
      <c r="C815" s="2400"/>
      <c r="D815" s="2400"/>
      <c r="E815" s="2400"/>
      <c r="F815" s="2400"/>
      <c r="G815" s="2400"/>
      <c r="H815" s="2400"/>
      <c r="I815" s="2400"/>
      <c r="J815" s="2400"/>
      <c r="K815" s="2400"/>
      <c r="L815" s="2400"/>
      <c r="M815" s="2400"/>
      <c r="N815" s="2400"/>
      <c r="O815" s="2400"/>
      <c r="P815" s="2400"/>
      <c r="Q815" s="2400"/>
      <c r="R815" s="2400"/>
      <c r="S815" s="2401"/>
      <c r="T815" s="2402">
        <f>AK338</f>
        <v>0</v>
      </c>
      <c r="U815" s="2402"/>
      <c r="V815" s="2402"/>
      <c r="W815" s="2402"/>
      <c r="X815" s="2402"/>
      <c r="Y815" s="2402"/>
      <c r="Z815" s="2411">
        <v>10</v>
      </c>
      <c r="AA815" s="2412"/>
      <c r="AB815" s="2412"/>
      <c r="AC815" s="2412"/>
      <c r="AD815" s="2412"/>
      <c r="AE815" s="2413"/>
      <c r="AF815" s="2411">
        <f>IF(T815&gt;Z815,Z815,T815)</f>
        <v>0</v>
      </c>
      <c r="AG815" s="2412"/>
      <c r="AH815" s="2412"/>
      <c r="AI815" s="2412"/>
      <c r="AJ815" s="2412"/>
      <c r="AK815" s="2413"/>
      <c r="AL815" s="438"/>
      <c r="AM815" s="495"/>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3" customFormat="1" ht="13" hidden="1">
      <c r="A816" s="719"/>
      <c r="B816" s="720"/>
      <c r="C816" s="721" t="s">
        <v>2566</v>
      </c>
      <c r="D816" s="722"/>
      <c r="E816" s="722"/>
      <c r="F816" s="722"/>
      <c r="G816" s="722"/>
      <c r="H816" s="722"/>
      <c r="I816" s="722"/>
      <c r="J816" s="722"/>
      <c r="K816" s="722"/>
      <c r="L816" s="722"/>
      <c r="M816" s="722"/>
      <c r="N816" s="722"/>
      <c r="O816" s="722"/>
      <c r="P816" s="722"/>
      <c r="Q816" s="722"/>
      <c r="R816" s="720"/>
      <c r="S816" s="723"/>
      <c r="T816" s="2408">
        <f>AK338</f>
        <v>0</v>
      </c>
      <c r="U816" s="2408"/>
      <c r="V816" s="2408"/>
      <c r="W816" s="2408"/>
      <c r="X816" s="2408"/>
      <c r="Y816" s="2408"/>
      <c r="Z816" s="2356">
        <v>20</v>
      </c>
      <c r="AA816" s="2357"/>
      <c r="AB816" s="2357"/>
      <c r="AC816" s="2357"/>
      <c r="AD816" s="2357"/>
      <c r="AE816" s="2358"/>
      <c r="AF816" s="2410"/>
      <c r="AG816" s="2410"/>
      <c r="AH816" s="2410"/>
      <c r="AI816" s="2410"/>
      <c r="AJ816" s="2410"/>
      <c r="AK816" s="2410"/>
      <c r="AL816" s="438"/>
      <c r="AM816" s="495"/>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3" customFormat="1" ht="13">
      <c r="A817" s="719" t="s">
        <v>2312</v>
      </c>
      <c r="B817" s="2400" t="s">
        <v>2313</v>
      </c>
      <c r="C817" s="2400"/>
      <c r="D817" s="2400"/>
      <c r="E817" s="2400"/>
      <c r="F817" s="2400"/>
      <c r="G817" s="2400"/>
      <c r="H817" s="2400"/>
      <c r="I817" s="2400"/>
      <c r="J817" s="2400"/>
      <c r="K817" s="2400"/>
      <c r="L817" s="2400"/>
      <c r="M817" s="2400"/>
      <c r="N817" s="2400"/>
      <c r="O817" s="2400"/>
      <c r="P817" s="2400"/>
      <c r="Q817" s="2400"/>
      <c r="R817" s="2400"/>
      <c r="S817" s="2401"/>
      <c r="T817" s="2402">
        <f>AK469</f>
        <v>10</v>
      </c>
      <c r="U817" s="2402"/>
      <c r="V817" s="2402"/>
      <c r="W817" s="2402"/>
      <c r="X817" s="2402"/>
      <c r="Y817" s="2402"/>
      <c r="Z817" s="2411">
        <v>10</v>
      </c>
      <c r="AA817" s="2412"/>
      <c r="AB817" s="2412"/>
      <c r="AC817" s="2412"/>
      <c r="AD817" s="2412"/>
      <c r="AE817" s="2413"/>
      <c r="AF817" s="2368">
        <f>IF(T817&gt;Z817,Z817,T817)</f>
        <v>10</v>
      </c>
      <c r="AG817" s="2368"/>
      <c r="AH817" s="2368"/>
      <c r="AI817" s="2368"/>
      <c r="AJ817" s="2368"/>
      <c r="AK817" s="2368"/>
      <c r="AL817" s="438"/>
      <c r="AM817" s="495"/>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3" customFormat="1" ht="13">
      <c r="A818" s="719" t="s">
        <v>2429</v>
      </c>
      <c r="B818" s="2400" t="s">
        <v>2430</v>
      </c>
      <c r="C818" s="2400"/>
      <c r="D818" s="2400"/>
      <c r="E818" s="2400"/>
      <c r="F818" s="2400"/>
      <c r="G818" s="2400"/>
      <c r="H818" s="2400"/>
      <c r="I818" s="2400"/>
      <c r="J818" s="2400"/>
      <c r="K818" s="2400"/>
      <c r="L818" s="2400"/>
      <c r="M818" s="2400"/>
      <c r="N818" s="2400"/>
      <c r="O818" s="2400"/>
      <c r="P818" s="2400"/>
      <c r="Q818" s="2400"/>
      <c r="R818" s="2400"/>
      <c r="S818" s="2401"/>
      <c r="T818" s="2402">
        <f>AK559</f>
        <v>12</v>
      </c>
      <c r="U818" s="2402"/>
      <c r="V818" s="2402"/>
      <c r="W818" s="2402"/>
      <c r="X818" s="2402"/>
      <c r="Y818" s="2402"/>
      <c r="Z818" s="2411">
        <v>12</v>
      </c>
      <c r="AA818" s="2412"/>
      <c r="AB818" s="2412"/>
      <c r="AC818" s="2412"/>
      <c r="AD818" s="2412"/>
      <c r="AE818" s="2413"/>
      <c r="AF818" s="2368">
        <f>IF(T818&gt;Z818,Z818,T818)</f>
        <v>12</v>
      </c>
      <c r="AG818" s="2368"/>
      <c r="AH818" s="2368"/>
      <c r="AI818" s="2368"/>
      <c r="AJ818" s="2368"/>
      <c r="AK818" s="2368"/>
      <c r="AL818" s="438"/>
      <c r="AM818" s="495"/>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3" customFormat="1" ht="13">
      <c r="A819" s="719" t="s">
        <v>2567</v>
      </c>
      <c r="B819" s="2400" t="s">
        <v>2568</v>
      </c>
      <c r="C819" s="2400"/>
      <c r="D819" s="2400"/>
      <c r="E819" s="2400"/>
      <c r="F819" s="2400"/>
      <c r="G819" s="2400"/>
      <c r="H819" s="2400"/>
      <c r="I819" s="2400"/>
      <c r="J819" s="2400"/>
      <c r="K819" s="2400"/>
      <c r="L819" s="2400"/>
      <c r="M819" s="2400"/>
      <c r="N819" s="2400"/>
      <c r="O819" s="2400"/>
      <c r="P819" s="2400"/>
      <c r="Q819" s="2400"/>
      <c r="R819" s="2400"/>
      <c r="S819" s="2401"/>
      <c r="T819" s="2402">
        <f>AK794</f>
        <v>10</v>
      </c>
      <c r="U819" s="2402"/>
      <c r="V819" s="2402"/>
      <c r="W819" s="2402"/>
      <c r="X819" s="2402"/>
      <c r="Y819" s="2402"/>
      <c r="Z819" s="2411">
        <v>10</v>
      </c>
      <c r="AA819" s="2412"/>
      <c r="AB819" s="2412"/>
      <c r="AC819" s="2412"/>
      <c r="AD819" s="2412"/>
      <c r="AE819" s="2413"/>
      <c r="AF819" s="2368">
        <f>IF(T819&gt;Z819,Z819,T819)</f>
        <v>10</v>
      </c>
      <c r="AG819" s="2368"/>
      <c r="AH819" s="2368"/>
      <c r="AI819" s="2368"/>
      <c r="AJ819" s="2368"/>
      <c r="AK819" s="2368"/>
      <c r="AL819" s="438"/>
      <c r="AM819" s="495"/>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3" customFormat="1" ht="13">
      <c r="A820" s="2414" t="s">
        <v>2569</v>
      </c>
      <c r="B820" s="2400"/>
      <c r="C820" s="2400"/>
      <c r="D820" s="2400"/>
      <c r="E820" s="2400"/>
      <c r="F820" s="2400"/>
      <c r="G820" s="2400"/>
      <c r="H820" s="2400"/>
      <c r="I820" s="2400"/>
      <c r="J820" s="2400"/>
      <c r="K820" s="2400"/>
      <c r="L820" s="2400"/>
      <c r="M820" s="2400"/>
      <c r="N820" s="2400"/>
      <c r="O820" s="2400"/>
      <c r="P820" s="2400"/>
      <c r="Q820" s="2400"/>
      <c r="R820" s="2400"/>
      <c r="S820" s="2401"/>
      <c r="T820" s="2415"/>
      <c r="U820" s="2415"/>
      <c r="V820" s="2415"/>
      <c r="W820" s="2415"/>
      <c r="X820" s="2415"/>
      <c r="Y820" s="2415"/>
      <c r="Z820" s="2409" t="s">
        <v>2570</v>
      </c>
      <c r="AA820" s="2409"/>
      <c r="AB820" s="2409"/>
      <c r="AC820" s="2409"/>
      <c r="AD820" s="2409"/>
      <c r="AE820" s="2409"/>
      <c r="AF820" s="2411">
        <f>IF(T820&gt;0,T820,0)</f>
        <v>0</v>
      </c>
      <c r="AG820" s="2412"/>
      <c r="AH820" s="2412"/>
      <c r="AI820" s="2412"/>
      <c r="AJ820" s="2412"/>
      <c r="AK820" s="2413"/>
      <c r="AL820" s="490"/>
      <c r="AM820" s="495"/>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3" customFormat="1" ht="15.5">
      <c r="A821" s="2416" t="s">
        <v>2571</v>
      </c>
      <c r="B821" s="2417"/>
      <c r="C821" s="2417"/>
      <c r="D821" s="2417"/>
      <c r="E821" s="2417"/>
      <c r="F821" s="2417"/>
      <c r="G821" s="2417"/>
      <c r="H821" s="2417"/>
      <c r="I821" s="2417"/>
      <c r="J821" s="2417"/>
      <c r="K821" s="2417"/>
      <c r="L821" s="2417"/>
      <c r="M821" s="2417"/>
      <c r="N821" s="2417"/>
      <c r="O821" s="2417"/>
      <c r="P821" s="2417"/>
      <c r="Q821" s="2417"/>
      <c r="R821" s="2417"/>
      <c r="S821" s="2417"/>
      <c r="T821" s="2417"/>
      <c r="U821" s="2417"/>
      <c r="V821" s="2417"/>
      <c r="W821" s="2417"/>
      <c r="X821" s="2417"/>
      <c r="Y821" s="2417"/>
      <c r="Z821" s="2417"/>
      <c r="AA821" s="2417"/>
      <c r="AB821" s="2417"/>
      <c r="AC821" s="2417"/>
      <c r="AD821" s="2417"/>
      <c r="AE821" s="2418"/>
      <c r="AF821" s="2422">
        <f ca="1">SUM(AF804:AK819)-AF820</f>
        <v>110</v>
      </c>
      <c r="AG821" s="2423"/>
      <c r="AH821" s="2423"/>
      <c r="AI821" s="2423"/>
      <c r="AJ821" s="2423"/>
      <c r="AK821" s="2424"/>
      <c r="AL821" s="724"/>
      <c r="AM821" s="449"/>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3" customFormat="1" ht="15.5">
      <c r="A822" s="2419"/>
      <c r="B822" s="2420"/>
      <c r="C822" s="2420"/>
      <c r="D822" s="2420"/>
      <c r="E822" s="2420"/>
      <c r="F822" s="2420"/>
      <c r="G822" s="2420"/>
      <c r="H822" s="2420"/>
      <c r="I822" s="2420"/>
      <c r="J822" s="2420"/>
      <c r="K822" s="2420"/>
      <c r="L822" s="2420"/>
      <c r="M822" s="2420"/>
      <c r="N822" s="2420"/>
      <c r="O822" s="2420"/>
      <c r="P822" s="2420"/>
      <c r="Q822" s="2420"/>
      <c r="R822" s="2420"/>
      <c r="S822" s="2420"/>
      <c r="T822" s="2420"/>
      <c r="U822" s="2420"/>
      <c r="V822" s="2420"/>
      <c r="W822" s="2420"/>
      <c r="X822" s="2420"/>
      <c r="Y822" s="2420"/>
      <c r="Z822" s="2420"/>
      <c r="AA822" s="2420"/>
      <c r="AB822" s="2420"/>
      <c r="AC822" s="2420"/>
      <c r="AD822" s="2420"/>
      <c r="AE822" s="2421"/>
      <c r="AF822" s="2425"/>
      <c r="AG822" s="2426"/>
      <c r="AH822" s="2426"/>
      <c r="AI822" s="2426"/>
      <c r="AJ822" s="2426"/>
      <c r="AK822" s="2427"/>
      <c r="AL822" s="724"/>
      <c r="AM822" s="449"/>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3" customFormat="1">
      <c r="A823" s="562"/>
      <c r="B823" s="562"/>
      <c r="C823" s="562"/>
      <c r="D823" s="562"/>
      <c r="E823" s="562"/>
      <c r="F823" s="562"/>
      <c r="G823" s="562"/>
      <c r="H823" s="562"/>
      <c r="I823" s="562"/>
      <c r="J823" s="562"/>
      <c r="K823" s="562"/>
      <c r="L823" s="562"/>
      <c r="M823" s="562"/>
      <c r="N823" s="562"/>
      <c r="O823" s="562"/>
      <c r="P823" s="562"/>
      <c r="Q823" s="562"/>
      <c r="R823" s="562"/>
      <c r="S823" s="562"/>
      <c r="T823" s="562"/>
      <c r="U823" s="562"/>
      <c r="V823" s="562"/>
      <c r="W823" s="562"/>
      <c r="X823" s="562"/>
      <c r="Y823" s="562"/>
      <c r="Z823" s="562"/>
      <c r="AA823" s="562"/>
      <c r="AB823" s="562"/>
      <c r="AC823" s="562"/>
      <c r="AD823" s="562"/>
      <c r="AE823" s="562"/>
      <c r="AF823" s="562"/>
      <c r="AG823" s="562"/>
      <c r="AH823" s="562"/>
      <c r="AI823" s="562"/>
      <c r="AJ823" s="562"/>
      <c r="AK823" s="562"/>
      <c r="AL823" s="562"/>
      <c r="AM823" s="725"/>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94" workbookViewId="0">
      <selection activeCell="G141" sqref="G141"/>
    </sheetView>
  </sheetViews>
  <sheetFormatPr defaultColWidth="9.1796875" defaultRowHeight="14"/>
  <cols>
    <col min="1" max="1" width="2.453125" style="933" customWidth="1"/>
    <col min="2" max="9" width="14.6328125" style="933" customWidth="1"/>
    <col min="10" max="10" width="2.36328125" style="933" customWidth="1"/>
    <col min="11" max="11" width="11.81640625" style="934" customWidth="1"/>
    <col min="12" max="12" width="10.6328125" style="933" customWidth="1"/>
    <col min="13" max="13" width="10.453125" style="933" customWidth="1"/>
    <col min="14" max="14" width="10.81640625" style="933" customWidth="1"/>
    <col min="15" max="18" width="9.1796875" style="933"/>
    <col min="19" max="19" width="9.453125" style="933" bestFit="1" customWidth="1"/>
    <col min="20" max="16384" width="9.1796875" style="933"/>
  </cols>
  <sheetData>
    <row r="1" spans="1:13" ht="30" customHeight="1">
      <c r="A1" s="2597" t="s">
        <v>2572</v>
      </c>
      <c r="B1" s="2597"/>
      <c r="C1" s="2597"/>
      <c r="D1" s="2597"/>
      <c r="E1" s="2597"/>
      <c r="F1" s="2597"/>
      <c r="G1" s="2597"/>
      <c r="H1" s="2597"/>
      <c r="I1" s="2597"/>
      <c r="J1" s="2597"/>
    </row>
    <row r="2" spans="1:13" ht="15" customHeight="1" thickBot="1">
      <c r="A2" s="935"/>
      <c r="B2" s="935"/>
      <c r="I2" s="936"/>
      <c r="K2" s="937"/>
    </row>
    <row r="3" spans="1:13" s="940" customFormat="1" ht="20.25" customHeight="1">
      <c r="A3" s="988"/>
      <c r="B3" s="989"/>
      <c r="C3" s="990"/>
      <c r="D3" s="995"/>
      <c r="E3" s="990"/>
      <c r="F3" s="991" t="s">
        <v>2573</v>
      </c>
      <c r="G3" s="990"/>
      <c r="H3" s="992">
        <f>E18</f>
        <v>33583084</v>
      </c>
      <c r="I3" s="993"/>
    </row>
    <row r="4" spans="1:13" s="940" customFormat="1" ht="20.25" customHeight="1">
      <c r="B4" s="982"/>
      <c r="D4" s="996"/>
      <c r="F4" s="980" t="s">
        <v>2574</v>
      </c>
      <c r="G4" s="979" t="s">
        <v>2575</v>
      </c>
      <c r="H4" s="981">
        <f>I18</f>
        <v>14318969.160130719</v>
      </c>
      <c r="I4" s="983"/>
      <c r="K4" s="944"/>
    </row>
    <row r="5" spans="1:13" s="940" customFormat="1" ht="20.25" customHeight="1" thickBot="1">
      <c r="B5" s="984"/>
      <c r="C5" s="985"/>
      <c r="D5" s="997"/>
      <c r="E5" s="986"/>
      <c r="F5" s="997" t="s">
        <v>2576</v>
      </c>
      <c r="G5" s="998"/>
      <c r="H5" s="994">
        <f>IFERROR(H3/H4,0)</f>
        <v>2.3453562630407552</v>
      </c>
      <c r="I5" s="987"/>
      <c r="K5" s="944"/>
    </row>
    <row r="6" spans="1:13" s="940" customFormat="1" ht="15" customHeight="1">
      <c r="B6" s="941"/>
      <c r="C6" s="942"/>
      <c r="F6" s="943"/>
      <c r="K6" s="944"/>
    </row>
    <row r="7" spans="1:13" s="940" customFormat="1" ht="15" customHeight="1">
      <c r="E7" s="945"/>
      <c r="F7" s="943"/>
      <c r="K7" s="946"/>
    </row>
    <row r="8" spans="1:13" s="940" customFormat="1" ht="15" customHeight="1">
      <c r="A8" s="947"/>
      <c r="B8" s="2600" t="s">
        <v>2577</v>
      </c>
      <c r="C8" s="2601"/>
      <c r="D8" s="2601"/>
      <c r="E8" s="2602"/>
      <c r="G8" s="2577" t="s">
        <v>2578</v>
      </c>
      <c r="H8" s="2578"/>
      <c r="I8" s="2579"/>
      <c r="K8" s="946"/>
    </row>
    <row r="9" spans="1:13" ht="15" customHeight="1">
      <c r="A9" s="935"/>
      <c r="B9" s="2598" t="s">
        <v>2579</v>
      </c>
      <c r="C9" s="2598"/>
      <c r="D9" s="2598"/>
      <c r="E9" s="948">
        <f>G33</f>
        <v>4900000</v>
      </c>
      <c r="G9" s="2590" t="s">
        <v>2580</v>
      </c>
      <c r="H9" s="2590"/>
      <c r="I9" s="949">
        <f>SUMIF(Application!M554:M565,"Loan, Tax-Exempt",Application!AM554:AM565)</f>
        <v>14756537</v>
      </c>
      <c r="K9" s="950"/>
      <c r="M9" s="951"/>
    </row>
    <row r="10" spans="1:13" ht="15" customHeight="1" thickBot="1">
      <c r="A10" s="935"/>
      <c r="B10" s="2598" t="s">
        <v>2581</v>
      </c>
      <c r="C10" s="2598"/>
      <c r="D10" s="2598"/>
      <c r="E10" s="949">
        <f>G47</f>
        <v>23523084.000000004</v>
      </c>
      <c r="G10" s="2604" t="s">
        <v>2582</v>
      </c>
      <c r="H10" s="2604"/>
      <c r="I10" s="1028">
        <f>'Basis &amp; Credits'!AB78</f>
        <v>0</v>
      </c>
      <c r="M10" s="951"/>
    </row>
    <row r="11" spans="1:13" ht="15" customHeight="1">
      <c r="A11" s="935"/>
      <c r="B11" s="2591" t="s">
        <v>2583</v>
      </c>
      <c r="C11" s="2592"/>
      <c r="D11" s="2593"/>
      <c r="E11" s="949">
        <f>SUM(E12,E13)</f>
        <v>750000</v>
      </c>
      <c r="G11" s="2589" t="s">
        <v>2584</v>
      </c>
      <c r="H11" s="2589"/>
      <c r="I11" s="1027">
        <f>I9+I10</f>
        <v>14756537</v>
      </c>
      <c r="M11" s="951"/>
    </row>
    <row r="12" spans="1:13" ht="15" customHeight="1">
      <c r="A12" s="952"/>
      <c r="B12" s="2599" t="s">
        <v>2585</v>
      </c>
      <c r="C12" s="2599"/>
      <c r="D12" s="2599"/>
      <c r="E12" s="1053">
        <f>G56</f>
        <v>110000</v>
      </c>
      <c r="M12" s="951"/>
    </row>
    <row r="13" spans="1:13" ht="15" customHeight="1">
      <c r="A13" s="938"/>
      <c r="B13" s="2599" t="s">
        <v>2586</v>
      </c>
      <c r="C13" s="2599"/>
      <c r="D13" s="2599"/>
      <c r="E13" s="1053">
        <f>G65</f>
        <v>640000</v>
      </c>
      <c r="G13" s="2577" t="s">
        <v>2587</v>
      </c>
      <c r="H13" s="2578"/>
      <c r="I13" s="2579"/>
      <c r="M13" s="951"/>
    </row>
    <row r="14" spans="1:13" ht="15" customHeight="1">
      <c r="A14" s="938"/>
      <c r="B14" s="2591" t="s">
        <v>2588</v>
      </c>
      <c r="C14" s="2592"/>
      <c r="D14" s="2593"/>
      <c r="E14" s="1055">
        <f>MAX(E15,E16)+E17</f>
        <v>4410000</v>
      </c>
      <c r="G14" s="2590" t="s">
        <v>1777</v>
      </c>
      <c r="H14" s="2590"/>
      <c r="I14" s="953">
        <f>15%*(AND(G120="Yes",G122&lt;&gt;""))</f>
        <v>0</v>
      </c>
      <c r="M14" s="951"/>
    </row>
    <row r="15" spans="1:13" ht="15" customHeight="1">
      <c r="A15" s="938"/>
      <c r="B15" s="2574" t="s">
        <v>2589</v>
      </c>
      <c r="C15" s="2575"/>
      <c r="D15" s="2576"/>
      <c r="E15" s="1053">
        <f>G80</f>
        <v>0</v>
      </c>
      <c r="G15" s="1025" t="s">
        <v>1896</v>
      </c>
      <c r="H15" s="1025"/>
      <c r="I15" s="953">
        <f>IF(Application!AJ1032&gt;0,10%,IF(Application!AJ1036&gt;0,5%,0))</f>
        <v>0</v>
      </c>
      <c r="M15" s="951"/>
    </row>
    <row r="16" spans="1:13" ht="15" customHeight="1">
      <c r="A16" s="938"/>
      <c r="B16" s="2574" t="s">
        <v>2590</v>
      </c>
      <c r="C16" s="2575"/>
      <c r="D16" s="2576"/>
      <c r="E16" s="1053">
        <f>G90</f>
        <v>0</v>
      </c>
      <c r="G16" s="2590" t="s">
        <v>2591</v>
      </c>
      <c r="H16" s="2590"/>
      <c r="I16" s="953">
        <f>G132</f>
        <v>2.2875816993464051E-2</v>
      </c>
    </row>
    <row r="17" spans="1:21" ht="15" customHeight="1" thickBot="1">
      <c r="A17" s="938"/>
      <c r="B17" s="2574" t="s">
        <v>2592</v>
      </c>
      <c r="C17" s="2575"/>
      <c r="D17" s="2576"/>
      <c r="E17" s="1053">
        <f>G115</f>
        <v>4410000</v>
      </c>
      <c r="G17" s="2590" t="s">
        <v>2593</v>
      </c>
      <c r="H17" s="2590"/>
      <c r="I17" s="953">
        <f>IF(AND(G139="Yes",OR(G136,G137)),IF(G143&gt;15%,15%,G143),0)</f>
        <v>6.7766576941459909E-3</v>
      </c>
    </row>
    <row r="18" spans="1:21" ht="15" customHeight="1">
      <c r="A18" s="935"/>
      <c r="B18" s="2603" t="s">
        <v>2594</v>
      </c>
      <c r="C18" s="2603"/>
      <c r="D18" s="2603"/>
      <c r="E18" s="999">
        <f>SUM(E9:E11,E14)</f>
        <v>33583084</v>
      </c>
      <c r="G18" s="1026" t="s">
        <v>2595</v>
      </c>
      <c r="H18" s="1026"/>
      <c r="I18" s="1000">
        <f>I11-((I11*I14)+(I11*I15)+(I11*I16)+(I11*I17))</f>
        <v>14318969.160130719</v>
      </c>
      <c r="M18" s="954">
        <f>SUM(Cdlac[Quantity])</f>
        <v>78</v>
      </c>
      <c r="O18" s="973" t="s">
        <v>928</v>
      </c>
      <c r="P18" s="933">
        <f>MATCH(Application!T189,Application!CB160:CB217,0)</f>
        <v>21</v>
      </c>
      <c r="T18" s="954">
        <f>SUM(Cdlac[Population])</f>
        <v>11</v>
      </c>
    </row>
    <row r="19" spans="1:21" ht="15" customHeight="1">
      <c r="A19" s="935"/>
      <c r="B19" s="935"/>
      <c r="C19" s="935"/>
      <c r="D19" s="935"/>
      <c r="E19" s="935"/>
      <c r="L19" s="933" t="s">
        <v>2596</v>
      </c>
      <c r="M19" s="933" t="s">
        <v>2597</v>
      </c>
      <c r="N19" s="933" t="s">
        <v>2598</v>
      </c>
      <c r="O19" s="933" t="s">
        <v>2599</v>
      </c>
      <c r="P19" s="933" t="s">
        <v>2600</v>
      </c>
      <c r="Q19" s="933" t="s">
        <v>2601</v>
      </c>
      <c r="R19" s="933" t="s">
        <v>2602</v>
      </c>
      <c r="S19" s="933" t="s">
        <v>2603</v>
      </c>
      <c r="T19" s="933" t="s">
        <v>2604</v>
      </c>
      <c r="U19" s="933" t="s">
        <v>992</v>
      </c>
    </row>
    <row r="20" spans="1:21" ht="15" customHeight="1">
      <c r="B20" s="955" t="str">
        <f>B9</f>
        <v>A. Unit Production Benefit</v>
      </c>
      <c r="C20" s="956"/>
      <c r="D20" s="956"/>
      <c r="E20" s="956"/>
      <c r="F20" s="956"/>
      <c r="G20" s="956"/>
      <c r="H20" s="956"/>
      <c r="I20" s="957"/>
      <c r="L20" s="933">
        <f>IFERROR(MIN(4,MATCH(Application!B718,UnitSizes,0)-1),"")</f>
        <v>1</v>
      </c>
      <c r="M20" s="954">
        <f>Application!G718</f>
        <v>2</v>
      </c>
      <c r="N20" s="960">
        <f>Application!AC718</f>
        <v>0.2</v>
      </c>
      <c r="O20" s="960">
        <f>IF(Cdlac[[#This Row],[Quantity]]&gt;0,IF(Cdlac[[#This Row],[Federal]],30%,IF(AND(OR(NOT($G$38),$G$38=""),$G$43),40%,Cdlac[[#This Row],[iAMI]])),"")</f>
        <v>0.3</v>
      </c>
      <c r="P20" s="954" cm="1">
        <f t="array" ref="P20">IF(Cdlac[[#This Row],[Quantity]]&gt;0,INDEX(TcacRents,$P$18,Cdlac[[#This Row],[Bedrooms]]+1)*Cdlac[[#This Row],[AMI]],"")</f>
        <v>1087.8</v>
      </c>
      <c r="Q20" s="1052"/>
      <c r="R20" s="954" cm="1">
        <f t="array" ref="R20">IF(Cdlac[[#This Row],[Quantity]]&gt;0,INDEX(HudFmrs,$P$18,Cdlac[[#This Row],[Bedrooms]]+1),"")</f>
        <v>2780</v>
      </c>
      <c r="S20" s="954">
        <f>IF(Cdlac[[#This Row],[Quantity]]&gt;0,MAX(0,Cdlac[[#This Row],[Fair Market Rent]]-IF(AND($G$37,$G$38,$G$38&lt;&gt;"",NOT(Cdlac[[#This Row],[Federal]]),Cdlac[[#This Row],[Preservation Rent]]&lt;&gt;""),Cdlac[[#This Row],[Preservation Rent]],Cdlac[[#This Row],[Restricted Rent]])),"")</f>
        <v>1692.2</v>
      </c>
      <c r="T20" s="933">
        <f>IF(Cdlac[[#This Row],[Quantity]]&gt;0,AND(Application!AK718&lt;&gt;"N/A",Application!AK718&lt;&gt;"")*Cdlac[[#This Row],[Quantity]],"")</f>
        <v>2</v>
      </c>
      <c r="U20" s="933" t="b">
        <f>AND('Subsidy Contract Calculation'!F4&gt;0,OR('Subsidy Contract Calculation'!C4="Federal",'Subsidy Contract Calculation'!C4="Local - Approved by ED"),Cdlac[[#This Row],[Quantity]]&gt;0)</f>
        <v>1</v>
      </c>
    </row>
    <row r="21" spans="1:21" ht="15" customHeight="1">
      <c r="A21" s="935"/>
      <c r="B21" s="935"/>
      <c r="I21" s="958"/>
      <c r="L21" s="933">
        <f>IFERROR(MIN(4,MATCH(Application!B719,UnitSizes,0)-1),"")</f>
        <v>2</v>
      </c>
      <c r="M21" s="954">
        <f>Application!G719</f>
        <v>2</v>
      </c>
      <c r="N21" s="960">
        <f>Application!AC719</f>
        <v>0.2</v>
      </c>
      <c r="O21" s="960">
        <f>IF(Cdlac[[#This Row],[Quantity]]&gt;0,IF(Cdlac[[#This Row],[Federal]],30%,IF(AND(OR(NOT($G$38),$G$38=""),$G$43),40%,Cdlac[[#This Row],[iAMI]])),"")</f>
        <v>0.2</v>
      </c>
      <c r="P21" s="954" cm="1">
        <f t="array" ref="P21">IF(Cdlac[[#This Row],[Quantity]]&gt;0,INDEX(TcacRents,$P$18,Cdlac[[#This Row],[Bedrooms]]+1)*Cdlac[[#This Row],[AMI]],"")</f>
        <v>870.40000000000009</v>
      </c>
      <c r="Q21" s="1052"/>
      <c r="R21" s="954" cm="1">
        <f t="array" ref="R21">IF(Cdlac[[#This Row],[Quantity]]&gt;0,INDEX(HudFmrs,$P$18,Cdlac[[#This Row],[Bedrooms]]+1),"")</f>
        <v>3318</v>
      </c>
      <c r="S21" s="954">
        <f>IF(Cdlac[[#This Row],[Quantity]]&gt;0,MAX(0,Cdlac[[#This Row],[Fair Market Rent]]-IF(AND($G$37,$G$38,$G$38&lt;&gt;"",NOT(Cdlac[[#This Row],[Federal]]),Cdlac[[#This Row],[Preservation Rent]]&lt;&gt;""),Cdlac[[#This Row],[Preservation Rent]],Cdlac[[#This Row],[Restricted Rent]])),"")</f>
        <v>2447.6</v>
      </c>
      <c r="T21" s="933">
        <f>IF(Cdlac[[#This Row],[Quantity]]&gt;0,AND(Application!AK719&lt;&gt;"N/A",Application!AK719&lt;&gt;"")*Cdlac[[#This Row],[Quantity]],"")</f>
        <v>2</v>
      </c>
      <c r="U21" s="933" t="b">
        <f>AND('Subsidy Contract Calculation'!F5&gt;0,OR('Subsidy Contract Calculation'!C5="Federal",'Subsidy Contract Calculation'!C5="Local - Approved by ED"),Cdlac[[#This Row],[Quantity]]&gt;0)</f>
        <v>0</v>
      </c>
    </row>
    <row r="22" spans="1:21" ht="15" customHeight="1">
      <c r="A22" s="938"/>
      <c r="C22" s="2581" t="s">
        <v>2605</v>
      </c>
      <c r="D22" s="2581" t="s">
        <v>2606</v>
      </c>
      <c r="E22" s="2581" t="s">
        <v>2607</v>
      </c>
      <c r="F22" s="2581" t="s">
        <v>2608</v>
      </c>
      <c r="G22" s="2581" t="s">
        <v>2609</v>
      </c>
      <c r="H22" s="959"/>
      <c r="I22" s="958"/>
      <c r="L22" s="933">
        <f>IFERROR(MIN(4,MATCH(Application!B720,UnitSizes,0)-1),"")</f>
        <v>3</v>
      </c>
      <c r="M22" s="954">
        <f>Application!G720</f>
        <v>2</v>
      </c>
      <c r="N22" s="960">
        <f>Application!AC720</f>
        <v>0.2</v>
      </c>
      <c r="O22" s="960">
        <f>IF(Cdlac[[#This Row],[Quantity]]&gt;0,IF(Cdlac[[#This Row],[Federal]],30%,IF(AND(OR(NOT($G$38),$G$38=""),$G$43),40%,Cdlac[[#This Row],[iAMI]])),"")</f>
        <v>0.2</v>
      </c>
      <c r="P22" s="954" cm="1">
        <f t="array" ref="P22">IF(Cdlac[[#This Row],[Quantity]]&gt;0,INDEX(TcacRents,$P$18,Cdlac[[#This Row],[Bedrooms]]+1)*Cdlac[[#This Row],[AMI]],"")</f>
        <v>1005.6</v>
      </c>
      <c r="Q22" s="1052"/>
      <c r="R22" s="954" cm="1">
        <f t="array" ref="R22">IF(Cdlac[[#This Row],[Quantity]]&gt;0,INDEX(HudFmrs,$P$18,Cdlac[[#This Row],[Bedrooms]]+1),"")</f>
        <v>4138</v>
      </c>
      <c r="S22" s="954">
        <f>IF(Cdlac[[#This Row],[Quantity]]&gt;0,MAX(0,Cdlac[[#This Row],[Fair Market Rent]]-IF(AND($G$37,$G$38,$G$38&lt;&gt;"",NOT(Cdlac[[#This Row],[Federal]]),Cdlac[[#This Row],[Preservation Rent]]&lt;&gt;""),Cdlac[[#This Row],[Preservation Rent]],Cdlac[[#This Row],[Restricted Rent]])),"")</f>
        <v>3132.4</v>
      </c>
      <c r="T22" s="933">
        <f>IF(Cdlac[[#This Row],[Quantity]]&gt;0,AND(Application!AK720&lt;&gt;"N/A",Application!AK720&lt;&gt;"")*Cdlac[[#This Row],[Quantity]],"")</f>
        <v>2</v>
      </c>
      <c r="U22" s="933" t="b">
        <f>AND('Subsidy Contract Calculation'!F6&gt;0,OR('Subsidy Contract Calculation'!C6="Federal",'Subsidy Contract Calculation'!C6="Local - Approved by ED"),Cdlac[[#This Row],[Quantity]]&gt;0)</f>
        <v>0</v>
      </c>
    </row>
    <row r="23" spans="1:21" ht="15" customHeight="1">
      <c r="A23" s="938"/>
      <c r="C23" s="2582"/>
      <c r="D23" s="2582"/>
      <c r="E23" s="2582"/>
      <c r="F23" s="2582"/>
      <c r="G23" s="2582"/>
      <c r="H23" s="959"/>
      <c r="I23" s="958"/>
      <c r="L23" s="933">
        <f>IFERROR(MIN(4,MATCH(Application!B721,UnitSizes,0)-1),"")</f>
        <v>1</v>
      </c>
      <c r="M23" s="954">
        <f>Application!G721</f>
        <v>1</v>
      </c>
      <c r="N23" s="960">
        <f>Application!AC721</f>
        <v>0.2</v>
      </c>
      <c r="O23" s="960">
        <f>IF(Cdlac[[#This Row],[Quantity]]&gt;0,IF(Cdlac[[#This Row],[Federal]],30%,IF(AND(OR(NOT($G$38),$G$38=""),$G$43),40%,Cdlac[[#This Row],[iAMI]])),"")</f>
        <v>0.3</v>
      </c>
      <c r="P23" s="954" cm="1">
        <f t="array" ref="P23">IF(Cdlac[[#This Row],[Quantity]]&gt;0,INDEX(TcacRents,$P$18,Cdlac[[#This Row],[Bedrooms]]+1)*Cdlac[[#This Row],[AMI]],"")</f>
        <v>1087.8</v>
      </c>
      <c r="Q23" s="1052"/>
      <c r="R23" s="954" cm="1">
        <f t="array" ref="R23">IF(Cdlac[[#This Row],[Quantity]]&gt;0,INDEX(HudFmrs,$P$18,Cdlac[[#This Row],[Bedrooms]]+1),"")</f>
        <v>2780</v>
      </c>
      <c r="S23" s="954">
        <f>IF(Cdlac[[#This Row],[Quantity]]&gt;0,MAX(0,Cdlac[[#This Row],[Fair Market Rent]]-IF(AND($G$37,$G$38,$G$38&lt;&gt;"",NOT(Cdlac[[#This Row],[Federal]]),Cdlac[[#This Row],[Preservation Rent]]&lt;&gt;""),Cdlac[[#This Row],[Preservation Rent]],Cdlac[[#This Row],[Restricted Rent]])),"")</f>
        <v>1692.2</v>
      </c>
      <c r="T23" s="933">
        <f>IF(Cdlac[[#This Row],[Quantity]]&gt;0,AND(Application!AK721&lt;&gt;"N/A",Application!AK721&lt;&gt;"")*Cdlac[[#This Row],[Quantity]],"")</f>
        <v>0</v>
      </c>
      <c r="U23" s="933" t="b">
        <f>AND('Subsidy Contract Calculation'!F7&gt;0,OR('Subsidy Contract Calculation'!C7="Federal",'Subsidy Contract Calculation'!C7="Local - Approved by ED"),Cdlac[[#This Row],[Quantity]]&gt;0)</f>
        <v>1</v>
      </c>
    </row>
    <row r="24" spans="1:21" ht="15" customHeight="1">
      <c r="C24" s="961">
        <v>0</v>
      </c>
      <c r="D24" s="962">
        <v>0.9</v>
      </c>
      <c r="E24" s="961">
        <f>SUMIFS(Cdlac[Quantity],Cdlac[Bedrooms],C24)</f>
        <v>0</v>
      </c>
      <c r="F24" s="961">
        <f>E24</f>
        <v>0</v>
      </c>
      <c r="G24" s="961">
        <f>D24*F24</f>
        <v>0</v>
      </c>
      <c r="L24" s="933">
        <f>IFERROR(MIN(4,MATCH(Application!B722,UnitSizes,0)-1),"")</f>
        <v>2</v>
      </c>
      <c r="M24" s="954">
        <f>Application!G722</f>
        <v>2</v>
      </c>
      <c r="N24" s="960">
        <f>Application!AC722</f>
        <v>0.2</v>
      </c>
      <c r="O24" s="960">
        <f>IF(Cdlac[[#This Row],[Quantity]]&gt;0,IF(Cdlac[[#This Row],[Federal]],30%,IF(AND(OR(NOT($G$38),$G$38=""),$G$43),40%,Cdlac[[#This Row],[iAMI]])),"")</f>
        <v>0.2</v>
      </c>
      <c r="P24" s="954" cm="1">
        <f t="array" ref="P24">IF(Cdlac[[#This Row],[Quantity]]&gt;0,INDEX(TcacRents,$P$18,Cdlac[[#This Row],[Bedrooms]]+1)*Cdlac[[#This Row],[AMI]],"")</f>
        <v>870.40000000000009</v>
      </c>
      <c r="Q24" s="1052"/>
      <c r="R24" s="954" cm="1">
        <f t="array" ref="R24">IF(Cdlac[[#This Row],[Quantity]]&gt;0,INDEX(HudFmrs,$P$18,Cdlac[[#This Row],[Bedrooms]]+1),"")</f>
        <v>3318</v>
      </c>
      <c r="S24" s="954">
        <f>IF(Cdlac[[#This Row],[Quantity]]&gt;0,MAX(0,Cdlac[[#This Row],[Fair Market Rent]]-IF(AND($G$37,$G$38,$G$38&lt;&gt;"",NOT(Cdlac[[#This Row],[Federal]]),Cdlac[[#This Row],[Preservation Rent]]&lt;&gt;""),Cdlac[[#This Row],[Preservation Rent]],Cdlac[[#This Row],[Restricted Rent]])),"")</f>
        <v>2447.6</v>
      </c>
      <c r="T24" s="933">
        <f>IF(Cdlac[[#This Row],[Quantity]]&gt;0,AND(Application!AK722&lt;&gt;"N/A",Application!AK722&lt;&gt;"")*Cdlac[[#This Row],[Quantity]],"")</f>
        <v>0</v>
      </c>
      <c r="U24" s="933" t="b">
        <f>AND('Subsidy Contract Calculation'!F8&gt;0,OR('Subsidy Contract Calculation'!C8="Federal",'Subsidy Contract Calculation'!C8="Local - Approved by ED"),Cdlac[[#This Row],[Quantity]]&gt;0)</f>
        <v>0</v>
      </c>
    </row>
    <row r="25" spans="1:21" ht="15" customHeight="1">
      <c r="C25" s="961">
        <v>1</v>
      </c>
      <c r="D25" s="962">
        <v>1</v>
      </c>
      <c r="E25" s="961">
        <f>SUMIFS(Cdlac[Quantity],Cdlac[Bedrooms],C25)</f>
        <v>21</v>
      </c>
      <c r="F25" s="961">
        <f>E25</f>
        <v>21</v>
      </c>
      <c r="G25" s="961">
        <f>D25*F25</f>
        <v>21</v>
      </c>
      <c r="L25" s="933">
        <f>IFERROR(MIN(4,MATCH(Application!B723,UnitSizes,0)-1),"")</f>
        <v>2</v>
      </c>
      <c r="M25" s="954">
        <f>Application!G723</f>
        <v>1</v>
      </c>
      <c r="N25" s="960">
        <f>Application!AC723</f>
        <v>0.2</v>
      </c>
      <c r="O25" s="960">
        <f>IF(Cdlac[[#This Row],[Quantity]]&gt;0,IF(Cdlac[[#This Row],[Federal]],30%,IF(AND(OR(NOT($G$38),$G$38=""),$G$43),40%,Cdlac[[#This Row],[iAMI]])),"")</f>
        <v>0.3</v>
      </c>
      <c r="P25" s="954" cm="1">
        <f t="array" ref="P25">IF(Cdlac[[#This Row],[Quantity]]&gt;0,INDEX(TcacRents,$P$18,Cdlac[[#This Row],[Bedrooms]]+1)*Cdlac[[#This Row],[AMI]],"")</f>
        <v>1305.5999999999999</v>
      </c>
      <c r="Q25" s="1052"/>
      <c r="R25" s="954" cm="1">
        <f t="array" ref="R25">IF(Cdlac[[#This Row],[Quantity]]&gt;0,INDEX(HudFmrs,$P$18,Cdlac[[#This Row],[Bedrooms]]+1),"")</f>
        <v>3318</v>
      </c>
      <c r="S25" s="954">
        <f>IF(Cdlac[[#This Row],[Quantity]]&gt;0,MAX(0,Cdlac[[#This Row],[Fair Market Rent]]-IF(AND($G$37,$G$38,$G$38&lt;&gt;"",NOT(Cdlac[[#This Row],[Federal]]),Cdlac[[#This Row],[Preservation Rent]]&lt;&gt;""),Cdlac[[#This Row],[Preservation Rent]],Cdlac[[#This Row],[Restricted Rent]])),"")</f>
        <v>2012.4</v>
      </c>
      <c r="T25" s="933">
        <f>IF(Cdlac[[#This Row],[Quantity]]&gt;0,AND(Application!AK723&lt;&gt;"N/A",Application!AK723&lt;&gt;"")*Cdlac[[#This Row],[Quantity]],"")</f>
        <v>0</v>
      </c>
      <c r="U25" s="933" t="b">
        <f>AND('Subsidy Contract Calculation'!F9&gt;0,OR('Subsidy Contract Calculation'!C9="Federal",'Subsidy Contract Calculation'!C9="Local - Approved by ED"),Cdlac[[#This Row],[Quantity]]&gt;0)</f>
        <v>1</v>
      </c>
    </row>
    <row r="26" spans="1:21" ht="15" customHeight="1">
      <c r="A26" s="963"/>
      <c r="C26" s="964">
        <v>2</v>
      </c>
      <c r="D26" s="962">
        <v>1.25</v>
      </c>
      <c r="E26" s="961">
        <f>SUMIFS(Cdlac[Quantity],Cdlac[Bedrooms],C26)</f>
        <v>33</v>
      </c>
      <c r="F26" s="964">
        <f>SUM(E26:E28)-SUM(F27:F28)</f>
        <v>34</v>
      </c>
      <c r="G26" s="961">
        <f>D26*F26</f>
        <v>42.5</v>
      </c>
      <c r="H26" s="963"/>
      <c r="I26" s="963"/>
      <c r="L26" s="933">
        <f>IFERROR(MIN(4,MATCH(Application!B724,UnitSizes,0)-1),"")</f>
        <v>3</v>
      </c>
      <c r="M26" s="954">
        <f>Application!G724</f>
        <v>3</v>
      </c>
      <c r="N26" s="960">
        <f>Application!AC724</f>
        <v>0.2</v>
      </c>
      <c r="O26" s="960">
        <f>IF(Cdlac[[#This Row],[Quantity]]&gt;0,IF(Cdlac[[#This Row],[Federal]],30%,IF(AND(OR(NOT($G$38),$G$38=""),$G$43),40%,Cdlac[[#This Row],[iAMI]])),"")</f>
        <v>0.2</v>
      </c>
      <c r="P26" s="954" cm="1">
        <f t="array" ref="P26">IF(Cdlac[[#This Row],[Quantity]]&gt;0,INDEX(TcacRents,$P$18,Cdlac[[#This Row],[Bedrooms]]+1)*Cdlac[[#This Row],[AMI]],"")</f>
        <v>1005.6</v>
      </c>
      <c r="Q26" s="1052"/>
      <c r="R26" s="954" cm="1">
        <f t="array" ref="R26">IF(Cdlac[[#This Row],[Quantity]]&gt;0,INDEX(HudFmrs,$P$18,Cdlac[[#This Row],[Bedrooms]]+1),"")</f>
        <v>4138</v>
      </c>
      <c r="S26" s="954">
        <f>IF(Cdlac[[#This Row],[Quantity]]&gt;0,MAX(0,Cdlac[[#This Row],[Fair Market Rent]]-IF(AND($G$37,$G$38,$G$38&lt;&gt;"",NOT(Cdlac[[#This Row],[Federal]]),Cdlac[[#This Row],[Preservation Rent]]&lt;&gt;""),Cdlac[[#This Row],[Preservation Rent]],Cdlac[[#This Row],[Restricted Rent]])),"")</f>
        <v>3132.4</v>
      </c>
      <c r="T26" s="933">
        <f>IF(Cdlac[[#This Row],[Quantity]]&gt;0,AND(Application!AK724&lt;&gt;"N/A",Application!AK724&lt;&gt;"")*Cdlac[[#This Row],[Quantity]],"")</f>
        <v>0</v>
      </c>
      <c r="U26" s="933" t="b">
        <f>AND('Subsidy Contract Calculation'!F10&gt;0,OR('Subsidy Contract Calculation'!C10="Federal",'Subsidy Contract Calculation'!C10="Local - Approved by ED"),Cdlac[[#This Row],[Quantity]]&gt;0)</f>
        <v>0</v>
      </c>
    </row>
    <row r="27" spans="1:21" ht="15" customHeight="1">
      <c r="A27" s="963"/>
      <c r="C27" s="964">
        <v>3</v>
      </c>
      <c r="D27" s="962">
        <f>1.5+0.25*0</f>
        <v>1.5</v>
      </c>
      <c r="E27" s="961">
        <f>SUMIFS(Cdlac[Quantity],Cdlac[Bedrooms],C27)</f>
        <v>24</v>
      </c>
      <c r="F27" s="964">
        <f>MIN(E27,ROUNDDOWN(E29*30%,0))</f>
        <v>23</v>
      </c>
      <c r="G27" s="961">
        <f>D27*F27</f>
        <v>34.5</v>
      </c>
      <c r="H27" s="963"/>
      <c r="I27" s="963"/>
      <c r="L27" s="933">
        <f>IFERROR(MIN(4,MATCH(Application!B725,UnitSizes,0)-1),"")</f>
        <v>3</v>
      </c>
      <c r="M27" s="954">
        <f>Application!G725</f>
        <v>1</v>
      </c>
      <c r="N27" s="960">
        <f>Application!AC725</f>
        <v>0.2</v>
      </c>
      <c r="O27" s="960">
        <f>IF(Cdlac[[#This Row],[Quantity]]&gt;0,IF(Cdlac[[#This Row],[Federal]],30%,IF(AND(OR(NOT($G$38),$G$38=""),$G$43),40%,Cdlac[[#This Row],[iAMI]])),"")</f>
        <v>0.3</v>
      </c>
      <c r="P27" s="954" cm="1">
        <f t="array" ref="P27">IF(Cdlac[[#This Row],[Quantity]]&gt;0,INDEX(TcacRents,$P$18,Cdlac[[#This Row],[Bedrooms]]+1)*Cdlac[[#This Row],[AMI]],"")</f>
        <v>1508.3999999999999</v>
      </c>
      <c r="Q27" s="1052"/>
      <c r="R27" s="954" cm="1">
        <f t="array" ref="R27">IF(Cdlac[[#This Row],[Quantity]]&gt;0,INDEX(HudFmrs,$P$18,Cdlac[[#This Row],[Bedrooms]]+1),"")</f>
        <v>4138</v>
      </c>
      <c r="S27" s="954">
        <f>IF(Cdlac[[#This Row],[Quantity]]&gt;0,MAX(0,Cdlac[[#This Row],[Fair Market Rent]]-IF(AND($G$37,$G$38,$G$38&lt;&gt;"",NOT(Cdlac[[#This Row],[Federal]]),Cdlac[[#This Row],[Preservation Rent]]&lt;&gt;""),Cdlac[[#This Row],[Preservation Rent]],Cdlac[[#This Row],[Restricted Rent]])),"")</f>
        <v>2629.6000000000004</v>
      </c>
      <c r="T27" s="933">
        <f>IF(Cdlac[[#This Row],[Quantity]]&gt;0,AND(Application!AK725&lt;&gt;"N/A",Application!AK725&lt;&gt;"")*Cdlac[[#This Row],[Quantity]],"")</f>
        <v>0</v>
      </c>
      <c r="U27" s="933" t="b">
        <f>AND('Subsidy Contract Calculation'!F11&gt;0,OR('Subsidy Contract Calculation'!C11="Federal",'Subsidy Contract Calculation'!C11="Local - Approved by ED"),Cdlac[[#This Row],[Quantity]]&gt;0)</f>
        <v>1</v>
      </c>
    </row>
    <row r="28" spans="1:21" ht="15" customHeight="1" thickBot="1">
      <c r="A28" s="963"/>
      <c r="C28" s="974">
        <v>4</v>
      </c>
      <c r="D28" s="975">
        <f>1.75+0.25*0</f>
        <v>1.75</v>
      </c>
      <c r="E28" s="976">
        <f>SUMIFS(Cdlac[Quantity],Cdlac[Bedrooms],C28)</f>
        <v>0</v>
      </c>
      <c r="F28" s="974">
        <f>MIN(E28,ROUNDDOWN(E29*10%,0))</f>
        <v>0</v>
      </c>
      <c r="G28" s="976">
        <f>D28*F28</f>
        <v>0</v>
      </c>
      <c r="H28" s="963"/>
      <c r="I28" s="963"/>
      <c r="L28" s="933">
        <f>IFERROR(MIN(4,MATCH(Application!B726,UnitSizes,0)-1),"")</f>
        <v>1</v>
      </c>
      <c r="M28" s="954">
        <f>Application!G726</f>
        <v>2</v>
      </c>
      <c r="N28" s="960">
        <f>Application!AC726</f>
        <v>0.25</v>
      </c>
      <c r="O28" s="960">
        <f>IF(Cdlac[[#This Row],[Quantity]]&gt;0,IF(Cdlac[[#This Row],[Federal]],30%,IF(AND(OR(NOT($G$38),$G$38=""),$G$43),40%,Cdlac[[#This Row],[iAMI]])),"")</f>
        <v>0.25</v>
      </c>
      <c r="P28" s="954" cm="1">
        <f t="array" ref="P28">IF(Cdlac[[#This Row],[Quantity]]&gt;0,INDEX(TcacRents,$P$18,Cdlac[[#This Row],[Bedrooms]]+1)*Cdlac[[#This Row],[AMI]],"")</f>
        <v>906.5</v>
      </c>
      <c r="Q28" s="1052"/>
      <c r="R28" s="954" cm="1">
        <f t="array" ref="R28">IF(Cdlac[[#This Row],[Quantity]]&gt;0,INDEX(HudFmrs,$P$18,Cdlac[[#This Row],[Bedrooms]]+1),"")</f>
        <v>2780</v>
      </c>
      <c r="S28" s="954">
        <f>IF(Cdlac[[#This Row],[Quantity]]&gt;0,MAX(0,Cdlac[[#This Row],[Fair Market Rent]]-IF(AND($G$37,$G$38,$G$38&lt;&gt;"",NOT(Cdlac[[#This Row],[Federal]]),Cdlac[[#This Row],[Preservation Rent]]&lt;&gt;""),Cdlac[[#This Row],[Preservation Rent]],Cdlac[[#This Row],[Restricted Rent]])),"")</f>
        <v>1873.5</v>
      </c>
      <c r="T28" s="933">
        <f>IF(Cdlac[[#This Row],[Quantity]]&gt;0,AND(Application!AK726&lt;&gt;"N/A",Application!AK726&lt;&gt;"")*Cdlac[[#This Row],[Quantity]],"")</f>
        <v>2</v>
      </c>
      <c r="U28" s="933" t="b">
        <f>AND('Subsidy Contract Calculation'!F12&gt;0,OR('Subsidy Contract Calculation'!C12="Federal",'Subsidy Contract Calculation'!C12="Local - Approved by ED"),Cdlac[[#This Row],[Quantity]]&gt;0)</f>
        <v>0</v>
      </c>
    </row>
    <row r="29" spans="1:21" ht="15" customHeight="1">
      <c r="A29" s="963"/>
      <c r="C29" s="2583" t="s">
        <v>1913</v>
      </c>
      <c r="D29" s="2584"/>
      <c r="E29" s="977">
        <f>SUM(E24:E28)</f>
        <v>78</v>
      </c>
      <c r="F29" s="977">
        <f>SUM(F24:F28)</f>
        <v>78</v>
      </c>
      <c r="G29" s="978">
        <f>SUMPRODUCT(D24:D28,F24:F28)</f>
        <v>98</v>
      </c>
      <c r="H29" s="963"/>
      <c r="I29" s="963"/>
      <c r="L29" s="933">
        <f>IFERROR(MIN(4,MATCH(Application!B727,UnitSizes,0)-1),"")</f>
        <v>1</v>
      </c>
      <c r="M29" s="954">
        <f>Application!G727</f>
        <v>2</v>
      </c>
      <c r="N29" s="960">
        <f>Application!AC727</f>
        <v>0.25</v>
      </c>
      <c r="O29" s="960">
        <f>IF(Cdlac[[#This Row],[Quantity]]&gt;0,IF(Cdlac[[#This Row],[Federal]],30%,IF(AND(OR(NOT($G$38),$G$38=""),$G$43),40%,Cdlac[[#This Row],[iAMI]])),"")</f>
        <v>0.3</v>
      </c>
      <c r="P29" s="954" cm="1">
        <f t="array" ref="P29">IF(Cdlac[[#This Row],[Quantity]]&gt;0,INDEX(TcacRents,$P$18,Cdlac[[#This Row],[Bedrooms]]+1)*Cdlac[[#This Row],[AMI]],"")</f>
        <v>1087.8</v>
      </c>
      <c r="Q29" s="1052"/>
      <c r="R29" s="954" cm="1">
        <f t="array" ref="R29">IF(Cdlac[[#This Row],[Quantity]]&gt;0,INDEX(HudFmrs,$P$18,Cdlac[[#This Row],[Bedrooms]]+1),"")</f>
        <v>2780</v>
      </c>
      <c r="S29" s="954">
        <f>IF(Cdlac[[#This Row],[Quantity]]&gt;0,MAX(0,Cdlac[[#This Row],[Fair Market Rent]]-IF(AND($G$37,$G$38,$G$38&lt;&gt;"",NOT(Cdlac[[#This Row],[Federal]]),Cdlac[[#This Row],[Preservation Rent]]&lt;&gt;""),Cdlac[[#This Row],[Preservation Rent]],Cdlac[[#This Row],[Restricted Rent]])),"")</f>
        <v>1692.2</v>
      </c>
      <c r="T29" s="933">
        <f>IF(Cdlac[[#This Row],[Quantity]]&gt;0,AND(Application!AK727&lt;&gt;"N/A",Application!AK727&lt;&gt;"")*Cdlac[[#This Row],[Quantity]],"")</f>
        <v>2</v>
      </c>
      <c r="U29" s="933" t="b">
        <f>AND('Subsidy Contract Calculation'!F13&gt;0,OR('Subsidy Contract Calculation'!C13="Federal",'Subsidy Contract Calculation'!C13="Local - Approved by ED"),Cdlac[[#This Row],[Quantity]]&gt;0)</f>
        <v>1</v>
      </c>
    </row>
    <row r="30" spans="1:21" ht="15" customHeight="1">
      <c r="A30" s="963"/>
      <c r="C30" s="963"/>
      <c r="D30" s="963"/>
      <c r="E30" s="963"/>
      <c r="F30" s="963"/>
      <c r="G30" s="963"/>
      <c r="H30" s="963"/>
      <c r="I30" s="963"/>
      <c r="L30" s="933">
        <f>IFERROR(MIN(4,MATCH(Application!B728,UnitSizes,0)-1),"")</f>
        <v>2</v>
      </c>
      <c r="M30" s="954">
        <f>Application!G728</f>
        <v>1</v>
      </c>
      <c r="N30" s="960">
        <f>Application!AC728</f>
        <v>0.25</v>
      </c>
      <c r="O30" s="960">
        <f>IF(Cdlac[[#This Row],[Quantity]]&gt;0,IF(Cdlac[[#This Row],[Federal]],30%,IF(AND(OR(NOT($G$38),$G$38=""),$G$43),40%,Cdlac[[#This Row],[iAMI]])),"")</f>
        <v>0.25</v>
      </c>
      <c r="P30" s="954" cm="1">
        <f t="array" ref="P30">IF(Cdlac[[#This Row],[Quantity]]&gt;0,INDEX(TcacRents,$P$18,Cdlac[[#This Row],[Bedrooms]]+1)*Cdlac[[#This Row],[AMI]],"")</f>
        <v>1088</v>
      </c>
      <c r="Q30" s="1052"/>
      <c r="R30" s="954" cm="1">
        <f t="array" ref="R30">IF(Cdlac[[#This Row],[Quantity]]&gt;0,INDEX(HudFmrs,$P$18,Cdlac[[#This Row],[Bedrooms]]+1),"")</f>
        <v>3318</v>
      </c>
      <c r="S30" s="954">
        <f>IF(Cdlac[[#This Row],[Quantity]]&gt;0,MAX(0,Cdlac[[#This Row],[Fair Market Rent]]-IF(AND($G$37,$G$38,$G$38&lt;&gt;"",NOT(Cdlac[[#This Row],[Federal]]),Cdlac[[#This Row],[Preservation Rent]]&lt;&gt;""),Cdlac[[#This Row],[Preservation Rent]],Cdlac[[#This Row],[Restricted Rent]])),"")</f>
        <v>2230</v>
      </c>
      <c r="T30" s="933">
        <f>IF(Cdlac[[#This Row],[Quantity]]&gt;0,AND(Application!AK728&lt;&gt;"N/A",Application!AK728&lt;&gt;"")*Cdlac[[#This Row],[Quantity]],"")</f>
        <v>1</v>
      </c>
      <c r="U30" s="933" t="b">
        <f>AND('Subsidy Contract Calculation'!F14&gt;0,OR('Subsidy Contract Calculation'!C14="Federal",'Subsidy Contract Calculation'!C14="Local - Approved by ED"),Cdlac[[#This Row],[Quantity]]&gt;0)</f>
        <v>0</v>
      </c>
    </row>
    <row r="31" spans="1:21" ht="15" customHeight="1">
      <c r="A31" s="963"/>
      <c r="E31" s="1005" t="s">
        <v>2609</v>
      </c>
      <c r="G31" s="1002">
        <f>G29</f>
        <v>98</v>
      </c>
      <c r="H31" s="963"/>
      <c r="I31" s="963"/>
      <c r="L31" s="933">
        <f>IFERROR(MIN(4,MATCH(Application!B729,UnitSizes,0)-1),"")</f>
        <v>2</v>
      </c>
      <c r="M31" s="954">
        <f>Application!G729</f>
        <v>5</v>
      </c>
      <c r="N31" s="960">
        <f>Application!AC729</f>
        <v>0.25</v>
      </c>
      <c r="O31" s="960">
        <f>IF(Cdlac[[#This Row],[Quantity]]&gt;0,IF(Cdlac[[#This Row],[Federal]],30%,IF(AND(OR(NOT($G$38),$G$38=""),$G$43),40%,Cdlac[[#This Row],[iAMI]])),"")</f>
        <v>0.25</v>
      </c>
      <c r="P31" s="954" cm="1">
        <f t="array" ref="P31">IF(Cdlac[[#This Row],[Quantity]]&gt;0,INDEX(TcacRents,$P$18,Cdlac[[#This Row],[Bedrooms]]+1)*Cdlac[[#This Row],[AMI]],"")</f>
        <v>1088</v>
      </c>
      <c r="Q31" s="1052"/>
      <c r="R31" s="954" cm="1">
        <f t="array" ref="R31">IF(Cdlac[[#This Row],[Quantity]]&gt;0,INDEX(HudFmrs,$P$18,Cdlac[[#This Row],[Bedrooms]]+1),"")</f>
        <v>3318</v>
      </c>
      <c r="S31" s="954">
        <f>IF(Cdlac[[#This Row],[Quantity]]&gt;0,MAX(0,Cdlac[[#This Row],[Fair Market Rent]]-IF(AND($G$37,$G$38,$G$38&lt;&gt;"",NOT(Cdlac[[#This Row],[Federal]]),Cdlac[[#This Row],[Preservation Rent]]&lt;&gt;""),Cdlac[[#This Row],[Preservation Rent]],Cdlac[[#This Row],[Restricted Rent]])),"")</f>
        <v>2230</v>
      </c>
      <c r="T31" s="933">
        <f>IF(Cdlac[[#This Row],[Quantity]]&gt;0,AND(Application!AK729&lt;&gt;"N/A",Application!AK729&lt;&gt;"")*Cdlac[[#This Row],[Quantity]],"")</f>
        <v>0</v>
      </c>
      <c r="U31" s="933" t="b">
        <f>AND('Subsidy Contract Calculation'!F15&gt;0,OR('Subsidy Contract Calculation'!C15="Federal",'Subsidy Contract Calculation'!C15="Local - Approved by ED"),Cdlac[[#This Row],[Quantity]]&gt;0)</f>
        <v>0</v>
      </c>
    </row>
    <row r="32" spans="1:21" ht="15" customHeight="1">
      <c r="A32" s="963"/>
      <c r="E32" s="1005" t="s">
        <v>2610</v>
      </c>
      <c r="F32" s="1001" t="s">
        <v>2611</v>
      </c>
      <c r="G32" s="1003">
        <v>50000</v>
      </c>
      <c r="H32" s="963"/>
      <c r="I32" s="963"/>
      <c r="L32" s="933">
        <f>IFERROR(MIN(4,MATCH(Application!B730,UnitSizes,0)-1),"")</f>
        <v>2</v>
      </c>
      <c r="M32" s="954">
        <f>Application!G730</f>
        <v>3</v>
      </c>
      <c r="N32" s="960">
        <f>Application!AC730</f>
        <v>0.25</v>
      </c>
      <c r="O32" s="960">
        <f>IF(Cdlac[[#This Row],[Quantity]]&gt;0,IF(Cdlac[[#This Row],[Federal]],30%,IF(AND(OR(NOT($G$38),$G$38=""),$G$43),40%,Cdlac[[#This Row],[iAMI]])),"")</f>
        <v>0.3</v>
      </c>
      <c r="P32" s="954" cm="1">
        <f t="array" ref="P32">IF(Cdlac[[#This Row],[Quantity]]&gt;0,INDEX(TcacRents,$P$18,Cdlac[[#This Row],[Bedrooms]]+1)*Cdlac[[#This Row],[AMI]],"")</f>
        <v>1305.5999999999999</v>
      </c>
      <c r="Q32" s="1052"/>
      <c r="R32" s="954" cm="1">
        <f t="array" ref="R32">IF(Cdlac[[#This Row],[Quantity]]&gt;0,INDEX(HudFmrs,$P$18,Cdlac[[#This Row],[Bedrooms]]+1),"")</f>
        <v>3318</v>
      </c>
      <c r="S32" s="954">
        <f>IF(Cdlac[[#This Row],[Quantity]]&gt;0,MAX(0,Cdlac[[#This Row],[Fair Market Rent]]-IF(AND($G$37,$G$38,$G$38&lt;&gt;"",NOT(Cdlac[[#This Row],[Federal]]),Cdlac[[#This Row],[Preservation Rent]]&lt;&gt;""),Cdlac[[#This Row],[Preservation Rent]],Cdlac[[#This Row],[Restricted Rent]])),"")</f>
        <v>2012.4</v>
      </c>
      <c r="T32" s="933">
        <f>IF(Cdlac[[#This Row],[Quantity]]&gt;0,AND(Application!AK730&lt;&gt;"N/A",Application!AK730&lt;&gt;"")*Cdlac[[#This Row],[Quantity]],"")</f>
        <v>0</v>
      </c>
      <c r="U32" s="933" t="b">
        <f>AND('Subsidy Contract Calculation'!F16&gt;0,OR('Subsidy Contract Calculation'!C16="Federal",'Subsidy Contract Calculation'!C16="Local - Approved by ED"),Cdlac[[#This Row],[Quantity]]&gt;0)</f>
        <v>1</v>
      </c>
    </row>
    <row r="33" spans="1:21" ht="15" customHeight="1">
      <c r="A33" s="963"/>
      <c r="E33" s="1006" t="s">
        <v>2612</v>
      </c>
      <c r="F33" s="935"/>
      <c r="G33" s="1007">
        <f>G32*G31</f>
        <v>4900000</v>
      </c>
      <c r="H33" s="963"/>
      <c r="I33" s="963"/>
      <c r="L33" s="933">
        <f>IFERROR(MIN(4,MATCH(Application!B731,UnitSizes,0)-1),"")</f>
        <v>3</v>
      </c>
      <c r="M33" s="954">
        <f>Application!G731</f>
        <v>3</v>
      </c>
      <c r="N33" s="960">
        <f>Application!AC731</f>
        <v>0.25</v>
      </c>
      <c r="O33" s="960">
        <f>IF(Cdlac[[#This Row],[Quantity]]&gt;0,IF(Cdlac[[#This Row],[Federal]],30%,IF(AND(OR(NOT($G$38),$G$38=""),$G$43),40%,Cdlac[[#This Row],[iAMI]])),"")</f>
        <v>0.25</v>
      </c>
      <c r="P33" s="954" cm="1">
        <f t="array" ref="P33">IF(Cdlac[[#This Row],[Quantity]]&gt;0,INDEX(TcacRents,$P$18,Cdlac[[#This Row],[Bedrooms]]+1)*Cdlac[[#This Row],[AMI]],"")</f>
        <v>1257</v>
      </c>
      <c r="Q33" s="1052"/>
      <c r="R33" s="954" cm="1">
        <f t="array" ref="R33">IF(Cdlac[[#This Row],[Quantity]]&gt;0,INDEX(HudFmrs,$P$18,Cdlac[[#This Row],[Bedrooms]]+1),"")</f>
        <v>4138</v>
      </c>
      <c r="S33" s="954">
        <f>IF(Cdlac[[#This Row],[Quantity]]&gt;0,MAX(0,Cdlac[[#This Row],[Fair Market Rent]]-IF(AND($G$37,$G$38,$G$38&lt;&gt;"",NOT(Cdlac[[#This Row],[Federal]]),Cdlac[[#This Row],[Preservation Rent]]&lt;&gt;""),Cdlac[[#This Row],[Preservation Rent]],Cdlac[[#This Row],[Restricted Rent]])),"")</f>
        <v>2881</v>
      </c>
      <c r="T33" s="933">
        <f>IF(Cdlac[[#This Row],[Quantity]]&gt;0,AND(Application!AK731&lt;&gt;"N/A",Application!AK731&lt;&gt;"")*Cdlac[[#This Row],[Quantity]],"")</f>
        <v>0</v>
      </c>
      <c r="U33" s="933" t="b">
        <f>AND('Subsidy Contract Calculation'!F17&gt;0,OR('Subsidy Contract Calculation'!C17="Federal",'Subsidy Contract Calculation'!C17="Local - Approved by ED"),Cdlac[[#This Row],[Quantity]]&gt;0)</f>
        <v>0</v>
      </c>
    </row>
    <row r="34" spans="1:21" ht="15" customHeight="1">
      <c r="A34" s="963"/>
      <c r="B34" s="963"/>
      <c r="C34" s="963"/>
      <c r="D34" s="963"/>
      <c r="E34" s="963"/>
      <c r="F34" s="963"/>
      <c r="G34" s="963"/>
      <c r="H34" s="963"/>
      <c r="I34" s="963"/>
      <c r="L34" s="933">
        <f>IFERROR(MIN(4,MATCH(Application!B732,UnitSizes,0)-1),"")</f>
        <v>3</v>
      </c>
      <c r="M34" s="954">
        <f>Application!G732</f>
        <v>1</v>
      </c>
      <c r="N34" s="960">
        <f>Application!AC732</f>
        <v>0.25</v>
      </c>
      <c r="O34" s="960">
        <f>IF(Cdlac[[#This Row],[Quantity]]&gt;0,IF(Cdlac[[#This Row],[Federal]],30%,IF(AND(OR(NOT($G$38),$G$38=""),$G$43),40%,Cdlac[[#This Row],[iAMI]])),"")</f>
        <v>0.3</v>
      </c>
      <c r="P34" s="954" cm="1">
        <f t="array" ref="P34">IF(Cdlac[[#This Row],[Quantity]]&gt;0,INDEX(TcacRents,$P$18,Cdlac[[#This Row],[Bedrooms]]+1)*Cdlac[[#This Row],[AMI]],"")</f>
        <v>1508.3999999999999</v>
      </c>
      <c r="Q34" s="1052"/>
      <c r="R34" s="954" cm="1">
        <f t="array" ref="R34">IF(Cdlac[[#This Row],[Quantity]]&gt;0,INDEX(HudFmrs,$P$18,Cdlac[[#This Row],[Bedrooms]]+1),"")</f>
        <v>4138</v>
      </c>
      <c r="S34" s="954">
        <f>IF(Cdlac[[#This Row],[Quantity]]&gt;0,MAX(0,Cdlac[[#This Row],[Fair Market Rent]]-IF(AND($G$37,$G$38,$G$38&lt;&gt;"",NOT(Cdlac[[#This Row],[Federal]]),Cdlac[[#This Row],[Preservation Rent]]&lt;&gt;""),Cdlac[[#This Row],[Preservation Rent]],Cdlac[[#This Row],[Restricted Rent]])),"")</f>
        <v>2629.6000000000004</v>
      </c>
      <c r="T34" s="933">
        <f>IF(Cdlac[[#This Row],[Quantity]]&gt;0,AND(Application!AK732&lt;&gt;"N/A",Application!AK732&lt;&gt;"")*Cdlac[[#This Row],[Quantity]],"")</f>
        <v>0</v>
      </c>
      <c r="U34" s="933" t="b">
        <f>AND('Subsidy Contract Calculation'!F18&gt;0,OR('Subsidy Contract Calculation'!C18="Federal",'Subsidy Contract Calculation'!C18="Local - Approved by ED"),Cdlac[[#This Row],[Quantity]]&gt;0)</f>
        <v>1</v>
      </c>
    </row>
    <row r="35" spans="1:21" ht="15" customHeight="1">
      <c r="B35" s="955" t="str">
        <f>B10</f>
        <v>B. Rent Savings Benefit</v>
      </c>
      <c r="C35" s="956"/>
      <c r="D35" s="956"/>
      <c r="E35" s="956"/>
      <c r="F35" s="956"/>
      <c r="G35" s="956"/>
      <c r="H35" s="956"/>
      <c r="I35" s="957"/>
      <c r="L35" s="933">
        <f>IFERROR(MIN(4,MATCH(Application!B733,UnitSizes,0)-1),"")</f>
        <v>3</v>
      </c>
      <c r="M35" s="954">
        <f>Application!G733</f>
        <v>1</v>
      </c>
      <c r="N35" s="960">
        <f>Application!AC733</f>
        <v>0.25</v>
      </c>
      <c r="O35" s="960">
        <f>IF(Cdlac[[#This Row],[Quantity]]&gt;0,IF(Cdlac[[#This Row],[Federal]],30%,IF(AND(OR(NOT($G$38),$G$38=""),$G$43),40%,Cdlac[[#This Row],[iAMI]])),"")</f>
        <v>0.3</v>
      </c>
      <c r="P35" s="954" cm="1">
        <f t="array" ref="P35">IF(Cdlac[[#This Row],[Quantity]]&gt;0,INDEX(TcacRents,$P$18,Cdlac[[#This Row],[Bedrooms]]+1)*Cdlac[[#This Row],[AMI]],"")</f>
        <v>1508.3999999999999</v>
      </c>
      <c r="Q35" s="1052"/>
      <c r="R35" s="954" cm="1">
        <f t="array" ref="R35">IF(Cdlac[[#This Row],[Quantity]]&gt;0,INDEX(HudFmrs,$P$18,Cdlac[[#This Row],[Bedrooms]]+1),"")</f>
        <v>4138</v>
      </c>
      <c r="S35" s="954">
        <f>IF(Cdlac[[#This Row],[Quantity]]&gt;0,MAX(0,Cdlac[[#This Row],[Fair Market Rent]]-IF(AND($G$37,$G$38,$G$38&lt;&gt;"",NOT(Cdlac[[#This Row],[Federal]]),Cdlac[[#This Row],[Preservation Rent]]&lt;&gt;""),Cdlac[[#This Row],[Preservation Rent]],Cdlac[[#This Row],[Restricted Rent]])),"")</f>
        <v>2629.6000000000004</v>
      </c>
      <c r="T35" s="933">
        <f>IF(Cdlac[[#This Row],[Quantity]]&gt;0,AND(Application!AK733&lt;&gt;"N/A",Application!AK733&lt;&gt;"")*Cdlac[[#This Row],[Quantity]],"")</f>
        <v>0</v>
      </c>
      <c r="U35" s="933" t="b">
        <f>AND('Subsidy Contract Calculation'!F19&gt;0,OR('Subsidy Contract Calculation'!C19="Federal",'Subsidy Contract Calculation'!C19="Local - Approved by ED"),Cdlac[[#This Row],[Quantity]]&gt;0)</f>
        <v>1</v>
      </c>
    </row>
    <row r="36" spans="1:21" ht="15" customHeight="1">
      <c r="L36" s="933">
        <f>IFERROR(MIN(4,MATCH(Application!B734,UnitSizes,0)-1),"")</f>
        <v>1</v>
      </c>
      <c r="M36" s="954">
        <f>Application!G734</f>
        <v>7</v>
      </c>
      <c r="N36" s="960">
        <f>Application!AC734</f>
        <v>0.5</v>
      </c>
      <c r="O36" s="960">
        <f>IF(Cdlac[[#This Row],[Quantity]]&gt;0,IF(Cdlac[[#This Row],[Federal]],30%,IF(AND(OR(NOT($G$38),$G$38=""),$G$43),40%,Cdlac[[#This Row],[iAMI]])),"")</f>
        <v>0.5</v>
      </c>
      <c r="P36" s="954" cm="1">
        <f t="array" ref="P36">IF(Cdlac[[#This Row],[Quantity]]&gt;0,INDEX(TcacRents,$P$18,Cdlac[[#This Row],[Bedrooms]]+1)*Cdlac[[#This Row],[AMI]],"")</f>
        <v>1813</v>
      </c>
      <c r="Q36" s="1052"/>
      <c r="R36" s="954" cm="1">
        <f t="array" ref="R36">IF(Cdlac[[#This Row],[Quantity]]&gt;0,INDEX(HudFmrs,$P$18,Cdlac[[#This Row],[Bedrooms]]+1),"")</f>
        <v>2780</v>
      </c>
      <c r="S36" s="954">
        <f>IF(Cdlac[[#This Row],[Quantity]]&gt;0,MAX(0,Cdlac[[#This Row],[Fair Market Rent]]-IF(AND($G$37,$G$38,$G$38&lt;&gt;"",NOT(Cdlac[[#This Row],[Federal]]),Cdlac[[#This Row],[Preservation Rent]]&lt;&gt;""),Cdlac[[#This Row],[Preservation Rent]],Cdlac[[#This Row],[Restricted Rent]])),"")</f>
        <v>967</v>
      </c>
      <c r="T36" s="933">
        <f>IF(Cdlac[[#This Row],[Quantity]]&gt;0,AND(Application!AK734&lt;&gt;"N/A",Application!AK734&lt;&gt;"")*Cdlac[[#This Row],[Quantity]],"")</f>
        <v>0</v>
      </c>
      <c r="U36" s="933" t="b">
        <f>AND('Subsidy Contract Calculation'!F20&gt;0,OR('Subsidy Contract Calculation'!C20="Federal",'Subsidy Contract Calculation'!C20="Local - Approved by ED"),Cdlac[[#This Row],[Quantity]]&gt;0)</f>
        <v>0</v>
      </c>
    </row>
    <row r="37" spans="1:21" ht="15" customHeight="1">
      <c r="E37" s="973" t="s">
        <v>2613</v>
      </c>
      <c r="G37" s="933" t="b">
        <f>OR('Points System'!B13="Yes",'Points System'!B16="Yes",'Points System'!B22="Yes",'Points System'!B25="Yes",'Points System'!B28="Yes",'Points System'!B33="Yes",'Points System'!B36="Yes",'Points System'!B40="Yes",'Points System'!B45="Yes")</f>
        <v>0</v>
      </c>
      <c r="L37" s="933">
        <f>IFERROR(MIN(4,MATCH(Application!B735,UnitSizes,0)-1),"")</f>
        <v>1</v>
      </c>
      <c r="M37" s="954">
        <f>Application!G735</f>
        <v>1</v>
      </c>
      <c r="N37" s="960">
        <f>Application!AC735</f>
        <v>0.5</v>
      </c>
      <c r="O37" s="960">
        <f>IF(Cdlac[[#This Row],[Quantity]]&gt;0,IF(Cdlac[[#This Row],[Federal]],30%,IF(AND(OR(NOT($G$38),$G$38=""),$G$43),40%,Cdlac[[#This Row],[iAMI]])),"")</f>
        <v>0.3</v>
      </c>
      <c r="P37" s="954" cm="1">
        <f t="array" ref="P37">IF(Cdlac[[#This Row],[Quantity]]&gt;0,INDEX(TcacRents,$P$18,Cdlac[[#This Row],[Bedrooms]]+1)*Cdlac[[#This Row],[AMI]],"")</f>
        <v>1087.8</v>
      </c>
      <c r="Q37" s="1052"/>
      <c r="R37" s="954" cm="1">
        <f t="array" ref="R37">IF(Cdlac[[#This Row],[Quantity]]&gt;0,INDEX(HudFmrs,$P$18,Cdlac[[#This Row],[Bedrooms]]+1),"")</f>
        <v>2780</v>
      </c>
      <c r="S37" s="954">
        <f>IF(Cdlac[[#This Row],[Quantity]]&gt;0,MAX(0,Cdlac[[#This Row],[Fair Market Rent]]-IF(AND($G$37,$G$38,$G$38&lt;&gt;"",NOT(Cdlac[[#This Row],[Federal]]),Cdlac[[#This Row],[Preservation Rent]]&lt;&gt;""),Cdlac[[#This Row],[Preservation Rent]],Cdlac[[#This Row],[Restricted Rent]])),"")</f>
        <v>1692.2</v>
      </c>
      <c r="T37" s="933">
        <f>IF(Cdlac[[#This Row],[Quantity]]&gt;0,AND(Application!AK735&lt;&gt;"N/A",Application!AK735&lt;&gt;"")*Cdlac[[#This Row],[Quantity]],"")</f>
        <v>0</v>
      </c>
      <c r="U37" s="933" t="b">
        <f>AND('Subsidy Contract Calculation'!F21&gt;0,OR('Subsidy Contract Calculation'!C21="Federal",'Subsidy Contract Calculation'!C21="Local - Approved by ED"),Cdlac[[#This Row],[Quantity]]&gt;0)</f>
        <v>1</v>
      </c>
    </row>
    <row r="38" spans="1:21" ht="15" customHeight="1">
      <c r="E38" s="973" t="s">
        <v>2614</v>
      </c>
      <c r="G38" s="1051"/>
      <c r="L38" s="933">
        <f>IFERROR(MIN(4,MATCH(Application!B736,UnitSizes,0)-1),"")</f>
        <v>2</v>
      </c>
      <c r="M38" s="954">
        <f>Application!G736</f>
        <v>7</v>
      </c>
      <c r="N38" s="960">
        <f>Application!AC736</f>
        <v>0.5</v>
      </c>
      <c r="O38" s="960">
        <f>IF(Cdlac[[#This Row],[Quantity]]&gt;0,IF(Cdlac[[#This Row],[Federal]],30%,IF(AND(OR(NOT($G$38),$G$38=""),$G$43),40%,Cdlac[[#This Row],[iAMI]])),"")</f>
        <v>0.5</v>
      </c>
      <c r="P38" s="954" cm="1">
        <f t="array" ref="P38">IF(Cdlac[[#This Row],[Quantity]]&gt;0,INDEX(TcacRents,$P$18,Cdlac[[#This Row],[Bedrooms]]+1)*Cdlac[[#This Row],[AMI]],"")</f>
        <v>2176</v>
      </c>
      <c r="Q38" s="1052"/>
      <c r="R38" s="954" cm="1">
        <f t="array" ref="R38">IF(Cdlac[[#This Row],[Quantity]]&gt;0,INDEX(HudFmrs,$P$18,Cdlac[[#This Row],[Bedrooms]]+1),"")</f>
        <v>3318</v>
      </c>
      <c r="S38" s="954">
        <f>IF(Cdlac[[#This Row],[Quantity]]&gt;0,MAX(0,Cdlac[[#This Row],[Fair Market Rent]]-IF(AND($G$37,$G$38,$G$38&lt;&gt;"",NOT(Cdlac[[#This Row],[Federal]]),Cdlac[[#This Row],[Preservation Rent]]&lt;&gt;""),Cdlac[[#This Row],[Preservation Rent]],Cdlac[[#This Row],[Restricted Rent]])),"")</f>
        <v>1142</v>
      </c>
      <c r="T38" s="933">
        <f>IF(Cdlac[[#This Row],[Quantity]]&gt;0,AND(Application!AK736&lt;&gt;"N/A",Application!AK736&lt;&gt;"")*Cdlac[[#This Row],[Quantity]],"")</f>
        <v>0</v>
      </c>
      <c r="U38" s="933" t="b">
        <f>AND('Subsidy Contract Calculation'!F22&gt;0,OR('Subsidy Contract Calculation'!C22="Federal",'Subsidy Contract Calculation'!C22="Local - Approved by ED"),Cdlac[[#This Row],[Quantity]]&gt;0)</f>
        <v>0</v>
      </c>
    </row>
    <row r="39" spans="1:21" ht="15" customHeight="1">
      <c r="C39" s="2586" t="str">
        <f>IF(AND(G37,G38,G38&lt;&gt;""),"Enter the average rent charged for each unit type over the last three years, as documented with rent rolls or property audits, in cells Q20:Q44","")</f>
        <v/>
      </c>
      <c r="D39" s="2586"/>
      <c r="E39" s="2586"/>
      <c r="F39" s="2586"/>
      <c r="G39" s="2586"/>
      <c r="H39" s="2586"/>
      <c r="L39" s="933">
        <f>IFERROR(MIN(4,MATCH(Application!B737,UnitSizes,0)-1),"")</f>
        <v>2</v>
      </c>
      <c r="M39" s="954">
        <f>Application!G737</f>
        <v>3</v>
      </c>
      <c r="N39" s="960">
        <f>Application!AC737</f>
        <v>0.5</v>
      </c>
      <c r="O39" s="960">
        <f>IF(Cdlac[[#This Row],[Quantity]]&gt;0,IF(Cdlac[[#This Row],[Federal]],30%,IF(AND(OR(NOT($G$38),$G$38=""),$G$43),40%,Cdlac[[#This Row],[iAMI]])),"")</f>
        <v>0.3</v>
      </c>
      <c r="P39" s="954" cm="1">
        <f t="array" ref="P39">IF(Cdlac[[#This Row],[Quantity]]&gt;0,INDEX(TcacRents,$P$18,Cdlac[[#This Row],[Bedrooms]]+1)*Cdlac[[#This Row],[AMI]],"")</f>
        <v>1305.5999999999999</v>
      </c>
      <c r="Q39" s="1052"/>
      <c r="R39" s="954" cm="1">
        <f t="array" ref="R39">IF(Cdlac[[#This Row],[Quantity]]&gt;0,INDEX(HudFmrs,$P$18,Cdlac[[#This Row],[Bedrooms]]+1),"")</f>
        <v>3318</v>
      </c>
      <c r="S39" s="954">
        <f>IF(Cdlac[[#This Row],[Quantity]]&gt;0,MAX(0,Cdlac[[#This Row],[Fair Market Rent]]-IF(AND($G$37,$G$38,$G$38&lt;&gt;"",NOT(Cdlac[[#This Row],[Federal]]),Cdlac[[#This Row],[Preservation Rent]]&lt;&gt;""),Cdlac[[#This Row],[Preservation Rent]],Cdlac[[#This Row],[Restricted Rent]])),"")</f>
        <v>2012.4</v>
      </c>
      <c r="T39" s="933">
        <f>IF(Cdlac[[#This Row],[Quantity]]&gt;0,AND(Application!AK737&lt;&gt;"N/A",Application!AK737&lt;&gt;"")*Cdlac[[#This Row],[Quantity]],"")</f>
        <v>0</v>
      </c>
      <c r="U39" s="933" t="b">
        <f>AND('Subsidy Contract Calculation'!F23&gt;0,OR('Subsidy Contract Calculation'!C23="Federal",'Subsidy Contract Calculation'!C23="Local - Approved by ED"),Cdlac[[#This Row],[Quantity]]&gt;0)</f>
        <v>1</v>
      </c>
    </row>
    <row r="40" spans="1:21" ht="15" customHeight="1">
      <c r="C40" s="2586"/>
      <c r="D40" s="2586"/>
      <c r="E40" s="2586"/>
      <c r="F40" s="2586"/>
      <c r="G40" s="2586"/>
      <c r="H40" s="2586"/>
      <c r="L40" s="933">
        <f>IFERROR(MIN(4,MATCH(Application!B738,UnitSizes,0)-1),"")</f>
        <v>3</v>
      </c>
      <c r="M40" s="954">
        <f>Application!G738</f>
        <v>9</v>
      </c>
      <c r="N40" s="960">
        <f>Application!AC738</f>
        <v>0.5</v>
      </c>
      <c r="O40" s="960">
        <f>IF(Cdlac[[#This Row],[Quantity]]&gt;0,IF(Cdlac[[#This Row],[Federal]],30%,IF(AND(OR(NOT($G$38),$G$38=""),$G$43),40%,Cdlac[[#This Row],[iAMI]])),"")</f>
        <v>0.5</v>
      </c>
      <c r="P40" s="954" cm="1">
        <f t="array" ref="P40">IF(Cdlac[[#This Row],[Quantity]]&gt;0,INDEX(TcacRents,$P$18,Cdlac[[#This Row],[Bedrooms]]+1)*Cdlac[[#This Row],[AMI]],"")</f>
        <v>2514</v>
      </c>
      <c r="Q40" s="1052"/>
      <c r="R40" s="954" cm="1">
        <f t="array" ref="R40">IF(Cdlac[[#This Row],[Quantity]]&gt;0,INDEX(HudFmrs,$P$18,Cdlac[[#This Row],[Bedrooms]]+1),"")</f>
        <v>4138</v>
      </c>
      <c r="S40" s="954">
        <f>IF(Cdlac[[#This Row],[Quantity]]&gt;0,MAX(0,Cdlac[[#This Row],[Fair Market Rent]]-IF(AND($G$37,$G$38,$G$38&lt;&gt;"",NOT(Cdlac[[#This Row],[Federal]]),Cdlac[[#This Row],[Preservation Rent]]&lt;&gt;""),Cdlac[[#This Row],[Preservation Rent]],Cdlac[[#This Row],[Restricted Rent]])),"")</f>
        <v>1624</v>
      </c>
      <c r="T40" s="933">
        <f>IF(Cdlac[[#This Row],[Quantity]]&gt;0,AND(Application!AK738&lt;&gt;"N/A",Application!AK738&lt;&gt;"")*Cdlac[[#This Row],[Quantity]],"")</f>
        <v>0</v>
      </c>
      <c r="U40" s="933" t="b">
        <f>AND('Subsidy Contract Calculation'!F24&gt;0,OR('Subsidy Contract Calculation'!C24="Federal",'Subsidy Contract Calculation'!C24="Local - Approved by ED"),Cdlac[[#This Row],[Quantity]]&gt;0)</f>
        <v>0</v>
      </c>
    </row>
    <row r="41" spans="1:21" ht="15" customHeight="1">
      <c r="C41" s="2586"/>
      <c r="D41" s="2586"/>
      <c r="E41" s="2586"/>
      <c r="F41" s="2586"/>
      <c r="G41" s="2586"/>
      <c r="H41" s="2586"/>
      <c r="L41" s="933">
        <f>IFERROR(MIN(4,MATCH(Application!B739,UnitSizes,0)-1),"")</f>
        <v>2</v>
      </c>
      <c r="M41" s="954">
        <f>Application!G739</f>
        <v>1</v>
      </c>
      <c r="N41" s="960">
        <f>Application!AC739</f>
        <v>0.5</v>
      </c>
      <c r="O41" s="960">
        <f>IF(Cdlac[[#This Row],[Quantity]]&gt;0,IF(Cdlac[[#This Row],[Federal]],30%,IF(AND(OR(NOT($G$38),$G$38=""),$G$43),40%,Cdlac[[#This Row],[iAMI]])),"")</f>
        <v>0.3</v>
      </c>
      <c r="P41" s="954" cm="1">
        <f t="array" ref="P41">IF(Cdlac[[#This Row],[Quantity]]&gt;0,INDEX(TcacRents,$P$18,Cdlac[[#This Row],[Bedrooms]]+1)*Cdlac[[#This Row],[AMI]],"")</f>
        <v>1305.5999999999999</v>
      </c>
      <c r="Q41" s="1052"/>
      <c r="R41" s="954" cm="1">
        <f t="array" ref="R41">IF(Cdlac[[#This Row],[Quantity]]&gt;0,INDEX(HudFmrs,$P$18,Cdlac[[#This Row],[Bedrooms]]+1),"")</f>
        <v>3318</v>
      </c>
      <c r="S41" s="954">
        <f>IF(Cdlac[[#This Row],[Quantity]]&gt;0,MAX(0,Cdlac[[#This Row],[Fair Market Rent]]-IF(AND($G$37,$G$38,$G$38&lt;&gt;"",NOT(Cdlac[[#This Row],[Federal]]),Cdlac[[#This Row],[Preservation Rent]]&lt;&gt;""),Cdlac[[#This Row],[Preservation Rent]],Cdlac[[#This Row],[Restricted Rent]])),"")</f>
        <v>2012.4</v>
      </c>
      <c r="T41" s="933">
        <f>IF(Cdlac[[#This Row],[Quantity]]&gt;0,AND(Application!AK739&lt;&gt;"N/A",Application!AK739&lt;&gt;"")*Cdlac[[#This Row],[Quantity]],"")</f>
        <v>0</v>
      </c>
      <c r="U41" s="933" t="b">
        <f>AND('Subsidy Contract Calculation'!F25&gt;0,OR('Subsidy Contract Calculation'!C25="Federal",'Subsidy Contract Calculation'!C25="Local - Approved by ED"),Cdlac[[#This Row],[Quantity]]&gt;0)</f>
        <v>1</v>
      </c>
    </row>
    <row r="42" spans="1:21" ht="15" customHeight="1">
      <c r="E42" s="973" t="s">
        <v>2615</v>
      </c>
      <c r="G42" s="1008" cm="1">
        <f t="array" ref="G42">SUMPRODUCT(Cdlac[Quantity],Cdlac[iAMI],IF(Cdlac[Federal],0,1))/SUMIFS(Cdlac[Quantity],Cdlac[Federal],FALSE)</f>
        <v>0.43474576271186438</v>
      </c>
      <c r="L42" s="933">
        <f>IFERROR(MIN(4,MATCH(Application!B740,UnitSizes,0)-1),"")</f>
        <v>1</v>
      </c>
      <c r="M42" s="954">
        <f>Application!G740</f>
        <v>4</v>
      </c>
      <c r="N42" s="960">
        <f>Application!AC740</f>
        <v>0.6</v>
      </c>
      <c r="O42" s="960">
        <f>IF(Cdlac[[#This Row],[Quantity]]&gt;0,IF(Cdlac[[#This Row],[Federal]],30%,IF(AND(OR(NOT($G$38),$G$38=""),$G$43),40%,Cdlac[[#This Row],[iAMI]])),"")</f>
        <v>0.6</v>
      </c>
      <c r="P42" s="954" cm="1">
        <f t="array" ref="P42">IF(Cdlac[[#This Row],[Quantity]]&gt;0,INDEX(TcacRents,$P$18,Cdlac[[#This Row],[Bedrooms]]+1)*Cdlac[[#This Row],[AMI]],"")</f>
        <v>2175.6</v>
      </c>
      <c r="Q42" s="1052"/>
      <c r="R42" s="954" cm="1">
        <f t="array" ref="R42">IF(Cdlac[[#This Row],[Quantity]]&gt;0,INDEX(HudFmrs,$P$18,Cdlac[[#This Row],[Bedrooms]]+1),"")</f>
        <v>2780</v>
      </c>
      <c r="S42" s="954">
        <f>IF(Cdlac[[#This Row],[Quantity]]&gt;0,MAX(0,Cdlac[[#This Row],[Fair Market Rent]]-IF(AND($G$37,$G$38,$G$38&lt;&gt;"",NOT(Cdlac[[#This Row],[Federal]]),Cdlac[[#This Row],[Preservation Rent]]&lt;&gt;""),Cdlac[[#This Row],[Preservation Rent]],Cdlac[[#This Row],[Restricted Rent]])),"")</f>
        <v>604.40000000000009</v>
      </c>
      <c r="T42" s="933">
        <f>IF(Cdlac[[#This Row],[Quantity]]&gt;0,AND(Application!AK740&lt;&gt;"N/A",Application!AK740&lt;&gt;"")*Cdlac[[#This Row],[Quantity]],"")</f>
        <v>0</v>
      </c>
      <c r="U42" s="933" t="b">
        <f>AND('Subsidy Contract Calculation'!F26&gt;0,OR('Subsidy Contract Calculation'!C26="Federal",'Subsidy Contract Calculation'!C26="Local - Approved by ED"),Cdlac[[#This Row],[Quantity]]&gt;0)</f>
        <v>0</v>
      </c>
    </row>
    <row r="43" spans="1:21" ht="15" customHeight="1">
      <c r="E43" s="973" t="s">
        <v>2616</v>
      </c>
      <c r="G43" s="970" t="b">
        <f>G42&lt;40%</f>
        <v>0</v>
      </c>
      <c r="L43" s="933">
        <f>IFERROR(MIN(4,MATCH(Application!B741,UnitSizes,0)-1),"")</f>
        <v>1</v>
      </c>
      <c r="M43" s="954">
        <f>Application!G741</f>
        <v>1</v>
      </c>
      <c r="N43" s="960">
        <f>Application!AC741</f>
        <v>0.6</v>
      </c>
      <c r="O43" s="960">
        <f>IF(Cdlac[[#This Row],[Quantity]]&gt;0,IF(Cdlac[[#This Row],[Federal]],30%,IF(AND(OR(NOT($G$38),$G$38=""),$G$43),40%,Cdlac[[#This Row],[iAMI]])),"")</f>
        <v>0.3</v>
      </c>
      <c r="P43" s="954" cm="1">
        <f t="array" ref="P43">IF(Cdlac[[#This Row],[Quantity]]&gt;0,INDEX(TcacRents,$P$18,Cdlac[[#This Row],[Bedrooms]]+1)*Cdlac[[#This Row],[AMI]],"")</f>
        <v>1087.8</v>
      </c>
      <c r="Q43" s="1052"/>
      <c r="R43" s="954" cm="1">
        <f t="array" ref="R43">IF(Cdlac[[#This Row],[Quantity]]&gt;0,INDEX(HudFmrs,$P$18,Cdlac[[#This Row],[Bedrooms]]+1),"")</f>
        <v>2780</v>
      </c>
      <c r="S43" s="954">
        <f>IF(Cdlac[[#This Row],[Quantity]]&gt;0,MAX(0,Cdlac[[#This Row],[Fair Market Rent]]-IF(AND($G$37,$G$38,$G$38&lt;&gt;"",NOT(Cdlac[[#This Row],[Federal]]),Cdlac[[#This Row],[Preservation Rent]]&lt;&gt;""),Cdlac[[#This Row],[Preservation Rent]],Cdlac[[#This Row],[Restricted Rent]])),"")</f>
        <v>1692.2</v>
      </c>
      <c r="T43" s="933">
        <f>IF(Cdlac[[#This Row],[Quantity]]&gt;0,AND(Application!AK741&lt;&gt;"N/A",Application!AK741&lt;&gt;"")*Cdlac[[#This Row],[Quantity]],"")</f>
        <v>0</v>
      </c>
      <c r="U43" s="933" t="b">
        <f>AND('Subsidy Contract Calculation'!F27&gt;0,OR('Subsidy Contract Calculation'!C27="Federal",'Subsidy Contract Calculation'!C27="Local - Approved by ED"),Cdlac[[#This Row],[Quantity]]&gt;0)</f>
        <v>1</v>
      </c>
    </row>
    <row r="44" spans="1:21" ht="15" customHeight="1">
      <c r="L44" s="933">
        <f>IFERROR(MIN(4,MATCH(Application!B742,UnitSizes,0)-1),"")</f>
        <v>2</v>
      </c>
      <c r="M44" s="954">
        <f>Application!G742</f>
        <v>8</v>
      </c>
      <c r="N44" s="960">
        <f>Application!AC742</f>
        <v>0.6</v>
      </c>
      <c r="O44" s="960">
        <f>IF(Cdlac[[#This Row],[Quantity]]&gt;0,IF(Cdlac[[#This Row],[Federal]],30%,IF(AND(OR(NOT($G$38),$G$38=""),$G$43),40%,Cdlac[[#This Row],[iAMI]])),"")</f>
        <v>0.6</v>
      </c>
      <c r="P44" s="954" cm="1">
        <f t="array" ref="P44">IF(Cdlac[[#This Row],[Quantity]]&gt;0,INDEX(TcacRents,$P$18,Cdlac[[#This Row],[Bedrooms]]+1)*Cdlac[[#This Row],[AMI]],"")</f>
        <v>2611.1999999999998</v>
      </c>
      <c r="Q44" s="1052"/>
      <c r="R44" s="954" cm="1">
        <f t="array" ref="R44">IF(Cdlac[[#This Row],[Quantity]]&gt;0,INDEX(HudFmrs,$P$18,Cdlac[[#This Row],[Bedrooms]]+1),"")</f>
        <v>3318</v>
      </c>
      <c r="S44" s="954">
        <f>IF(Cdlac[[#This Row],[Quantity]]&gt;0,MAX(0,Cdlac[[#This Row],[Fair Market Rent]]-IF(AND($G$37,$G$38,$G$38&lt;&gt;"",NOT(Cdlac[[#This Row],[Federal]]),Cdlac[[#This Row],[Preservation Rent]]&lt;&gt;""),Cdlac[[#This Row],[Preservation Rent]],Cdlac[[#This Row],[Restricted Rent]])),"")</f>
        <v>706.80000000000018</v>
      </c>
      <c r="T44" s="933">
        <f>IF(Cdlac[[#This Row],[Quantity]]&gt;0,AND(Application!AK742&lt;&gt;"N/A",Application!AK742&lt;&gt;"")*Cdlac[[#This Row],[Quantity]],"")</f>
        <v>0</v>
      </c>
      <c r="U44" s="933" t="b">
        <f>AND('Subsidy Contract Calculation'!F28&gt;0,OR('Subsidy Contract Calculation'!C28="Federal",'Subsidy Contract Calculation'!C28="Local - Approved by ED"),Cdlac[[#This Row],[Quantity]]&gt;0)</f>
        <v>0</v>
      </c>
    </row>
    <row r="45" spans="1:21" ht="15" customHeight="1">
      <c r="E45" s="973" t="s">
        <v>2617</v>
      </c>
      <c r="G45" s="967">
        <f>IFERROR(SUMPRODUCT(Cdlac[Quantity],Cdlac[Delta]),0)</f>
        <v>130683.80000000002</v>
      </c>
      <c r="L45" s="933">
        <f>IFERROR(MIN(4,MATCH(Application!B743,UnitSizes,0)-1),"")</f>
        <v>3</v>
      </c>
      <c r="M45" s="954">
        <f>Application!G743</f>
        <v>4</v>
      </c>
      <c r="N45" s="960">
        <f>Application!AC743</f>
        <v>0.6</v>
      </c>
      <c r="O45" s="960">
        <f>IF(Cdlac[[#This Row],[Quantity]]&gt;0,IF(Cdlac[[#This Row],[Federal]],30%,IF(AND(OR(NOT($G$38),$G$38=""),$G$43),40%,Cdlac[[#This Row],[iAMI]])),"")</f>
        <v>0.6</v>
      </c>
      <c r="P45" s="954" cm="1">
        <f t="array" ref="P45">IF(Cdlac[[#This Row],[Quantity]]&gt;0,INDEX(TcacRents,$P$18,Cdlac[[#This Row],[Bedrooms]]+1)*Cdlac[[#This Row],[AMI]],"")</f>
        <v>3016.7999999999997</v>
      </c>
      <c r="Q45" s="1052"/>
      <c r="R45" s="954" cm="1">
        <f t="array" ref="R45">IF(Cdlac[[#This Row],[Quantity]]&gt;0,INDEX(HudFmrs,$P$18,Cdlac[[#This Row],[Bedrooms]]+1),"")</f>
        <v>4138</v>
      </c>
      <c r="S45" s="954">
        <f>IF(Cdlac[[#This Row],[Quantity]]&gt;0,MAX(0,Cdlac[[#This Row],[Fair Market Rent]]-IF(AND($G$37,$G$38,$G$38&lt;&gt;"",NOT(Cdlac[[#This Row],[Federal]]),Cdlac[[#This Row],[Preservation Rent]]&lt;&gt;""),Cdlac[[#This Row],[Preservation Rent]],Cdlac[[#This Row],[Restricted Rent]])),"")</f>
        <v>1121.2000000000003</v>
      </c>
      <c r="T45" s="933">
        <f>IF(Cdlac[[#This Row],[Quantity]]&gt;0,AND(Application!AK743&lt;&gt;"N/A",Application!AK743&lt;&gt;"")*Cdlac[[#This Row],[Quantity]],"")</f>
        <v>0</v>
      </c>
      <c r="U45" s="933" t="b">
        <f>AND('Subsidy Contract Calculation'!F29&gt;0,OR('Subsidy Contract Calculation'!C29="Federal",'Subsidy Contract Calculation'!C29="Local - Approved by ED"),Cdlac[[#This Row],[Quantity]]&gt;0)</f>
        <v>0</v>
      </c>
    </row>
    <row r="46" spans="1:21" ht="15" customHeight="1">
      <c r="E46" s="1005" t="s">
        <v>2618</v>
      </c>
      <c r="F46" s="1001" t="s">
        <v>2611</v>
      </c>
      <c r="G46" s="1009">
        <f>12*15</f>
        <v>180</v>
      </c>
      <c r="L46" s="933">
        <f>IFERROR(MIN(4,MATCH(Application!B744,UnitSizes,0)-1),"")</f>
        <v>1</v>
      </c>
      <c r="M46" s="954">
        <f>Application!G744</f>
        <v>1</v>
      </c>
      <c r="N46" s="960">
        <f>Application!AC744</f>
        <v>0.6</v>
      </c>
      <c r="O46" s="960">
        <f>IF(Cdlac[[#This Row],[Quantity]]&gt;0,IF(Cdlac[[#This Row],[Federal]],30%,IF(AND(OR(NOT($G$38),$G$38=""),$G$43),40%,Cdlac[[#This Row],[iAMI]])),"")</f>
        <v>0.3</v>
      </c>
      <c r="P46" s="954" cm="1">
        <f t="array" ref="P46">IF(Cdlac[[#This Row],[Quantity]]&gt;0,INDEX(TcacRents,$P$18,Cdlac[[#This Row],[Bedrooms]]+1)*Cdlac[[#This Row],[AMI]],"")</f>
        <v>1087.8</v>
      </c>
      <c r="Q46" s="1052"/>
      <c r="R46" s="954" cm="1">
        <f t="array" ref="R46">IF(Cdlac[[#This Row],[Quantity]]&gt;0,INDEX(HudFmrs,$P$18,Cdlac[[#This Row],[Bedrooms]]+1),"")</f>
        <v>2780</v>
      </c>
      <c r="S46" s="954">
        <f>IF(Cdlac[[#This Row],[Quantity]]&gt;0,MAX(0,Cdlac[[#This Row],[Fair Market Rent]]-IF(AND($G$37,$G$38,$G$38&lt;&gt;"",NOT(Cdlac[[#This Row],[Federal]]),Cdlac[[#This Row],[Preservation Rent]]&lt;&gt;""),Cdlac[[#This Row],[Preservation Rent]],Cdlac[[#This Row],[Restricted Rent]])),"")</f>
        <v>1692.2</v>
      </c>
      <c r="T46" s="933">
        <f>IF(Cdlac[[#This Row],[Quantity]]&gt;0,AND(Application!AK744&lt;&gt;"N/A",Application!AK744&lt;&gt;"")*Cdlac[[#This Row],[Quantity]],"")</f>
        <v>0</v>
      </c>
      <c r="U46" s="933" t="b">
        <f>AND('Subsidy Contract Calculation'!F30&gt;0,OR('Subsidy Contract Calculation'!C30="Federal",'Subsidy Contract Calculation'!C30="Local - Approved by ED"),Cdlac[[#This Row],[Quantity]]&gt;0)</f>
        <v>1</v>
      </c>
    </row>
    <row r="47" spans="1:21" ht="15" customHeight="1">
      <c r="E47" s="1010" t="s">
        <v>2619</v>
      </c>
      <c r="F47" s="935"/>
      <c r="G47" s="1011">
        <f>G45*G46</f>
        <v>23523084.000000004</v>
      </c>
      <c r="L47" s="933" t="str">
        <f>IFERROR(MIN(4,MATCH(Application!B745,UnitSizes,0)-1),"")</f>
        <v/>
      </c>
      <c r="M47" s="954">
        <f>Application!G745</f>
        <v>0</v>
      </c>
      <c r="N47" s="960">
        <f>Application!AC745</f>
        <v>0</v>
      </c>
      <c r="O47" s="960" t="str">
        <f>IF(Cdlac[[#This Row],[Quantity]]&gt;0,IF(Cdlac[[#This Row],[Federal]],30%,IF(AND(OR(NOT($G$38),$G$38=""),$G$43),40%,Cdlac[[#This Row],[iAMI]])),"")</f>
        <v/>
      </c>
      <c r="P47" s="954" t="str" cm="1">
        <f t="array" ref="P47">IF(Cdlac[[#This Row],[Quantity]]&gt;0,INDEX(TcacRents,$P$18,Cdlac[[#This Row],[Bedrooms]]+1)*Cdlac[[#This Row],[AMI]],"")</f>
        <v/>
      </c>
      <c r="Q47" s="1052"/>
      <c r="R47" s="954" t="str" cm="1">
        <f t="array" ref="R47">IF(Cdlac[[#This Row],[Quantity]]&gt;0,INDEX(HudFmrs,$P$18,Cdlac[[#This Row],[Bedrooms]]+1),"")</f>
        <v/>
      </c>
      <c r="S47" s="954" t="str">
        <f>IF(Cdlac[[#This Row],[Quantity]]&gt;0,MAX(0,Cdlac[[#This Row],[Fair Market Rent]]-IF(AND($G$37,$G$38,$G$38&lt;&gt;"",NOT(Cdlac[[#This Row],[Federal]]),Cdlac[[#This Row],[Preservation Rent]]&lt;&gt;""),Cdlac[[#This Row],[Preservation Rent]],Cdlac[[#This Row],[Restricted Rent]])),"")</f>
        <v/>
      </c>
      <c r="T47" s="933" t="str">
        <f>IF(Cdlac[[#This Row],[Quantity]]&gt;0,AND(Application!AK745&lt;&gt;"N/A",Application!AK745&lt;&gt;"")*Cdlac[[#This Row],[Quantity]],"")</f>
        <v/>
      </c>
      <c r="U47" s="933" t="b">
        <f>AND('Subsidy Contract Calculation'!F31&gt;0,OR('Subsidy Contract Calculation'!C31="Federal",'Subsidy Contract Calculation'!C31="Local - Approved by ED"),Cdlac[[#This Row],[Quantity]]&gt;0)</f>
        <v>0</v>
      </c>
    </row>
    <row r="48" spans="1:21" ht="15" customHeight="1">
      <c r="L48" s="933" t="str">
        <f>IFERROR(MIN(4,MATCH(Application!B746,UnitSizes,0)-1),"")</f>
        <v/>
      </c>
      <c r="M48" s="954">
        <f>Application!G746</f>
        <v>0</v>
      </c>
      <c r="N48" s="960">
        <f>Application!AC746</f>
        <v>0</v>
      </c>
      <c r="O48" s="960" t="str">
        <f>IF(Cdlac[[#This Row],[Quantity]]&gt;0,IF(Cdlac[[#This Row],[Federal]],30%,IF(AND(OR(NOT($G$38),$G$38=""),$G$43),40%,Cdlac[[#This Row],[iAMI]])),"")</f>
        <v/>
      </c>
      <c r="P48" s="954" t="str" cm="1">
        <f t="array" ref="P48">IF(Cdlac[[#This Row],[Quantity]]&gt;0,INDEX(TcacRents,$P$18,Cdlac[[#This Row],[Bedrooms]]+1)*Cdlac[[#This Row],[AMI]],"")</f>
        <v/>
      </c>
      <c r="Q48" s="1052"/>
      <c r="R48" s="954" t="str" cm="1">
        <f t="array" ref="R48">IF(Cdlac[[#This Row],[Quantity]]&gt;0,INDEX(HudFmrs,$P$18,Cdlac[[#This Row],[Bedrooms]]+1),"")</f>
        <v/>
      </c>
      <c r="S48" s="954" t="str">
        <f>IF(Cdlac[[#This Row],[Quantity]]&gt;0,MAX(0,Cdlac[[#This Row],[Fair Market Rent]]-IF(AND($G$37,$G$38,$G$38&lt;&gt;"",NOT(Cdlac[[#This Row],[Federal]]),Cdlac[[#This Row],[Preservation Rent]]&lt;&gt;""),Cdlac[[#This Row],[Preservation Rent]],Cdlac[[#This Row],[Restricted Rent]])),"")</f>
        <v/>
      </c>
      <c r="T48" s="933" t="str">
        <f>IF(Cdlac[[#This Row],[Quantity]]&gt;0,AND(Application!AK746&lt;&gt;"N/A",Application!AK746&lt;&gt;"")*Cdlac[[#This Row],[Quantity]],"")</f>
        <v/>
      </c>
      <c r="U48" s="933" t="b">
        <f>AND('Subsidy Contract Calculation'!F32&gt;0,OR('Subsidy Contract Calculation'!C32="Federal",'Subsidy Contract Calculation'!C32="Local - Approved by ED"),Cdlac[[#This Row],[Quantity]]&gt;0)</f>
        <v>0</v>
      </c>
    </row>
    <row r="49" spans="2:21" ht="15" customHeight="1">
      <c r="B49" s="955" t="str">
        <f>B11&amp;": "&amp;B12</f>
        <v>C. Population Benefit: (1) Special Needs Population Benefit</v>
      </c>
      <c r="C49" s="956"/>
      <c r="D49" s="956"/>
      <c r="E49" s="956"/>
      <c r="F49" s="956"/>
      <c r="G49" s="956"/>
      <c r="H49" s="956"/>
      <c r="I49" s="957"/>
      <c r="L49" s="933" t="str">
        <f>IFERROR(MIN(4,MATCH(Application!B747,UnitSizes,0)-1),"")</f>
        <v/>
      </c>
      <c r="M49" s="954">
        <f>Application!G747</f>
        <v>0</v>
      </c>
      <c r="N49" s="960">
        <f>Application!AC747</f>
        <v>0</v>
      </c>
      <c r="O49" s="960" t="str">
        <f>IF(Cdlac[[#This Row],[Quantity]]&gt;0,IF(Cdlac[[#This Row],[Federal]],30%,IF(AND(OR(NOT($G$38),$G$38=""),$G$43),40%,Cdlac[[#This Row],[iAMI]])),"")</f>
        <v/>
      </c>
      <c r="P49" s="954" t="str" cm="1">
        <f t="array" ref="P49">IF(Cdlac[[#This Row],[Quantity]]&gt;0,INDEX(TcacRents,$P$18,Cdlac[[#This Row],[Bedrooms]]+1)*Cdlac[[#This Row],[AMI]],"")</f>
        <v/>
      </c>
      <c r="Q49" s="1052"/>
      <c r="R49" s="954" t="str" cm="1">
        <f t="array" ref="R49">IF(Cdlac[[#This Row],[Quantity]]&gt;0,INDEX(HudFmrs,$P$18,Cdlac[[#This Row],[Bedrooms]]+1),"")</f>
        <v/>
      </c>
      <c r="S49" s="954" t="str">
        <f>IF(Cdlac[[#This Row],[Quantity]]&gt;0,MAX(0,Cdlac[[#This Row],[Fair Market Rent]]-IF(AND($G$37,$G$38,$G$38&lt;&gt;"",NOT(Cdlac[[#This Row],[Federal]]),Cdlac[[#This Row],[Preservation Rent]]&lt;&gt;""),Cdlac[[#This Row],[Preservation Rent]],Cdlac[[#This Row],[Restricted Rent]])),"")</f>
        <v/>
      </c>
      <c r="T49" s="933" t="str">
        <f>IF(Cdlac[[#This Row],[Quantity]]&gt;0,AND(Application!AK747&lt;&gt;"N/A",Application!AK747&lt;&gt;"")*Cdlac[[#This Row],[Quantity]],"")</f>
        <v/>
      </c>
      <c r="U49" s="933" t="b">
        <f>AND('Subsidy Contract Calculation'!F33&gt;0,OR('Subsidy Contract Calculation'!C33="Federal",'Subsidy Contract Calculation'!C33="Local - Approved by ED"),Cdlac[[#This Row],[Quantity]]&gt;0)</f>
        <v>0</v>
      </c>
    </row>
    <row r="50" spans="2:21" ht="15" customHeight="1">
      <c r="L50" s="933" t="str">
        <f>IFERROR(MIN(4,MATCH(Application!B748,UnitSizes,0)-1),"")</f>
        <v/>
      </c>
      <c r="M50" s="954">
        <f>Application!G748</f>
        <v>0</v>
      </c>
      <c r="N50" s="960">
        <f>Application!AC748</f>
        <v>0</v>
      </c>
      <c r="O50" s="960" t="str">
        <f>IF(Cdlac[[#This Row],[Quantity]]&gt;0,IF(Cdlac[[#This Row],[Federal]],30%,IF(AND(OR(NOT($G$38),$G$38=""),$G$43),40%,Cdlac[[#This Row],[iAMI]])),"")</f>
        <v/>
      </c>
      <c r="P50" s="954" t="str" cm="1">
        <f t="array" ref="P50">IF(Cdlac[[#This Row],[Quantity]]&gt;0,INDEX(TcacRents,$P$18,Cdlac[[#This Row],[Bedrooms]]+1)*Cdlac[[#This Row],[AMI]],"")</f>
        <v/>
      </c>
      <c r="Q50" s="1052"/>
      <c r="R50" s="954" t="str" cm="1">
        <f t="array" ref="R50">IF(Cdlac[[#This Row],[Quantity]]&gt;0,INDEX(HudFmrs,$P$18,Cdlac[[#This Row],[Bedrooms]]+1),"")</f>
        <v/>
      </c>
      <c r="S50" s="954" t="str">
        <f>IF(Cdlac[[#This Row],[Quantity]]&gt;0,MAX(0,Cdlac[[#This Row],[Fair Market Rent]]-IF(AND($G$37,$G$38,$G$38&lt;&gt;"",NOT(Cdlac[[#This Row],[Federal]]),Cdlac[[#This Row],[Preservation Rent]]&lt;&gt;""),Cdlac[[#This Row],[Preservation Rent]],Cdlac[[#This Row],[Restricted Rent]])),"")</f>
        <v/>
      </c>
      <c r="T50" s="933" t="str">
        <f>IF(Cdlac[[#This Row],[Quantity]]&gt;0,AND(Application!AK748&lt;&gt;"N/A",Application!AK748&lt;&gt;"")*Cdlac[[#This Row],[Quantity]],"")</f>
        <v/>
      </c>
      <c r="U50" s="933" t="b">
        <f>AND('Subsidy Contract Calculation'!F34&gt;0,OR('Subsidy Contract Calculation'!C34="Federal",'Subsidy Contract Calculation'!C34="Local - Approved by ED"),Cdlac[[#This Row],[Quantity]]&gt;0)</f>
        <v>0</v>
      </c>
    </row>
    <row r="51" spans="2:21" ht="15" customHeight="1">
      <c r="E51" s="1005" t="s">
        <v>2620</v>
      </c>
      <c r="G51" s="1002">
        <f>T18</f>
        <v>11</v>
      </c>
      <c r="L51" s="933" t="str">
        <f>IFERROR(MIN(4,MATCH(Application!B749,UnitSizes,0)-1),"")</f>
        <v/>
      </c>
      <c r="M51" s="954">
        <f>Application!G749</f>
        <v>0</v>
      </c>
      <c r="N51" s="960">
        <f>Application!AC749</f>
        <v>0</v>
      </c>
      <c r="O51" s="960" t="str">
        <f>IF(Cdlac[[#This Row],[Quantity]]&gt;0,IF(Cdlac[[#This Row],[Federal]],30%,IF(AND(OR(NOT($G$38),$G$38=""),$G$43),40%,Cdlac[[#This Row],[iAMI]])),"")</f>
        <v/>
      </c>
      <c r="P51" s="954" t="str" cm="1">
        <f t="array" ref="P51">IF(Cdlac[[#This Row],[Quantity]]&gt;0,INDEX(TcacRents,$P$18,Cdlac[[#This Row],[Bedrooms]]+1)*Cdlac[[#This Row],[AMI]],"")</f>
        <v/>
      </c>
      <c r="Q51" s="1052"/>
      <c r="R51" s="954" t="str" cm="1">
        <f t="array" ref="R51">IF(Cdlac[[#This Row],[Quantity]]&gt;0,INDEX(HudFmrs,$P$18,Cdlac[[#This Row],[Bedrooms]]+1),"")</f>
        <v/>
      </c>
      <c r="S51" s="954" t="str">
        <f>IF(Cdlac[[#This Row],[Quantity]]&gt;0,MAX(0,Cdlac[[#This Row],[Fair Market Rent]]-IF(AND($G$37,$G$38,$G$38&lt;&gt;"",NOT(Cdlac[[#This Row],[Federal]]),Cdlac[[#This Row],[Preservation Rent]]&lt;&gt;""),Cdlac[[#This Row],[Preservation Rent]],Cdlac[[#This Row],[Restricted Rent]])),"")</f>
        <v/>
      </c>
      <c r="T51" s="933" t="str">
        <f>IF(Cdlac[[#This Row],[Quantity]]&gt;0,AND(Application!AK749&lt;&gt;"N/A",Application!AK749&lt;&gt;"")*Cdlac[[#This Row],[Quantity]],"")</f>
        <v/>
      </c>
      <c r="U51" s="933" t="b">
        <f>AND('Subsidy Contract Calculation'!F35&gt;0,OR('Subsidy Contract Calculation'!C35="Federal",'Subsidy Contract Calculation'!C35="Local - Approved by ED"),Cdlac[[#This Row],[Quantity]]&gt;0)</f>
        <v>0</v>
      </c>
    </row>
    <row r="52" spans="2:21" ht="15" customHeight="1">
      <c r="E52" s="1005" t="s">
        <v>2621</v>
      </c>
      <c r="G52" s="1002">
        <f>ROUNDDOWN(E29*50%,0)</f>
        <v>39</v>
      </c>
      <c r="L52" s="933" t="str">
        <f>IFERROR(MIN(4,MATCH(Application!B750,UnitSizes,0)-1),"")</f>
        <v/>
      </c>
      <c r="M52" s="954">
        <f>Application!G750</f>
        <v>0</v>
      </c>
      <c r="N52" s="960">
        <f>Application!AC750</f>
        <v>0</v>
      </c>
      <c r="O52" s="960" t="str">
        <f>IF(Cdlac[[#This Row],[Quantity]]&gt;0,IF(Cdlac[[#This Row],[Federal]],30%,IF(AND(OR(NOT($G$38),$G$38=""),$G$43),40%,Cdlac[[#This Row],[iAMI]])),"")</f>
        <v/>
      </c>
      <c r="P52" s="954" t="str" cm="1">
        <f t="array" ref="P52">IF(Cdlac[[#This Row],[Quantity]]&gt;0,INDEX(TcacRents,$P$18,Cdlac[[#This Row],[Bedrooms]]+1)*Cdlac[[#This Row],[AMI]],"")</f>
        <v/>
      </c>
      <c r="Q52" s="1052"/>
      <c r="R52" s="954" t="str" cm="1">
        <f t="array" ref="R52">IF(Cdlac[[#This Row],[Quantity]]&gt;0,INDEX(HudFmrs,$P$18,Cdlac[[#This Row],[Bedrooms]]+1),"")</f>
        <v/>
      </c>
      <c r="S52" s="954" t="str">
        <f>IF(Cdlac[[#This Row],[Quantity]]&gt;0,MAX(0,Cdlac[[#This Row],[Fair Market Rent]]-IF(AND($G$37,$G$38,$G$38&lt;&gt;"",NOT(Cdlac[[#This Row],[Federal]]),Cdlac[[#This Row],[Preservation Rent]]&lt;&gt;""),Cdlac[[#This Row],[Preservation Rent]],Cdlac[[#This Row],[Restricted Rent]])),"")</f>
        <v/>
      </c>
      <c r="T52" s="933" t="str">
        <f>IF(Cdlac[[#This Row],[Quantity]]&gt;0,AND(Application!AK750&lt;&gt;"N/A",Application!AK750&lt;&gt;"")*Cdlac[[#This Row],[Quantity]],"")</f>
        <v/>
      </c>
      <c r="U52" s="933" t="b">
        <f>AND('Subsidy Contract Calculation'!F36&gt;0,OR('Subsidy Contract Calculation'!C36="Federal",'Subsidy Contract Calculation'!C36="Local - Approved by ED"),Cdlac[[#This Row],[Quantity]]&gt;0)</f>
        <v>0</v>
      </c>
    </row>
    <row r="53" spans="2:21" ht="15" customHeight="1">
      <c r="E53" s="1005"/>
      <c r="G53" s="1013"/>
      <c r="L53" s="933" t="str">
        <f>IFERROR(MIN(4,MATCH(Application!B751,UnitSizes,0)-1),"")</f>
        <v/>
      </c>
      <c r="M53" s="954">
        <f>Application!G751</f>
        <v>0</v>
      </c>
      <c r="N53" s="960">
        <f>Application!AC751</f>
        <v>0</v>
      </c>
      <c r="O53" s="960" t="str">
        <f>IF(Cdlac[[#This Row],[Quantity]]&gt;0,IF(Cdlac[[#This Row],[Federal]],30%,IF(AND(OR(NOT($G$38),$G$38=""),$G$43),40%,Cdlac[[#This Row],[iAMI]])),"")</f>
        <v/>
      </c>
      <c r="P53" s="954" t="str" cm="1">
        <f t="array" ref="P53">IF(Cdlac[[#This Row],[Quantity]]&gt;0,INDEX(TcacRents,$P$18,Cdlac[[#This Row],[Bedrooms]]+1)*Cdlac[[#This Row],[AMI]],"")</f>
        <v/>
      </c>
      <c r="Q53" s="1052"/>
      <c r="R53" s="954" t="str" cm="1">
        <f t="array" ref="R53">IF(Cdlac[[#This Row],[Quantity]]&gt;0,INDEX(HudFmrs,$P$18,Cdlac[[#This Row],[Bedrooms]]+1),"")</f>
        <v/>
      </c>
      <c r="S53" s="954" t="str">
        <f>IF(Cdlac[[#This Row],[Quantity]]&gt;0,MAX(0,Cdlac[[#This Row],[Fair Market Rent]]-IF(AND($G$37,$G$38,$G$38&lt;&gt;"",NOT(Cdlac[[#This Row],[Federal]]),Cdlac[[#This Row],[Preservation Rent]]&lt;&gt;""),Cdlac[[#This Row],[Preservation Rent]],Cdlac[[#This Row],[Restricted Rent]])),"")</f>
        <v/>
      </c>
      <c r="T53" s="933" t="str">
        <f>IF(Cdlac[[#This Row],[Quantity]]&gt;0,AND(Application!AK751&lt;&gt;"N/A",Application!AK751&lt;&gt;"")*Cdlac[[#This Row],[Quantity]],"")</f>
        <v/>
      </c>
      <c r="U53" s="933" t="b">
        <f>AND('Subsidy Contract Calculation'!F37&gt;0,OR('Subsidy Contract Calculation'!C37="Federal",'Subsidy Contract Calculation'!C37="Local - Approved by ED"),Cdlac[[#This Row],[Quantity]]&gt;0)</f>
        <v>0</v>
      </c>
    </row>
    <row r="54" spans="2:21" ht="15" customHeight="1">
      <c r="E54" s="1005" t="s">
        <v>2622</v>
      </c>
      <c r="G54" s="1002">
        <f>MIN(G51:G52)</f>
        <v>11</v>
      </c>
      <c r="L54" s="933" t="str">
        <f>IFERROR(MIN(4,MATCH(Application!B752,UnitSizes,0)-1),"")</f>
        <v/>
      </c>
      <c r="M54" s="954">
        <f>Application!G752</f>
        <v>0</v>
      </c>
      <c r="N54" s="960">
        <f>Application!AC752</f>
        <v>0</v>
      </c>
      <c r="O54" s="960" t="str">
        <f>IF(Cdlac[[#This Row],[Quantity]]&gt;0,IF(Cdlac[[#This Row],[Federal]],30%,IF(AND(OR(NOT($G$38),$G$38=""),$G$43),40%,Cdlac[[#This Row],[iAMI]])),"")</f>
        <v/>
      </c>
      <c r="P54" s="954" t="str" cm="1">
        <f t="array" ref="P54">IF(Cdlac[[#This Row],[Quantity]]&gt;0,INDEX(TcacRents,$P$18,Cdlac[[#This Row],[Bedrooms]]+1)*Cdlac[[#This Row],[AMI]],"")</f>
        <v/>
      </c>
      <c r="Q54" s="1052"/>
      <c r="R54" s="954" t="str" cm="1">
        <f t="array" ref="R54">IF(Cdlac[[#This Row],[Quantity]]&gt;0,INDEX(HudFmrs,$P$18,Cdlac[[#This Row],[Bedrooms]]+1),"")</f>
        <v/>
      </c>
      <c r="S54" s="954" t="str">
        <f>IF(Cdlac[[#This Row],[Quantity]]&gt;0,MAX(0,Cdlac[[#This Row],[Fair Market Rent]]-IF(AND($G$37,$G$38,$G$38&lt;&gt;"",NOT(Cdlac[[#This Row],[Federal]]),Cdlac[[#This Row],[Preservation Rent]]&lt;&gt;""),Cdlac[[#This Row],[Preservation Rent]],Cdlac[[#This Row],[Restricted Rent]])),"")</f>
        <v/>
      </c>
      <c r="T54" s="933" t="str">
        <f>IF(Cdlac[[#This Row],[Quantity]]&gt;0,AND(Application!AK752&lt;&gt;"N/A",Application!AK752&lt;&gt;"")*Cdlac[[#This Row],[Quantity]],"")</f>
        <v/>
      </c>
      <c r="U54" s="933" t="b">
        <f>AND('Subsidy Contract Calculation'!F38&gt;0,OR('Subsidy Contract Calculation'!C38="Federal",'Subsidy Contract Calculation'!C38="Local - Approved by ED"),Cdlac[[#This Row],[Quantity]]&gt;0)</f>
        <v>0</v>
      </c>
    </row>
    <row r="55" spans="2:21" ht="15" customHeight="1">
      <c r="E55" s="1005" t="s">
        <v>2610</v>
      </c>
      <c r="F55" s="1001" t="s">
        <v>2611</v>
      </c>
      <c r="G55" s="1012">
        <v>10000</v>
      </c>
      <c r="M55" s="954"/>
      <c r="N55" s="960"/>
      <c r="O55" s="960"/>
      <c r="P55" s="954"/>
      <c r="Q55" s="1052"/>
      <c r="R55" s="954"/>
      <c r="S55" s="954"/>
    </row>
    <row r="56" spans="2:21" ht="15" customHeight="1">
      <c r="E56" s="1006" t="s">
        <v>2623</v>
      </c>
      <c r="F56" s="935"/>
      <c r="G56" s="1011">
        <f>G54*G55</f>
        <v>110000</v>
      </c>
    </row>
    <row r="57" spans="2:21" ht="15" customHeight="1"/>
    <row r="58" spans="2:21" ht="15" customHeight="1">
      <c r="B58" s="955" t="str">
        <f>B11&amp;": "&amp;B13</f>
        <v>C. Population Benefit: (2) Extremely Low Income Benefit</v>
      </c>
      <c r="C58" s="956"/>
      <c r="D58" s="956"/>
      <c r="E58" s="956"/>
      <c r="F58" s="956"/>
      <c r="G58" s="956"/>
      <c r="H58" s="956"/>
      <c r="I58" s="957"/>
    </row>
    <row r="59" spans="2:21" ht="15" customHeight="1"/>
    <row r="60" spans="2:21" ht="15" customHeight="1">
      <c r="E60" s="1005" t="s">
        <v>2624</v>
      </c>
      <c r="G60" s="968">
        <f>SUMIFS(Cdlac[Quantity],Cdlac[iAMI],"&lt;=30%")</f>
        <v>32</v>
      </c>
    </row>
    <row r="61" spans="2:21" ht="15" customHeight="1">
      <c r="E61" s="1005" t="s">
        <v>2621</v>
      </c>
      <c r="G61" s="968">
        <f>ROUNDDOWN(E29*50%,0)</f>
        <v>39</v>
      </c>
    </row>
    <row r="62" spans="2:21" ht="15" customHeight="1">
      <c r="E62" s="1005"/>
      <c r="G62" s="968"/>
    </row>
    <row r="63" spans="2:21" ht="15" customHeight="1">
      <c r="E63" s="1005" t="s">
        <v>2622</v>
      </c>
      <c r="G63" s="1002">
        <f>MIN(G60:G61)</f>
        <v>32</v>
      </c>
    </row>
    <row r="64" spans="2:21" ht="15" customHeight="1">
      <c r="E64" s="1005" t="s">
        <v>2610</v>
      </c>
      <c r="F64" s="1001" t="s">
        <v>2611</v>
      </c>
      <c r="G64" s="1012">
        <v>20000</v>
      </c>
    </row>
    <row r="65" spans="2:14" ht="15" customHeight="1">
      <c r="E65" s="1006" t="s">
        <v>2625</v>
      </c>
      <c r="F65" s="935"/>
      <c r="G65" s="1011">
        <f>G63*G64</f>
        <v>640000</v>
      </c>
    </row>
    <row r="66" spans="2:14" ht="15" customHeight="1"/>
    <row r="67" spans="2:14" ht="15" customHeight="1">
      <c r="B67" s="955" t="str">
        <f>B14&amp;": "&amp;B15</f>
        <v>D. Location Benefit: (1) Resource Area Benefit</v>
      </c>
      <c r="C67" s="956"/>
      <c r="D67" s="956"/>
      <c r="E67" s="956"/>
      <c r="F67" s="956"/>
      <c r="G67" s="956"/>
      <c r="H67" s="956"/>
      <c r="I67" s="957"/>
    </row>
    <row r="68" spans="2:14" ht="15" customHeight="1"/>
    <row r="69" spans="2:14" ht="15" customHeight="1">
      <c r="C69" s="966" t="s">
        <v>2626</v>
      </c>
      <c r="G69" s="932" t="s">
        <v>692</v>
      </c>
    </row>
    <row r="70" spans="2:14" ht="15" customHeight="1">
      <c r="C70" s="966" t="s">
        <v>2627</v>
      </c>
      <c r="G70" s="970" t="str">
        <f>IF(Application!D211="Large Family","Yes","No")</f>
        <v>No</v>
      </c>
    </row>
    <row r="71" spans="2:14" ht="15" customHeight="1" thickBot="1">
      <c r="C71" s="966" t="s">
        <v>2628</v>
      </c>
      <c r="G71" s="932" t="s">
        <v>692</v>
      </c>
    </row>
    <row r="72" spans="2:14" ht="15" customHeight="1">
      <c r="C72" s="966" t="s">
        <v>2629</v>
      </c>
      <c r="G72" s="933" t="str">
        <f>Application!T193</f>
        <v>Highest Resource</v>
      </c>
      <c r="L72" s="2594" t="s">
        <v>876</v>
      </c>
      <c r="M72" s="2595"/>
      <c r="N72" s="1019">
        <v>30000</v>
      </c>
    </row>
    <row r="73" spans="2:14" ht="15" customHeight="1">
      <c r="C73" s="2596" t="s">
        <v>2630</v>
      </c>
      <c r="D73" s="2596"/>
      <c r="E73" s="2596"/>
      <c r="F73" s="2596"/>
      <c r="G73" s="932" t="s">
        <v>692</v>
      </c>
      <c r="L73" s="2605" t="s">
        <v>880</v>
      </c>
      <c r="M73" s="2606"/>
      <c r="N73" s="1020">
        <v>20000</v>
      </c>
    </row>
    <row r="74" spans="2:14" ht="15" customHeight="1" thickBot="1">
      <c r="C74" s="2596"/>
      <c r="D74" s="2596"/>
      <c r="E74" s="2596"/>
      <c r="F74" s="2596"/>
      <c r="L74" s="2607" t="s">
        <v>887</v>
      </c>
      <c r="M74" s="2608"/>
      <c r="N74" s="1021">
        <v>10000</v>
      </c>
    </row>
    <row r="75" spans="2:14" ht="15" customHeight="1">
      <c r="C75" s="966"/>
    </row>
    <row r="76" spans="2:14" ht="15" customHeight="1">
      <c r="E76" s="973" t="s">
        <v>2631</v>
      </c>
      <c r="G76" s="968" t="b">
        <f>OR(AND(COUNTIFS(G70:G71,"Yes")&gt;=1,G69="Yes"),G73="Yes")</f>
        <v>0</v>
      </c>
    </row>
    <row r="77" spans="2:14" ht="15" customHeight="1">
      <c r="E77" s="973"/>
      <c r="G77" s="968"/>
    </row>
    <row r="78" spans="2:14" ht="15" customHeight="1">
      <c r="E78" s="973" t="s">
        <v>2610</v>
      </c>
      <c r="G78" s="967">
        <f>IFERROR(IF($G$73="Yes",30000,INDEX(N72:N74,MATCH(LEFT(G72,17),L72:L74,0))),0)</f>
        <v>30000</v>
      </c>
    </row>
    <row r="79" spans="2:14" ht="15" customHeight="1">
      <c r="E79" s="973" t="str">
        <f>E96</f>
        <v>Bedroom-Adjusted Low-Income Units</v>
      </c>
      <c r="F79" s="1001" t="s">
        <v>2611</v>
      </c>
      <c r="G79" s="1002">
        <f>G29</f>
        <v>98</v>
      </c>
    </row>
    <row r="80" spans="2:14" ht="15" customHeight="1">
      <c r="D80" s="935"/>
      <c r="E80" s="1006" t="s">
        <v>2632</v>
      </c>
      <c r="F80" s="935"/>
      <c r="G80" s="1011">
        <f>G79*G78*G76</f>
        <v>0</v>
      </c>
    </row>
    <row r="81" spans="2:9" ht="15" customHeight="1"/>
    <row r="82" spans="2:9" ht="15" customHeight="1">
      <c r="B82" s="955" t="str">
        <f>B14&amp;": "&amp;B16</f>
        <v>D. Location Benefit: (2) Community Revitalization Benefit</v>
      </c>
      <c r="C82" s="956"/>
      <c r="D82" s="956"/>
      <c r="E82" s="956"/>
      <c r="F82" s="956"/>
      <c r="G82" s="956"/>
      <c r="H82" s="956"/>
      <c r="I82" s="957"/>
    </row>
    <row r="83" spans="2:9" ht="15" customHeight="1"/>
    <row r="84" spans="2:9" ht="15" customHeight="1">
      <c r="F84" s="1004" t="s">
        <v>2633</v>
      </c>
      <c r="G84" s="932" t="s">
        <v>692</v>
      </c>
    </row>
    <row r="85" spans="2:9" ht="15" customHeight="1">
      <c r="F85" s="1004"/>
    </row>
    <row r="86" spans="2:9" ht="15" customHeight="1">
      <c r="E86" s="973" t="s">
        <v>2631</v>
      </c>
      <c r="G86" s="968" t="b">
        <f>G84="Yes"</f>
        <v>0</v>
      </c>
    </row>
    <row r="87" spans="2:9" ht="15" customHeight="1"/>
    <row r="88" spans="2:9" ht="15" customHeight="1">
      <c r="E88" s="973" t="str">
        <f>E96</f>
        <v>Bedroom-Adjusted Low-Income Units</v>
      </c>
      <c r="G88" s="1002">
        <f>G29</f>
        <v>98</v>
      </c>
    </row>
    <row r="89" spans="2:9" ht="15" customHeight="1">
      <c r="E89" s="973" t="s">
        <v>2610</v>
      </c>
      <c r="F89" s="1001" t="s">
        <v>2611</v>
      </c>
      <c r="G89" s="939">
        <v>20000</v>
      </c>
    </row>
    <row r="90" spans="2:9" ht="15" customHeight="1">
      <c r="E90" s="1006" t="s">
        <v>2634</v>
      </c>
      <c r="F90" s="935"/>
      <c r="G90" s="1011">
        <f>G86*G89*G88</f>
        <v>0</v>
      </c>
    </row>
    <row r="91" spans="2:9" ht="15" customHeight="1"/>
    <row r="92" spans="2:9" ht="15" customHeight="1">
      <c r="B92" s="955" t="str">
        <f>B14&amp;": "&amp;B17</f>
        <v>D. Location Benefit: (3) Transit/Walkability Benefit</v>
      </c>
      <c r="C92" s="956"/>
      <c r="D92" s="956"/>
      <c r="E92" s="956"/>
      <c r="F92" s="956"/>
      <c r="G92" s="956"/>
      <c r="H92" s="956"/>
      <c r="I92" s="957"/>
    </row>
    <row r="93" spans="2:9" ht="15" customHeight="1"/>
    <row r="94" spans="2:9" ht="15" customHeight="1">
      <c r="E94" s="973" t="s">
        <v>2635</v>
      </c>
      <c r="G94" s="1002">
        <f>VLOOKUP('Points System'!$H$606,'Points System'!$AO$586:$AP$591,2,FALSE)</f>
        <v>5</v>
      </c>
    </row>
    <row r="95" spans="2:9" ht="15" customHeight="1">
      <c r="E95" s="973" t="s">
        <v>2610</v>
      </c>
      <c r="F95" s="1001" t="s">
        <v>2611</v>
      </c>
      <c r="G95" s="965">
        <v>4000</v>
      </c>
    </row>
    <row r="96" spans="2:9" ht="15" customHeight="1" thickBot="1">
      <c r="E96" s="973" t="s">
        <v>2636</v>
      </c>
      <c r="F96" s="1001" t="s">
        <v>2611</v>
      </c>
      <c r="G96" s="1014">
        <f>G29</f>
        <v>98</v>
      </c>
    </row>
    <row r="97" spans="2:14" ht="15" customHeight="1">
      <c r="E97" s="1006" t="s">
        <v>2637</v>
      </c>
      <c r="F97" s="935"/>
      <c r="G97" s="1011">
        <f>G94*G95*G96</f>
        <v>1960000</v>
      </c>
      <c r="L97" s="1015" t="str">
        <f>'Points System'!H638</f>
        <v>(ii)</v>
      </c>
      <c r="M97" s="2613" t="s">
        <v>2488</v>
      </c>
      <c r="N97" s="2614"/>
    </row>
    <row r="98" spans="2:14" ht="15" customHeight="1">
      <c r="C98" s="966"/>
      <c r="G98" s="1002"/>
      <c r="L98" s="1016" t="str">
        <f>'Points System'!H650</f>
        <v>(ii)</v>
      </c>
      <c r="M98" s="2609" t="s">
        <v>2638</v>
      </c>
      <c r="N98" s="2610"/>
    </row>
    <row r="99" spans="2:14" ht="15" customHeight="1">
      <c r="E99" s="973" t="s">
        <v>2639</v>
      </c>
      <c r="G99" s="1014">
        <f>COUNTIFS(L97:L104,"(i)")</f>
        <v>0</v>
      </c>
      <c r="L99" s="1016" t="str">
        <f>'Points System'!H685</f>
        <v>(v)</v>
      </c>
      <c r="M99" s="2609" t="s">
        <v>2640</v>
      </c>
      <c r="N99" s="2610"/>
    </row>
    <row r="100" spans="2:14" ht="15" customHeight="1">
      <c r="E100" s="973" t="s">
        <v>2610</v>
      </c>
      <c r="F100" s="1001" t="s">
        <v>2611</v>
      </c>
      <c r="G100" s="1012">
        <v>4000</v>
      </c>
      <c r="L100" s="1016" t="str">
        <f>IF(OR('Points System'!H709="(ii)",'Points System'!H709="(i)"),"(i)","N/A")</f>
        <v>N/A</v>
      </c>
      <c r="M100" s="2609" t="s">
        <v>2641</v>
      </c>
      <c r="N100" s="2610"/>
    </row>
    <row r="101" spans="2:14" ht="15" customHeight="1">
      <c r="E101" s="1006" t="s">
        <v>2642</v>
      </c>
      <c r="F101" s="935"/>
      <c r="G101" s="1011">
        <f>G96*G99*G100</f>
        <v>0</v>
      </c>
      <c r="L101" s="1017" t="str">
        <f>'Points System'!H723</f>
        <v>N/A</v>
      </c>
      <c r="M101" s="2609" t="s">
        <v>2528</v>
      </c>
      <c r="N101" s="2610"/>
    </row>
    <row r="102" spans="2:14" ht="15" customHeight="1">
      <c r="L102" s="1016" t="str">
        <f>'Points System'!H735</f>
        <v>N/A</v>
      </c>
      <c r="M102" s="2609" t="s">
        <v>2643</v>
      </c>
      <c r="N102" s="2610"/>
    </row>
    <row r="103" spans="2:14" ht="15" customHeight="1">
      <c r="C103" s="969" t="s">
        <v>2644</v>
      </c>
      <c r="L103" s="1016" t="str">
        <f>'Points System'!H751</f>
        <v>(ii)</v>
      </c>
      <c r="M103" s="2609" t="s">
        <v>2645</v>
      </c>
      <c r="N103" s="2610"/>
    </row>
    <row r="104" spans="2:14" ht="15" customHeight="1" thickBot="1">
      <c r="C104" s="966" t="s">
        <v>2646</v>
      </c>
      <c r="G104" s="932"/>
      <c r="L104" s="1018" t="str">
        <f>'Points System'!H763</f>
        <v>(ii)</v>
      </c>
      <c r="M104" s="2611" t="s">
        <v>2532</v>
      </c>
      <c r="N104" s="2612"/>
    </row>
    <row r="105" spans="2:14" ht="15" customHeight="1">
      <c r="C105" s="966" t="s">
        <v>2647</v>
      </c>
      <c r="G105" s="932"/>
    </row>
    <row r="106" spans="2:14" ht="15" customHeight="1">
      <c r="C106" s="966" t="s">
        <v>2648</v>
      </c>
      <c r="G106" s="932"/>
    </row>
    <row r="107" spans="2:14" ht="15" customHeight="1">
      <c r="C107" s="966" t="s">
        <v>2649</v>
      </c>
      <c r="G107" s="932" t="s">
        <v>842</v>
      </c>
    </row>
    <row r="108" spans="2:14" ht="15" customHeight="1"/>
    <row r="109" spans="2:14" ht="15" customHeight="1">
      <c r="B109" s="967"/>
      <c r="C109" s="966"/>
      <c r="E109" s="973" t="s">
        <v>2631</v>
      </c>
      <c r="G109" s="968" t="b">
        <f>COUNTIFS(G104:G107,"Yes")&gt;=1</f>
        <v>1</v>
      </c>
    </row>
    <row r="110" spans="2:14" ht="15" customHeight="1">
      <c r="E110" s="966"/>
    </row>
    <row r="111" spans="2:14" ht="15" customHeight="1">
      <c r="E111" s="973" t="s">
        <v>2636</v>
      </c>
      <c r="F111" s="1001" t="s">
        <v>2611</v>
      </c>
      <c r="G111" s="1002">
        <f>G29</f>
        <v>98</v>
      </c>
    </row>
    <row r="112" spans="2:14" ht="15" customHeight="1">
      <c r="E112" s="973" t="s">
        <v>2610</v>
      </c>
      <c r="F112" s="1001" t="s">
        <v>2611</v>
      </c>
      <c r="G112" s="1012">
        <v>25000</v>
      </c>
    </row>
    <row r="113" spans="2:9" ht="15" customHeight="1">
      <c r="E113" s="1006" t="s">
        <v>2650</v>
      </c>
      <c r="F113" s="935"/>
      <c r="G113" s="1011">
        <f>G109*G112*G96</f>
        <v>2450000</v>
      </c>
    </row>
    <row r="114" spans="2:9" ht="15" customHeight="1">
      <c r="C114" s="966"/>
      <c r="E114" s="966"/>
    </row>
    <row r="115" spans="2:9" ht="15" customHeight="1">
      <c r="E115" s="1006" t="s">
        <v>2651</v>
      </c>
      <c r="G115" s="1011">
        <f>G113+G101+G97</f>
        <v>4410000</v>
      </c>
    </row>
    <row r="116" spans="2:9" ht="15" customHeight="1"/>
    <row r="117" spans="2:9" ht="15" customHeight="1">
      <c r="B117" s="955" t="s">
        <v>1777</v>
      </c>
      <c r="C117" s="956"/>
      <c r="D117" s="956"/>
      <c r="E117" s="956"/>
      <c r="F117" s="956"/>
      <c r="G117" s="956"/>
      <c r="H117" s="956"/>
      <c r="I117" s="957"/>
    </row>
    <row r="118" spans="2:9" ht="15" customHeight="1"/>
    <row r="119" spans="2:9" ht="15" customHeight="1">
      <c r="C119" s="2585" t="s">
        <v>2652</v>
      </c>
      <c r="D119" s="2585"/>
      <c r="E119" s="2585"/>
      <c r="F119" s="2585"/>
    </row>
    <row r="120" spans="2:9" ht="15" customHeight="1">
      <c r="C120" s="2585"/>
      <c r="D120" s="2585"/>
      <c r="E120" s="2585"/>
      <c r="F120" s="2585"/>
      <c r="G120" s="932"/>
    </row>
    <row r="121" spans="2:9" ht="15" customHeight="1"/>
    <row r="122" spans="2:9" ht="15" customHeight="1">
      <c r="C122" s="933" t="s">
        <v>2653</v>
      </c>
      <c r="G122" s="2587"/>
      <c r="H122" s="2587"/>
    </row>
    <row r="123" spans="2:9" ht="15" customHeight="1">
      <c r="G123" s="2587"/>
      <c r="H123" s="2587"/>
    </row>
    <row r="124" spans="2:9" ht="15" customHeight="1">
      <c r="G124" s="2588"/>
      <c r="H124" s="2588"/>
    </row>
    <row r="125" spans="2:9" ht="15" customHeight="1">
      <c r="G125" s="1048"/>
      <c r="H125" s="1048"/>
    </row>
    <row r="126" spans="2:9" ht="15" customHeight="1">
      <c r="B126" s="955" t="s">
        <v>2654</v>
      </c>
      <c r="C126" s="956"/>
      <c r="D126" s="956"/>
      <c r="E126" s="956"/>
      <c r="F126" s="956"/>
      <c r="G126" s="956"/>
      <c r="H126" s="956"/>
      <c r="I126" s="957"/>
    </row>
    <row r="128" spans="2:9">
      <c r="E128" s="973" t="s">
        <v>928</v>
      </c>
      <c r="G128" s="933" t="str">
        <f>IF(Application!T189="","",Application!T189)</f>
        <v>Marin</v>
      </c>
    </row>
    <row r="129" spans="2:9">
      <c r="E129" s="973"/>
      <c r="G129" s="967"/>
    </row>
    <row r="130" spans="2:9">
      <c r="E130" s="973" t="str">
        <f>"2-Bedroom "&amp;G128&amp;" County Basis Limit"</f>
        <v>2-Bedroom Marin County Basis Limit</v>
      </c>
      <c r="G130" s="967">
        <f>Application!R988</f>
        <v>534400</v>
      </c>
    </row>
    <row r="131" spans="2:9">
      <c r="E131" s="973" t="s">
        <v>2655</v>
      </c>
      <c r="G131" s="967">
        <f>MEDIAN((Application!CU160:CU217))</f>
        <v>489600</v>
      </c>
    </row>
    <row r="132" spans="2:9">
      <c r="D132" s="935"/>
      <c r="E132" s="1006" t="s">
        <v>2656</v>
      </c>
      <c r="F132" s="1022"/>
      <c r="G132" s="1023">
        <f>((G130-G131)/G131)*0.25</f>
        <v>2.2875816993464051E-2</v>
      </c>
      <c r="H132" s="931"/>
      <c r="I132" s="931"/>
    </row>
    <row r="133" spans="2:9">
      <c r="D133" s="934"/>
      <c r="E133" s="934"/>
    </row>
    <row r="134" spans="2:9">
      <c r="B134" s="955" t="s">
        <v>2657</v>
      </c>
      <c r="C134" s="956"/>
      <c r="D134" s="956"/>
      <c r="E134" s="956"/>
      <c r="F134" s="956"/>
      <c r="G134" s="956"/>
      <c r="H134" s="956"/>
      <c r="I134" s="957"/>
    </row>
    <row r="136" spans="2:9">
      <c r="E136" s="973" t="s">
        <v>2613</v>
      </c>
      <c r="G136" s="933" t="b">
        <f>G37</f>
        <v>0</v>
      </c>
    </row>
    <row r="137" spans="2:9">
      <c r="E137" s="973" t="s">
        <v>2658</v>
      </c>
      <c r="G137" s="933" t="b">
        <f>OR('Points System'!B52="Yes", 'Points System'!B56="Yes",'Points System'!B58="Yes")</f>
        <v>1</v>
      </c>
    </row>
    <row r="138" spans="2:9">
      <c r="C138" s="2580" t="s">
        <v>2659</v>
      </c>
      <c r="D138" s="2580"/>
      <c r="E138" s="2580"/>
      <c r="F138" s="2580"/>
    </row>
    <row r="139" spans="2:9">
      <c r="B139" s="934"/>
      <c r="C139" s="2580"/>
      <c r="D139" s="2580"/>
      <c r="E139" s="2580"/>
      <c r="F139" s="2580"/>
      <c r="G139" s="932" t="s">
        <v>842</v>
      </c>
    </row>
    <row r="140" spans="2:9">
      <c r="B140" s="934"/>
      <c r="C140" s="934"/>
      <c r="D140" s="934"/>
      <c r="E140" s="934"/>
      <c r="F140" s="934"/>
    </row>
    <row r="141" spans="2:9" ht="14.25" customHeight="1">
      <c r="E141" s="973" t="s">
        <v>2660</v>
      </c>
      <c r="G141" s="1057">
        <v>100000</v>
      </c>
    </row>
    <row r="143" spans="2:9">
      <c r="E143" s="973" t="s">
        <v>2661</v>
      </c>
      <c r="G143" s="1056">
        <f>IF(I9=0,0,G141/I9)</f>
        <v>6.7766576941459909E-3</v>
      </c>
    </row>
    <row r="144" spans="2:9">
      <c r="E144" s="973" t="s">
        <v>2662</v>
      </c>
      <c r="G144" s="1054">
        <f>I9*0.15</f>
        <v>2213480.5499999998</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F29" sqref="F29"/>
    </sheetView>
  </sheetViews>
  <sheetFormatPr defaultColWidth="9.1796875" defaultRowHeight="14" zeroHeight="1"/>
  <cols>
    <col min="1" max="2" width="15.6328125" style="210" customWidth="1"/>
    <col min="3" max="3" width="11" style="210" customWidth="1"/>
    <col min="4" max="4" width="15.6328125" style="210" customWidth="1"/>
    <col min="5" max="5" width="3.6328125" style="210" customWidth="1"/>
    <col min="6" max="7" width="15.6328125" style="210" customWidth="1"/>
    <col min="8" max="8" width="3.6328125" style="210" customWidth="1"/>
    <col min="9" max="10" width="15.6328125" style="210" customWidth="1"/>
    <col min="11" max="11" width="3.36328125" style="210" customWidth="1"/>
    <col min="12" max="17" width="15.6328125" style="210" customWidth="1"/>
    <col min="18" max="16384" width="9.1796875" style="210"/>
  </cols>
  <sheetData>
    <row r="1" spans="1:12">
      <c r="A1" s="2615" t="s">
        <v>2663</v>
      </c>
      <c r="B1" s="2615"/>
      <c r="C1" s="2615"/>
      <c r="D1" s="2615"/>
      <c r="E1" s="2615"/>
      <c r="F1" s="2615"/>
      <c r="G1" s="2615"/>
      <c r="H1" s="2615"/>
      <c r="I1" s="2615"/>
      <c r="J1" s="2615"/>
      <c r="K1" s="135"/>
      <c r="L1" s="135"/>
    </row>
    <row r="2" spans="1:12">
      <c r="A2" s="139"/>
      <c r="B2" s="139"/>
      <c r="C2" s="139"/>
      <c r="D2" s="139"/>
      <c r="E2" s="139"/>
      <c r="F2" s="139"/>
      <c r="G2" s="139"/>
      <c r="H2" s="139"/>
      <c r="I2" s="139"/>
      <c r="J2" s="139"/>
    </row>
    <row r="3" spans="1:12" ht="84.5">
      <c r="A3" s="328" t="s">
        <v>2664</v>
      </c>
      <c r="B3" s="328" t="s">
        <v>2665</v>
      </c>
      <c r="C3" s="328" t="s">
        <v>2666</v>
      </c>
      <c r="D3" s="1034" t="s">
        <v>2667</v>
      </c>
      <c r="E3" s="135"/>
      <c r="F3" s="1034" t="s">
        <v>2668</v>
      </c>
      <c r="G3" s="328" t="s">
        <v>2669</v>
      </c>
      <c r="H3" s="329"/>
      <c r="I3" s="328" t="s">
        <v>2670</v>
      </c>
      <c r="J3" s="328" t="s">
        <v>2671</v>
      </c>
      <c r="K3" s="135"/>
      <c r="L3" s="211"/>
    </row>
    <row r="4" spans="1:12">
      <c r="A4" s="330" t="str">
        <f>Application!B718</f>
        <v>1 Bedroom</v>
      </c>
      <c r="B4" s="971">
        <f>Application!G718</f>
        <v>2</v>
      </c>
      <c r="C4" s="1050" t="s">
        <v>992</v>
      </c>
      <c r="D4" s="330">
        <f>Application!O718</f>
        <v>654</v>
      </c>
      <c r="E4" s="331"/>
      <c r="F4" s="972">
        <v>3100</v>
      </c>
      <c r="G4" s="330">
        <f>F4*B4</f>
        <v>6200</v>
      </c>
      <c r="H4" s="331"/>
      <c r="I4" s="330">
        <f t="shared" ref="I4:I27" si="0">IF(F4=0,"",(F4-D4))</f>
        <v>2446</v>
      </c>
      <c r="J4" s="330">
        <f t="shared" ref="J4:J27" si="1">IF(F4=0,"",(I4*B4))</f>
        <v>4892</v>
      </c>
      <c r="K4" s="135"/>
      <c r="L4" s="211"/>
    </row>
    <row r="5" spans="1:12">
      <c r="A5" s="330" t="str">
        <f>Application!B719</f>
        <v>2 Bedrooms</v>
      </c>
      <c r="B5" s="971">
        <f>Application!G719</f>
        <v>2</v>
      </c>
      <c r="C5" s="1050"/>
      <c r="D5" s="330">
        <f>Application!O719</f>
        <v>718</v>
      </c>
      <c r="E5" s="331"/>
      <c r="F5" s="972"/>
      <c r="G5" s="330">
        <f t="shared" ref="G5:G38" si="2">F5*B5</f>
        <v>0</v>
      </c>
      <c r="H5" s="331"/>
      <c r="I5" s="330" t="str">
        <f t="shared" si="0"/>
        <v/>
      </c>
      <c r="J5" s="330" t="str">
        <f t="shared" si="1"/>
        <v/>
      </c>
      <c r="K5" s="135"/>
      <c r="L5" s="211"/>
    </row>
    <row r="6" spans="1:12">
      <c r="A6" s="330" t="str">
        <f>Application!B720</f>
        <v>3 Bedrooms</v>
      </c>
      <c r="B6" s="971">
        <f>Application!G720</f>
        <v>2</v>
      </c>
      <c r="C6" s="1050"/>
      <c r="D6" s="330">
        <f>Application!O720</f>
        <v>855</v>
      </c>
      <c r="E6" s="331"/>
      <c r="F6" s="972"/>
      <c r="G6" s="330">
        <f t="shared" si="2"/>
        <v>0</v>
      </c>
      <c r="H6" s="331"/>
      <c r="I6" s="330" t="str">
        <f t="shared" si="0"/>
        <v/>
      </c>
      <c r="J6" s="330" t="str">
        <f t="shared" si="1"/>
        <v/>
      </c>
      <c r="K6" s="135"/>
      <c r="L6" s="211"/>
    </row>
    <row r="7" spans="1:12">
      <c r="A7" s="330" t="str">
        <f>Application!B721</f>
        <v>1 Bedroom</v>
      </c>
      <c r="B7" s="971">
        <f>Application!G721</f>
        <v>1</v>
      </c>
      <c r="C7" s="1050" t="s">
        <v>992</v>
      </c>
      <c r="D7" s="330">
        <f>Application!O721</f>
        <v>654</v>
      </c>
      <c r="E7" s="331"/>
      <c r="F7" s="972">
        <v>3100</v>
      </c>
      <c r="G7" s="330">
        <f t="shared" si="2"/>
        <v>3100</v>
      </c>
      <c r="H7" s="331"/>
      <c r="I7" s="330">
        <f t="shared" si="0"/>
        <v>2446</v>
      </c>
      <c r="J7" s="330">
        <f t="shared" si="1"/>
        <v>2446</v>
      </c>
      <c r="K7" s="135"/>
      <c r="L7" s="211"/>
    </row>
    <row r="8" spans="1:12">
      <c r="A8" s="330" t="str">
        <f>Application!B722</f>
        <v>2 Bedrooms</v>
      </c>
      <c r="B8" s="971">
        <f>Application!G722</f>
        <v>2</v>
      </c>
      <c r="C8" s="1050"/>
      <c r="D8" s="330">
        <f>Application!O722</f>
        <v>718</v>
      </c>
      <c r="E8" s="331"/>
      <c r="F8" s="972"/>
      <c r="G8" s="330">
        <f t="shared" si="2"/>
        <v>0</v>
      </c>
      <c r="H8" s="331"/>
      <c r="I8" s="330" t="str">
        <f t="shared" si="0"/>
        <v/>
      </c>
      <c r="J8" s="330" t="str">
        <f t="shared" si="1"/>
        <v/>
      </c>
      <c r="K8" s="135"/>
      <c r="L8" s="211"/>
    </row>
    <row r="9" spans="1:12">
      <c r="A9" s="330" t="str">
        <f>Application!B723</f>
        <v>2 Bedrooms</v>
      </c>
      <c r="B9" s="971">
        <f>Application!G723</f>
        <v>1</v>
      </c>
      <c r="C9" s="1050" t="s">
        <v>992</v>
      </c>
      <c r="D9" s="330">
        <f>Application!O723</f>
        <v>718</v>
      </c>
      <c r="E9" s="331"/>
      <c r="F9" s="972">
        <v>3695</v>
      </c>
      <c r="G9" s="330">
        <f t="shared" si="2"/>
        <v>3695</v>
      </c>
      <c r="H9" s="331"/>
      <c r="I9" s="330">
        <f t="shared" si="0"/>
        <v>2977</v>
      </c>
      <c r="J9" s="330">
        <f t="shared" si="1"/>
        <v>2977</v>
      </c>
      <c r="K9" s="135"/>
      <c r="L9" s="211"/>
    </row>
    <row r="10" spans="1:12">
      <c r="A10" s="330" t="str">
        <f>Application!B724</f>
        <v>3 Bedrooms</v>
      </c>
      <c r="B10" s="971">
        <f>Application!G724</f>
        <v>3</v>
      </c>
      <c r="C10" s="1050"/>
      <c r="D10" s="330">
        <f>Application!O724</f>
        <v>855</v>
      </c>
      <c r="E10" s="331"/>
      <c r="F10" s="972"/>
      <c r="G10" s="330">
        <f t="shared" si="2"/>
        <v>0</v>
      </c>
      <c r="H10" s="331"/>
      <c r="I10" s="330" t="str">
        <f t="shared" si="0"/>
        <v/>
      </c>
      <c r="J10" s="330" t="str">
        <f t="shared" si="1"/>
        <v/>
      </c>
      <c r="K10" s="135"/>
      <c r="L10" s="211"/>
    </row>
    <row r="11" spans="1:12">
      <c r="A11" s="330" t="str">
        <f>Application!B725</f>
        <v>3 Bedrooms</v>
      </c>
      <c r="B11" s="971">
        <f>Application!G725</f>
        <v>1</v>
      </c>
      <c r="C11" s="1050" t="s">
        <v>992</v>
      </c>
      <c r="D11" s="330">
        <f>Application!O725</f>
        <v>855</v>
      </c>
      <c r="E11" s="331"/>
      <c r="F11" s="972">
        <v>4523</v>
      </c>
      <c r="G11" s="330">
        <f t="shared" si="2"/>
        <v>4523</v>
      </c>
      <c r="H11" s="331"/>
      <c r="I11" s="330">
        <f t="shared" si="0"/>
        <v>3668</v>
      </c>
      <c r="J11" s="330">
        <f t="shared" si="1"/>
        <v>3668</v>
      </c>
      <c r="K11" s="135"/>
      <c r="L11" s="211"/>
    </row>
    <row r="12" spans="1:12">
      <c r="A12" s="330" t="str">
        <f>Application!B726</f>
        <v>1 Bedroom</v>
      </c>
      <c r="B12" s="971">
        <f>Application!G726</f>
        <v>2</v>
      </c>
      <c r="C12" s="1050"/>
      <c r="D12" s="330">
        <f>Application!O726</f>
        <v>783</v>
      </c>
      <c r="E12" s="331"/>
      <c r="F12" s="972"/>
      <c r="G12" s="330">
        <f t="shared" si="2"/>
        <v>0</v>
      </c>
      <c r="H12" s="331"/>
      <c r="I12" s="330" t="str">
        <f t="shared" si="0"/>
        <v/>
      </c>
      <c r="J12" s="330" t="str">
        <f t="shared" si="1"/>
        <v/>
      </c>
      <c r="K12" s="135"/>
      <c r="L12" s="211"/>
    </row>
    <row r="13" spans="1:12">
      <c r="A13" s="330" t="str">
        <f>Application!B727</f>
        <v>1 Bedroom</v>
      </c>
      <c r="B13" s="971">
        <f>Application!G727</f>
        <v>2</v>
      </c>
      <c r="C13" s="1050" t="s">
        <v>992</v>
      </c>
      <c r="D13" s="330">
        <f>Application!O727</f>
        <v>783</v>
      </c>
      <c r="E13" s="331"/>
      <c r="F13" s="972">
        <v>3100</v>
      </c>
      <c r="G13" s="330">
        <f t="shared" si="2"/>
        <v>6200</v>
      </c>
      <c r="H13" s="331"/>
      <c r="I13" s="330">
        <f t="shared" si="0"/>
        <v>2317</v>
      </c>
      <c r="J13" s="330">
        <f t="shared" si="1"/>
        <v>4634</v>
      </c>
      <c r="K13" s="135"/>
      <c r="L13" s="211"/>
    </row>
    <row r="14" spans="1:12">
      <c r="A14" s="330" t="str">
        <f>Application!B728</f>
        <v>2 Bedrooms</v>
      </c>
      <c r="B14" s="971">
        <f>Application!G728</f>
        <v>1</v>
      </c>
      <c r="C14" s="1050"/>
      <c r="D14" s="330">
        <f>Application!O728</f>
        <v>885</v>
      </c>
      <c r="E14" s="331"/>
      <c r="F14" s="972"/>
      <c r="G14" s="330">
        <f t="shared" si="2"/>
        <v>0</v>
      </c>
      <c r="H14" s="331"/>
      <c r="I14" s="330" t="str">
        <f t="shared" si="0"/>
        <v/>
      </c>
      <c r="J14" s="330" t="str">
        <f t="shared" si="1"/>
        <v/>
      </c>
      <c r="K14" s="135"/>
      <c r="L14" s="211"/>
    </row>
    <row r="15" spans="1:12">
      <c r="A15" s="330" t="str">
        <f>Application!B729</f>
        <v>2 Bedrooms</v>
      </c>
      <c r="B15" s="971">
        <f>Application!G729</f>
        <v>5</v>
      </c>
      <c r="C15" s="1050"/>
      <c r="D15" s="330">
        <f>Application!O729</f>
        <v>885</v>
      </c>
      <c r="E15" s="331"/>
      <c r="F15" s="972"/>
      <c r="G15" s="330">
        <f t="shared" si="2"/>
        <v>0</v>
      </c>
      <c r="H15" s="331"/>
      <c r="I15" s="330" t="str">
        <f t="shared" si="0"/>
        <v/>
      </c>
      <c r="J15" s="330" t="str">
        <f t="shared" si="1"/>
        <v/>
      </c>
      <c r="K15" s="135"/>
      <c r="L15" s="211"/>
    </row>
    <row r="16" spans="1:12">
      <c r="A16" s="330" t="str">
        <f>Application!B730</f>
        <v>2 Bedrooms</v>
      </c>
      <c r="B16" s="971">
        <f>Application!G730</f>
        <v>3</v>
      </c>
      <c r="C16" s="1050" t="s">
        <v>992</v>
      </c>
      <c r="D16" s="330">
        <f>Application!O730</f>
        <v>885</v>
      </c>
      <c r="E16" s="331"/>
      <c r="F16" s="972">
        <v>3695</v>
      </c>
      <c r="G16" s="330">
        <f t="shared" si="2"/>
        <v>11085</v>
      </c>
      <c r="H16" s="331"/>
      <c r="I16" s="330">
        <f t="shared" si="0"/>
        <v>2810</v>
      </c>
      <c r="J16" s="330">
        <f t="shared" si="1"/>
        <v>8430</v>
      </c>
      <c r="K16" s="135"/>
      <c r="L16" s="211"/>
    </row>
    <row r="17" spans="1:12">
      <c r="A17" s="330" t="str">
        <f>Application!B731</f>
        <v>3 Bedrooms</v>
      </c>
      <c r="B17" s="971">
        <f>Application!G731</f>
        <v>3</v>
      </c>
      <c r="C17" s="1050"/>
      <c r="D17" s="330">
        <f>Application!O731</f>
        <v>779</v>
      </c>
      <c r="E17" s="331"/>
      <c r="F17" s="972"/>
      <c r="G17" s="330">
        <f t="shared" si="2"/>
        <v>0</v>
      </c>
      <c r="H17" s="331"/>
      <c r="I17" s="330" t="str">
        <f t="shared" si="0"/>
        <v/>
      </c>
      <c r="J17" s="330" t="str">
        <f t="shared" si="1"/>
        <v/>
      </c>
      <c r="K17" s="135"/>
      <c r="L17" s="211"/>
    </row>
    <row r="18" spans="1:12">
      <c r="A18" s="330" t="str">
        <f>Application!B732</f>
        <v>3 Bedrooms</v>
      </c>
      <c r="B18" s="971">
        <f>Application!G732</f>
        <v>1</v>
      </c>
      <c r="C18" s="1050" t="s">
        <v>992</v>
      </c>
      <c r="D18" s="330">
        <f>Application!O732</f>
        <v>779</v>
      </c>
      <c r="E18" s="331"/>
      <c r="F18" s="972">
        <v>4523</v>
      </c>
      <c r="G18" s="330">
        <f t="shared" si="2"/>
        <v>4523</v>
      </c>
      <c r="H18" s="331"/>
      <c r="I18" s="330">
        <f t="shared" si="0"/>
        <v>3744</v>
      </c>
      <c r="J18" s="330">
        <f t="shared" si="1"/>
        <v>3744</v>
      </c>
      <c r="K18" s="135"/>
      <c r="L18" s="211"/>
    </row>
    <row r="19" spans="1:12">
      <c r="A19" s="330" t="str">
        <f>Application!B733</f>
        <v>3 Bedrooms</v>
      </c>
      <c r="B19" s="971">
        <f>Application!G733</f>
        <v>1</v>
      </c>
      <c r="C19" s="1050" t="s">
        <v>992</v>
      </c>
      <c r="D19" s="330">
        <f>Application!O733</f>
        <v>779</v>
      </c>
      <c r="E19" s="331"/>
      <c r="F19" s="972">
        <v>4403</v>
      </c>
      <c r="G19" s="330">
        <f t="shared" si="2"/>
        <v>4403</v>
      </c>
      <c r="H19" s="331"/>
      <c r="I19" s="330">
        <f t="shared" si="0"/>
        <v>3624</v>
      </c>
      <c r="J19" s="330">
        <f t="shared" si="1"/>
        <v>3624</v>
      </c>
      <c r="K19" s="135"/>
      <c r="L19" s="211"/>
    </row>
    <row r="20" spans="1:12">
      <c r="A20" s="330" t="str">
        <f>Application!B734</f>
        <v>1 Bedroom</v>
      </c>
      <c r="B20" s="971">
        <f>Application!G734</f>
        <v>7</v>
      </c>
      <c r="C20" s="1050"/>
      <c r="D20" s="330">
        <f>Application!O734</f>
        <v>1680</v>
      </c>
      <c r="E20" s="331"/>
      <c r="F20" s="972"/>
      <c r="G20" s="330">
        <f t="shared" si="2"/>
        <v>0</v>
      </c>
      <c r="H20" s="331"/>
      <c r="I20" s="330" t="str">
        <f t="shared" si="0"/>
        <v/>
      </c>
      <c r="J20" s="330" t="str">
        <f t="shared" si="1"/>
        <v/>
      </c>
      <c r="K20" s="135"/>
      <c r="L20" s="211"/>
    </row>
    <row r="21" spans="1:12">
      <c r="A21" s="330" t="str">
        <f>Application!B735</f>
        <v>1 Bedroom</v>
      </c>
      <c r="B21" s="971">
        <f>Application!G735</f>
        <v>1</v>
      </c>
      <c r="C21" s="1050" t="s">
        <v>992</v>
      </c>
      <c r="D21" s="330">
        <f>Application!O735</f>
        <v>1680</v>
      </c>
      <c r="E21" s="331"/>
      <c r="F21" s="972">
        <v>3100</v>
      </c>
      <c r="G21" s="330">
        <f t="shared" si="2"/>
        <v>3100</v>
      </c>
      <c r="H21" s="331"/>
      <c r="I21" s="330">
        <f t="shared" si="0"/>
        <v>1420</v>
      </c>
      <c r="J21" s="330">
        <f t="shared" si="1"/>
        <v>1420</v>
      </c>
      <c r="K21" s="135"/>
      <c r="L21" s="211"/>
    </row>
    <row r="22" spans="1:12">
      <c r="A22" s="330" t="str">
        <f>Application!B736</f>
        <v>2 Bedrooms</v>
      </c>
      <c r="B22" s="971">
        <f>Application!G736</f>
        <v>7</v>
      </c>
      <c r="C22" s="1050"/>
      <c r="D22" s="330">
        <f>Application!O736</f>
        <v>1828</v>
      </c>
      <c r="E22" s="331"/>
      <c r="F22" s="972"/>
      <c r="G22" s="330">
        <f t="shared" si="2"/>
        <v>0</v>
      </c>
      <c r="H22" s="331"/>
      <c r="I22" s="330" t="str">
        <f t="shared" si="0"/>
        <v/>
      </c>
      <c r="J22" s="330" t="str">
        <f t="shared" si="1"/>
        <v/>
      </c>
      <c r="K22" s="135"/>
      <c r="L22" s="211"/>
    </row>
    <row r="23" spans="1:12">
      <c r="A23" s="330" t="str">
        <f>Application!B737</f>
        <v>2 Bedrooms</v>
      </c>
      <c r="B23" s="971">
        <f>Application!G737</f>
        <v>3</v>
      </c>
      <c r="C23" s="1050" t="s">
        <v>992</v>
      </c>
      <c r="D23" s="330">
        <f>Application!O737</f>
        <v>1828</v>
      </c>
      <c r="E23" s="331"/>
      <c r="F23" s="972">
        <v>3695</v>
      </c>
      <c r="G23" s="330">
        <f t="shared" si="2"/>
        <v>11085</v>
      </c>
      <c r="H23" s="331"/>
      <c r="I23" s="330">
        <f t="shared" si="0"/>
        <v>1867</v>
      </c>
      <c r="J23" s="330">
        <f t="shared" si="1"/>
        <v>5601</v>
      </c>
      <c r="K23" s="135"/>
      <c r="L23" s="211"/>
    </row>
    <row r="24" spans="1:12">
      <c r="A24" s="330" t="str">
        <f>Application!B738</f>
        <v>3 Bedrooms</v>
      </c>
      <c r="B24" s="971">
        <f>Application!G738</f>
        <v>9</v>
      </c>
      <c r="C24" s="1050"/>
      <c r="D24" s="330">
        <f>Application!O738</f>
        <v>1768</v>
      </c>
      <c r="E24" s="331"/>
      <c r="F24" s="972"/>
      <c r="G24" s="330">
        <f t="shared" si="2"/>
        <v>0</v>
      </c>
      <c r="H24" s="331"/>
      <c r="I24" s="330" t="str">
        <f t="shared" si="0"/>
        <v/>
      </c>
      <c r="J24" s="330" t="str">
        <f t="shared" si="1"/>
        <v/>
      </c>
      <c r="K24" s="135"/>
      <c r="L24" s="211"/>
    </row>
    <row r="25" spans="1:12">
      <c r="A25" s="330" t="str">
        <f>Application!B739</f>
        <v>2 Bedrooms</v>
      </c>
      <c r="B25" s="971">
        <f>Application!G739</f>
        <v>1</v>
      </c>
      <c r="C25" s="1050" t="s">
        <v>992</v>
      </c>
      <c r="D25" s="330">
        <f>Application!O739</f>
        <v>1828</v>
      </c>
      <c r="E25" s="331"/>
      <c r="F25" s="972">
        <v>3530</v>
      </c>
      <c r="G25" s="330">
        <f t="shared" si="2"/>
        <v>3530</v>
      </c>
      <c r="H25" s="331"/>
      <c r="I25" s="330">
        <f t="shared" si="0"/>
        <v>1702</v>
      </c>
      <c r="J25" s="330">
        <f t="shared" si="1"/>
        <v>1702</v>
      </c>
      <c r="K25" s="135"/>
      <c r="L25" s="211"/>
    </row>
    <row r="26" spans="1:12">
      <c r="A26" s="330" t="str">
        <f>Application!B740</f>
        <v>1 Bedroom</v>
      </c>
      <c r="B26" s="971">
        <f>Application!G740</f>
        <v>4</v>
      </c>
      <c r="C26" s="1050"/>
      <c r="D26" s="330">
        <f>Application!O740</f>
        <v>2012</v>
      </c>
      <c r="E26" s="331"/>
      <c r="F26" s="972"/>
      <c r="G26" s="330">
        <f t="shared" si="2"/>
        <v>0</v>
      </c>
      <c r="H26" s="331"/>
      <c r="I26" s="330" t="str">
        <f t="shared" si="0"/>
        <v/>
      </c>
      <c r="J26" s="330" t="str">
        <f t="shared" si="1"/>
        <v/>
      </c>
      <c r="K26" s="135"/>
      <c r="L26" s="211"/>
    </row>
    <row r="27" spans="1:12">
      <c r="A27" s="330" t="str">
        <f>Application!B741</f>
        <v>1 Bedroom</v>
      </c>
      <c r="B27" s="971">
        <f>Application!G741</f>
        <v>1</v>
      </c>
      <c r="C27" s="1050" t="s">
        <v>992</v>
      </c>
      <c r="D27" s="330">
        <f>Application!O741</f>
        <v>2012</v>
      </c>
      <c r="E27" s="331"/>
      <c r="F27" s="972">
        <v>3100</v>
      </c>
      <c r="G27" s="330">
        <f t="shared" si="2"/>
        <v>3100</v>
      </c>
      <c r="H27" s="331"/>
      <c r="I27" s="330">
        <f t="shared" si="0"/>
        <v>1088</v>
      </c>
      <c r="J27" s="330">
        <f t="shared" si="1"/>
        <v>1088</v>
      </c>
      <c r="K27" s="135"/>
      <c r="L27" s="211"/>
    </row>
    <row r="28" spans="1:12">
      <c r="A28" s="330" t="str">
        <f>Application!B742</f>
        <v>2 Bedrooms</v>
      </c>
      <c r="B28" s="971">
        <f>Application!G742</f>
        <v>8</v>
      </c>
      <c r="C28" s="1050"/>
      <c r="D28" s="330">
        <f>Application!O742</f>
        <v>2147</v>
      </c>
      <c r="E28" s="331"/>
      <c r="F28" s="972"/>
      <c r="G28" s="330">
        <f t="shared" si="2"/>
        <v>0</v>
      </c>
      <c r="H28" s="331"/>
      <c r="I28" s="330" t="str">
        <f t="shared" ref="I28:I37" si="3">IF(F28=0,"",(F28-D28))</f>
        <v/>
      </c>
      <c r="J28" s="330" t="str">
        <f t="shared" ref="J28:J37" si="4">IF(F28=0,"",(I28*B28))</f>
        <v/>
      </c>
      <c r="K28" s="135"/>
      <c r="L28" s="211"/>
    </row>
    <row r="29" spans="1:12">
      <c r="A29" s="330" t="str">
        <f>Application!B743</f>
        <v>3 Bedrooms</v>
      </c>
      <c r="B29" s="971">
        <f>Application!G743</f>
        <v>4</v>
      </c>
      <c r="C29" s="1050"/>
      <c r="D29" s="330">
        <f>Application!O743</f>
        <v>2405</v>
      </c>
      <c r="E29" s="331"/>
      <c r="F29" s="972"/>
      <c r="G29" s="330">
        <f t="shared" si="2"/>
        <v>0</v>
      </c>
      <c r="H29" s="331"/>
      <c r="I29" s="330" t="str">
        <f t="shared" si="3"/>
        <v/>
      </c>
      <c r="J29" s="330" t="str">
        <f t="shared" si="4"/>
        <v/>
      </c>
      <c r="K29" s="135"/>
      <c r="L29" s="211"/>
    </row>
    <row r="30" spans="1:12">
      <c r="A30" s="330" t="str">
        <f>Application!B744</f>
        <v>1 Bedroom</v>
      </c>
      <c r="B30" s="971">
        <f>Application!G744</f>
        <v>1</v>
      </c>
      <c r="C30" s="1050" t="s">
        <v>992</v>
      </c>
      <c r="D30" s="330">
        <f>Application!O744</f>
        <v>2012</v>
      </c>
      <c r="E30" s="331"/>
      <c r="F30" s="972">
        <v>2893</v>
      </c>
      <c r="G30" s="330">
        <f t="shared" si="2"/>
        <v>2893</v>
      </c>
      <c r="H30" s="331"/>
      <c r="I30" s="330">
        <f t="shared" si="3"/>
        <v>881</v>
      </c>
      <c r="J30" s="330">
        <f t="shared" si="4"/>
        <v>881</v>
      </c>
      <c r="K30" s="135"/>
      <c r="L30" s="211"/>
    </row>
    <row r="31" spans="1:12">
      <c r="A31" s="330">
        <f>Application!B745</f>
        <v>0</v>
      </c>
      <c r="B31" s="971">
        <f>Application!G745</f>
        <v>0</v>
      </c>
      <c r="C31" s="1050"/>
      <c r="D31" s="330">
        <f>Application!O745</f>
        <v>0</v>
      </c>
      <c r="E31" s="331"/>
      <c r="F31" s="972"/>
      <c r="G31" s="330">
        <f t="shared" si="2"/>
        <v>0</v>
      </c>
      <c r="H31" s="331"/>
      <c r="I31" s="330" t="str">
        <f t="shared" si="3"/>
        <v/>
      </c>
      <c r="J31" s="330" t="str">
        <f t="shared" si="4"/>
        <v/>
      </c>
      <c r="K31" s="135"/>
      <c r="L31" s="211"/>
    </row>
    <row r="32" spans="1:12">
      <c r="A32" s="330">
        <f>Application!B746</f>
        <v>0</v>
      </c>
      <c r="B32" s="971">
        <f>Application!G746</f>
        <v>0</v>
      </c>
      <c r="C32" s="1050"/>
      <c r="D32" s="330">
        <f>Application!O746</f>
        <v>0</v>
      </c>
      <c r="E32" s="331"/>
      <c r="F32" s="972"/>
      <c r="G32" s="330">
        <f t="shared" si="2"/>
        <v>0</v>
      </c>
      <c r="H32" s="331"/>
      <c r="I32" s="330" t="str">
        <f t="shared" si="3"/>
        <v/>
      </c>
      <c r="J32" s="330" t="str">
        <f t="shared" si="4"/>
        <v/>
      </c>
      <c r="K32" s="135"/>
      <c r="L32" s="211"/>
    </row>
    <row r="33" spans="1:12">
      <c r="A33" s="330">
        <f>Application!B747</f>
        <v>0</v>
      </c>
      <c r="B33" s="971">
        <f>Application!G747</f>
        <v>0</v>
      </c>
      <c r="C33" s="1050"/>
      <c r="D33" s="330">
        <f>Application!O747</f>
        <v>0</v>
      </c>
      <c r="E33" s="331"/>
      <c r="F33" s="972"/>
      <c r="G33" s="330">
        <f t="shared" si="2"/>
        <v>0</v>
      </c>
      <c r="H33" s="331"/>
      <c r="I33" s="330" t="str">
        <f t="shared" si="3"/>
        <v/>
      </c>
      <c r="J33" s="330" t="str">
        <f t="shared" si="4"/>
        <v/>
      </c>
      <c r="K33" s="135"/>
      <c r="L33" s="211"/>
    </row>
    <row r="34" spans="1:12">
      <c r="A34" s="330">
        <f>Application!B748</f>
        <v>0</v>
      </c>
      <c r="B34" s="971">
        <f>Application!G748</f>
        <v>0</v>
      </c>
      <c r="C34" s="1050"/>
      <c r="D34" s="330">
        <f>Application!O748</f>
        <v>0</v>
      </c>
      <c r="E34" s="331"/>
      <c r="F34" s="972"/>
      <c r="G34" s="330">
        <f t="shared" si="2"/>
        <v>0</v>
      </c>
      <c r="H34" s="331"/>
      <c r="I34" s="330" t="str">
        <f t="shared" si="3"/>
        <v/>
      </c>
      <c r="J34" s="330" t="str">
        <f t="shared" si="4"/>
        <v/>
      </c>
      <c r="K34" s="135"/>
      <c r="L34" s="211"/>
    </row>
    <row r="35" spans="1:12">
      <c r="A35" s="330">
        <f>Application!B749</f>
        <v>0</v>
      </c>
      <c r="B35" s="971">
        <f>Application!G749</f>
        <v>0</v>
      </c>
      <c r="C35" s="1050"/>
      <c r="D35" s="330">
        <f>Application!O749</f>
        <v>0</v>
      </c>
      <c r="E35" s="331"/>
      <c r="F35" s="972"/>
      <c r="G35" s="330">
        <f t="shared" si="2"/>
        <v>0</v>
      </c>
      <c r="H35" s="331"/>
      <c r="I35" s="330" t="str">
        <f t="shared" si="3"/>
        <v/>
      </c>
      <c r="J35" s="330" t="str">
        <f t="shared" si="4"/>
        <v/>
      </c>
      <c r="K35" s="135"/>
      <c r="L35" s="211"/>
    </row>
    <row r="36" spans="1:12">
      <c r="A36" s="330">
        <f>Application!B750</f>
        <v>0</v>
      </c>
      <c r="B36" s="971">
        <f>Application!G750</f>
        <v>0</v>
      </c>
      <c r="C36" s="1050"/>
      <c r="D36" s="330">
        <f>Application!O750</f>
        <v>0</v>
      </c>
      <c r="E36" s="331"/>
      <c r="F36" s="972"/>
      <c r="G36" s="330">
        <f t="shared" si="2"/>
        <v>0</v>
      </c>
      <c r="H36" s="331"/>
      <c r="I36" s="330" t="str">
        <f t="shared" si="3"/>
        <v/>
      </c>
      <c r="J36" s="330" t="str">
        <f t="shared" si="4"/>
        <v/>
      </c>
      <c r="K36" s="135"/>
      <c r="L36" s="211"/>
    </row>
    <row r="37" spans="1:12">
      <c r="A37" s="330">
        <f>Application!B751</f>
        <v>0</v>
      </c>
      <c r="B37" s="971">
        <f>Application!G751</f>
        <v>0</v>
      </c>
      <c r="C37" s="1050"/>
      <c r="D37" s="330">
        <f>Application!O751</f>
        <v>0</v>
      </c>
      <c r="E37" s="331"/>
      <c r="F37" s="972"/>
      <c r="G37" s="330">
        <f t="shared" si="2"/>
        <v>0</v>
      </c>
      <c r="H37" s="331"/>
      <c r="I37" s="330" t="str">
        <f t="shared" si="3"/>
        <v/>
      </c>
      <c r="J37" s="330" t="str">
        <f t="shared" si="4"/>
        <v/>
      </c>
      <c r="K37" s="135"/>
      <c r="L37" s="211"/>
    </row>
    <row r="38" spans="1:12">
      <c r="A38" s="330">
        <f>Application!B752</f>
        <v>0</v>
      </c>
      <c r="B38" s="971">
        <f>Application!G752</f>
        <v>0</v>
      </c>
      <c r="C38" s="1050"/>
      <c r="D38" s="330">
        <f>Application!O752</f>
        <v>0</v>
      </c>
      <c r="E38" s="331"/>
      <c r="F38" s="972"/>
      <c r="G38" s="330">
        <f t="shared" si="2"/>
        <v>0</v>
      </c>
      <c r="H38" s="331"/>
      <c r="I38" s="330" t="str">
        <f>IF(F38=0,"",(F38-D38))</f>
        <v/>
      </c>
      <c r="J38" s="330" t="str">
        <f>IF(F38=0,"",(I38*B38))</f>
        <v/>
      </c>
      <c r="K38" s="135"/>
      <c r="L38" s="211"/>
    </row>
    <row r="39" spans="1:12">
      <c r="A39" s="135"/>
      <c r="B39" s="135"/>
      <c r="C39" s="135"/>
      <c r="D39" s="331"/>
      <c r="E39" s="331"/>
      <c r="F39" s="331"/>
      <c r="G39" s="331"/>
      <c r="H39" s="331"/>
      <c r="I39" s="331"/>
      <c r="J39" s="135"/>
      <c r="K39" s="135"/>
      <c r="L39" s="211"/>
    </row>
    <row r="40" spans="1:12">
      <c r="A40" s="332" t="s">
        <v>2672</v>
      </c>
      <c r="B40" s="333"/>
      <c r="C40" s="333"/>
      <c r="D40" s="334">
        <f>Application!O753</f>
        <v>114002</v>
      </c>
      <c r="E40" s="331"/>
      <c r="F40" s="331"/>
      <c r="G40" s="334">
        <f>SUM(G4:G38)*12</f>
        <v>809244</v>
      </c>
      <c r="H40" s="335"/>
      <c r="I40" s="333"/>
      <c r="J40" s="334">
        <f>SUM(J4:J38)*12</f>
        <v>541284</v>
      </c>
      <c r="K40" s="135"/>
      <c r="L40" s="212"/>
    </row>
    <row r="41" spans="1:12">
      <c r="A41" s="332"/>
      <c r="B41" s="333"/>
      <c r="C41" s="333"/>
      <c r="D41" s="335"/>
      <c r="E41" s="331"/>
      <c r="F41" s="331"/>
      <c r="G41" s="335"/>
      <c r="H41" s="335"/>
      <c r="I41" s="333"/>
      <c r="J41" s="335"/>
      <c r="K41" s="135"/>
      <c r="L41" s="212"/>
    </row>
    <row r="42" spans="1:12">
      <c r="A42" s="210" t="s">
        <v>2673</v>
      </c>
    </row>
    <row r="43" spans="1:12">
      <c r="A43" s="2616" t="s">
        <v>2674</v>
      </c>
      <c r="B43" s="2616"/>
      <c r="C43" s="2616"/>
      <c r="D43" s="2616"/>
      <c r="E43" s="2616"/>
      <c r="F43" s="2616"/>
      <c r="G43" s="2616"/>
      <c r="H43" s="2616"/>
      <c r="I43" s="2616"/>
      <c r="J43" s="2616"/>
    </row>
    <row r="44" spans="1:12">
      <c r="A44" s="2616"/>
      <c r="B44" s="2616"/>
      <c r="C44" s="2616"/>
      <c r="D44" s="2616"/>
      <c r="E44" s="2616"/>
      <c r="F44" s="2616"/>
      <c r="G44" s="2616"/>
      <c r="H44" s="2616"/>
      <c r="I44" s="2616"/>
      <c r="J44" s="2616"/>
    </row>
    <row r="45" spans="1:12">
      <c r="A45" s="2616" t="s">
        <v>2675</v>
      </c>
      <c r="B45" s="2616"/>
      <c r="C45" s="2616"/>
      <c r="D45" s="2616"/>
      <c r="E45" s="2616"/>
      <c r="F45" s="2616"/>
      <c r="G45" s="2616"/>
      <c r="H45" s="2616"/>
      <c r="I45" s="2616"/>
      <c r="J45" s="2616"/>
    </row>
    <row r="46" spans="1:12">
      <c r="A46" s="2616"/>
      <c r="B46" s="2616"/>
      <c r="C46" s="2616"/>
      <c r="D46" s="2616"/>
      <c r="E46" s="2616"/>
      <c r="F46" s="2616"/>
      <c r="G46" s="2616"/>
      <c r="H46" s="2616"/>
      <c r="I46" s="2616"/>
      <c r="J46" s="2616"/>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XFD78"/>
  <sheetViews>
    <sheetView workbookViewId="0">
      <selection activeCell="I56" sqref="I56"/>
    </sheetView>
  </sheetViews>
  <sheetFormatPr defaultColWidth="0" defaultRowHeight="12.5" zeroHeight="1"/>
  <cols>
    <col min="1" max="1" width="3.6328125" customWidth="1"/>
    <col min="2" max="2" width="30.453125" customWidth="1"/>
    <col min="3" max="3" width="9.1796875" style="142" customWidth="1"/>
    <col min="4" max="4" width="2.6328125" customWidth="1"/>
    <col min="5" max="19" width="12.6328125" customWidth="1"/>
    <col min="20" max="35" width="0" hidden="1" customWidth="1"/>
    <col min="36" max="16384" width="8.81640625" hidden="1"/>
  </cols>
  <sheetData>
    <row r="1" spans="1:19" ht="18">
      <c r="A1" s="140" t="s">
        <v>2676</v>
      </c>
      <c r="B1" s="140"/>
    </row>
    <row r="2" spans="1:19"/>
    <row r="3" spans="1:19" ht="15.5">
      <c r="A3" s="141" t="s">
        <v>2677</v>
      </c>
      <c r="B3" s="141"/>
      <c r="C3" s="162" t="s">
        <v>2678</v>
      </c>
      <c r="D3" s="12"/>
      <c r="E3" s="163" t="s">
        <v>2679</v>
      </c>
      <c r="F3" s="163" t="s">
        <v>2680</v>
      </c>
      <c r="G3" s="163" t="s">
        <v>2681</v>
      </c>
      <c r="H3" s="163" t="s">
        <v>2682</v>
      </c>
      <c r="I3" s="163" t="s">
        <v>2683</v>
      </c>
      <c r="J3" s="163" t="s">
        <v>2684</v>
      </c>
      <c r="K3" s="163" t="s">
        <v>2685</v>
      </c>
      <c r="L3" s="163" t="s">
        <v>2686</v>
      </c>
      <c r="M3" s="163" t="s">
        <v>2687</v>
      </c>
      <c r="N3" s="163" t="s">
        <v>2688</v>
      </c>
      <c r="O3" s="163" t="s">
        <v>2689</v>
      </c>
      <c r="P3" s="163" t="s">
        <v>2690</v>
      </c>
      <c r="Q3" s="163" t="s">
        <v>2691</v>
      </c>
      <c r="R3" s="163" t="s">
        <v>2692</v>
      </c>
      <c r="S3" s="163" t="s">
        <v>2693</v>
      </c>
    </row>
    <row r="4" spans="1:19" s="147" customFormat="1" ht="14">
      <c r="A4" s="147" t="s">
        <v>2694</v>
      </c>
      <c r="C4" s="1217">
        <v>1.0249999999999999</v>
      </c>
      <c r="E4" s="147">
        <f>Application!Y801</f>
        <v>1368024</v>
      </c>
      <c r="F4" s="147">
        <f t="shared" ref="F4:S4" si="0">E4*$C$4</f>
        <v>1402224.5999999999</v>
      </c>
      <c r="G4" s="147">
        <f t="shared" si="0"/>
        <v>1437280.2149999996</v>
      </c>
      <c r="H4" s="147">
        <f t="shared" si="0"/>
        <v>1473212.2203749996</v>
      </c>
      <c r="I4" s="147">
        <f t="shared" si="0"/>
        <v>1510042.5258843745</v>
      </c>
      <c r="J4" s="147">
        <f t="shared" si="0"/>
        <v>1547793.5890314837</v>
      </c>
      <c r="K4" s="147">
        <f t="shared" si="0"/>
        <v>1586488.4287572708</v>
      </c>
      <c r="L4" s="147">
        <f t="shared" si="0"/>
        <v>1626150.6394762024</v>
      </c>
      <c r="M4" s="147">
        <f t="shared" si="0"/>
        <v>1666804.4054631074</v>
      </c>
      <c r="N4" s="147">
        <f t="shared" si="0"/>
        <v>1708474.515599685</v>
      </c>
      <c r="O4" s="147">
        <f t="shared" si="0"/>
        <v>1751186.3784896771</v>
      </c>
      <c r="P4" s="147">
        <f t="shared" si="0"/>
        <v>1794966.0379519188</v>
      </c>
      <c r="Q4" s="147">
        <f t="shared" si="0"/>
        <v>1839840.1889007166</v>
      </c>
      <c r="R4" s="147">
        <f t="shared" si="0"/>
        <v>1885836.1936232343</v>
      </c>
      <c r="S4" s="147">
        <f t="shared" si="0"/>
        <v>1932982.0984638149</v>
      </c>
    </row>
    <row r="5" spans="1:19" s="139" customFormat="1" ht="14">
      <c r="B5" s="139" t="s">
        <v>2262</v>
      </c>
      <c r="C5" s="1218">
        <v>5.4487179487180001E-2</v>
      </c>
      <c r="E5" s="149">
        <f t="shared" ref="E5:S5" si="1">-E4*$C$5</f>
        <v>-74539.769230769933</v>
      </c>
      <c r="F5" s="149">
        <f t="shared" si="1"/>
        <v>-76403.263461539173</v>
      </c>
      <c r="G5" s="149">
        <f t="shared" si="1"/>
        <v>-78313.345048077637</v>
      </c>
      <c r="H5" s="149">
        <f t="shared" si="1"/>
        <v>-80271.178674279581</v>
      </c>
      <c r="I5" s="149">
        <f t="shared" si="1"/>
        <v>-82277.958141136565</v>
      </c>
      <c r="J5" s="149">
        <f t="shared" si="1"/>
        <v>-84334.907094664974</v>
      </c>
      <c r="K5" s="149">
        <f t="shared" si="1"/>
        <v>-86443.279772031601</v>
      </c>
      <c r="L5" s="149">
        <f t="shared" si="1"/>
        <v>-88604.361766332382</v>
      </c>
      <c r="M5" s="149">
        <f t="shared" si="1"/>
        <v>-90819.470810490689</v>
      </c>
      <c r="N5" s="149">
        <f t="shared" si="1"/>
        <v>-93089.957580752947</v>
      </c>
      <c r="O5" s="149">
        <f t="shared" si="1"/>
        <v>-95417.206520271764</v>
      </c>
      <c r="P5" s="149">
        <f t="shared" si="1"/>
        <v>-97802.636683278542</v>
      </c>
      <c r="Q5" s="149">
        <f t="shared" si="1"/>
        <v>-100247.7026003605</v>
      </c>
      <c r="R5" s="149">
        <f t="shared" si="1"/>
        <v>-102753.89516536951</v>
      </c>
      <c r="S5" s="149">
        <f t="shared" si="1"/>
        <v>-105322.74254450374</v>
      </c>
    </row>
    <row r="6" spans="1:19" s="139" customFormat="1" ht="14">
      <c r="A6" s="139" t="s">
        <v>2695</v>
      </c>
      <c r="C6" s="1217">
        <v>1.0249999999999999</v>
      </c>
      <c r="E6" s="150">
        <f>Application!Z809</f>
        <v>541284</v>
      </c>
      <c r="F6" s="150">
        <f t="shared" ref="F6:S6" si="2">E6*$C$6</f>
        <v>554816.1</v>
      </c>
      <c r="G6" s="150">
        <f t="shared" si="2"/>
        <v>568686.50249999994</v>
      </c>
      <c r="H6" s="150">
        <f t="shared" si="2"/>
        <v>582903.66506249993</v>
      </c>
      <c r="I6" s="150">
        <f t="shared" si="2"/>
        <v>597476.25668906234</v>
      </c>
      <c r="J6" s="150">
        <f t="shared" si="2"/>
        <v>612413.16310628888</v>
      </c>
      <c r="K6" s="150">
        <f t="shared" si="2"/>
        <v>627723.49218394607</v>
      </c>
      <c r="L6" s="150">
        <f t="shared" si="2"/>
        <v>643416.57948854472</v>
      </c>
      <c r="M6" s="150">
        <f t="shared" si="2"/>
        <v>659501.99397575832</v>
      </c>
      <c r="N6" s="150">
        <f t="shared" si="2"/>
        <v>675989.54382515221</v>
      </c>
      <c r="O6" s="150">
        <f t="shared" si="2"/>
        <v>692889.28242078098</v>
      </c>
      <c r="P6" s="150">
        <f t="shared" si="2"/>
        <v>710211.51448130049</v>
      </c>
      <c r="Q6" s="150">
        <f t="shared" si="2"/>
        <v>727966.80234333291</v>
      </c>
      <c r="R6" s="150">
        <f t="shared" si="2"/>
        <v>746165.97240191617</v>
      </c>
      <c r="S6" s="150">
        <f t="shared" si="2"/>
        <v>764820.12171196402</v>
      </c>
    </row>
    <row r="7" spans="1:19" s="139" customFormat="1" ht="14">
      <c r="B7" s="139" t="s">
        <v>2262</v>
      </c>
      <c r="C7" s="1218">
        <f>+C5</f>
        <v>5.4487179487180001E-2</v>
      </c>
      <c r="E7" s="149">
        <f t="shared" ref="E7:S7" si="3">-E6*$C$7</f>
        <v>-29493.038461538741</v>
      </c>
      <c r="F7" s="149">
        <f t="shared" si="3"/>
        <v>-30230.364423077208</v>
      </c>
      <c r="G7" s="149">
        <f t="shared" si="3"/>
        <v>-30986.123533654136</v>
      </c>
      <c r="H7" s="149">
        <f t="shared" si="3"/>
        <v>-31760.776621995486</v>
      </c>
      <c r="I7" s="149">
        <f t="shared" si="3"/>
        <v>-32554.796037545369</v>
      </c>
      <c r="J7" s="149">
        <f t="shared" si="3"/>
        <v>-33368.665938484002</v>
      </c>
      <c r="K7" s="149">
        <f t="shared" si="3"/>
        <v>-34202.8825869461</v>
      </c>
      <c r="L7" s="149">
        <f t="shared" si="3"/>
        <v>-35057.954651619752</v>
      </c>
      <c r="M7" s="149">
        <f t="shared" si="3"/>
        <v>-35934.40351791025</v>
      </c>
      <c r="N7" s="149">
        <f t="shared" si="3"/>
        <v>-36832.763605858003</v>
      </c>
      <c r="O7" s="149">
        <f t="shared" si="3"/>
        <v>-37753.582696004451</v>
      </c>
      <c r="P7" s="149">
        <f t="shared" si="3"/>
        <v>-38697.422263404558</v>
      </c>
      <c r="Q7" s="149">
        <f t="shared" si="3"/>
        <v>-39664.857819989666</v>
      </c>
      <c r="R7" s="149">
        <f t="shared" si="3"/>
        <v>-40656.479265489404</v>
      </c>
      <c r="S7" s="149">
        <f t="shared" si="3"/>
        <v>-41672.891247126638</v>
      </c>
    </row>
    <row r="8" spans="1:19" s="139" customFormat="1" ht="14">
      <c r="A8" s="139" t="s">
        <v>215</v>
      </c>
      <c r="C8" s="1217">
        <v>1.0249999999999999</v>
      </c>
      <c r="E8" s="150">
        <f>Application!Z817</f>
        <v>18498</v>
      </c>
      <c r="F8" s="150">
        <f t="shared" ref="F8:S8" si="4">E8*$C$8</f>
        <v>18960.449999999997</v>
      </c>
      <c r="G8" s="150">
        <f t="shared" si="4"/>
        <v>19434.461249999997</v>
      </c>
      <c r="H8" s="150">
        <f t="shared" si="4"/>
        <v>19920.322781249994</v>
      </c>
      <c r="I8" s="150">
        <f t="shared" si="4"/>
        <v>20418.33085078124</v>
      </c>
      <c r="J8" s="150">
        <f t="shared" si="4"/>
        <v>20928.78912205077</v>
      </c>
      <c r="K8" s="150">
        <f t="shared" si="4"/>
        <v>21452.008850102036</v>
      </c>
      <c r="L8" s="150">
        <f t="shared" si="4"/>
        <v>21988.309071354586</v>
      </c>
      <c r="M8" s="150">
        <f t="shared" si="4"/>
        <v>22538.016798138447</v>
      </c>
      <c r="N8" s="150">
        <f t="shared" si="4"/>
        <v>23101.467218091908</v>
      </c>
      <c r="O8" s="150">
        <f t="shared" si="4"/>
        <v>23679.003898544204</v>
      </c>
      <c r="P8" s="150">
        <f t="shared" si="4"/>
        <v>24270.978996007809</v>
      </c>
      <c r="Q8" s="150">
        <f t="shared" si="4"/>
        <v>24877.753470908003</v>
      </c>
      <c r="R8" s="150">
        <f t="shared" si="4"/>
        <v>25499.697307680701</v>
      </c>
      <c r="S8" s="150">
        <f t="shared" si="4"/>
        <v>26137.189740372716</v>
      </c>
    </row>
    <row r="9" spans="1:19" s="139" customFormat="1" ht="14">
      <c r="B9" s="139" t="s">
        <v>2262</v>
      </c>
      <c r="C9" s="1218">
        <f>+C7</f>
        <v>5.4487179487180001E-2</v>
      </c>
      <c r="E9" s="149">
        <f t="shared" ref="E9:S9" si="5">-E8*$C$9</f>
        <v>-1007.9038461538556</v>
      </c>
      <c r="F9" s="149">
        <f t="shared" si="5"/>
        <v>-1033.101442307702</v>
      </c>
      <c r="G9" s="149">
        <f t="shared" si="5"/>
        <v>-1058.9289783653944</v>
      </c>
      <c r="H9" s="149">
        <f t="shared" si="5"/>
        <v>-1085.402202824529</v>
      </c>
      <c r="I9" s="149">
        <f t="shared" si="5"/>
        <v>-1112.5372578951421</v>
      </c>
      <c r="J9" s="149">
        <f t="shared" si="5"/>
        <v>-1140.3506893425206</v>
      </c>
      <c r="K9" s="149">
        <f t="shared" si="5"/>
        <v>-1168.8594565760836</v>
      </c>
      <c r="L9" s="149">
        <f t="shared" si="5"/>
        <v>-1198.0809429904855</v>
      </c>
      <c r="M9" s="149">
        <f t="shared" si="5"/>
        <v>-1228.0329665652475</v>
      </c>
      <c r="N9" s="149">
        <f t="shared" si="5"/>
        <v>-1258.7337907293786</v>
      </c>
      <c r="O9" s="149">
        <f t="shared" si="5"/>
        <v>-1290.202135497613</v>
      </c>
      <c r="P9" s="149">
        <f t="shared" si="5"/>
        <v>-1322.4571888850533</v>
      </c>
      <c r="Q9" s="149">
        <f t="shared" si="5"/>
        <v>-1355.5186186071796</v>
      </c>
      <c r="R9" s="149">
        <f t="shared" si="5"/>
        <v>-1389.406584072359</v>
      </c>
      <c r="S9" s="149">
        <f t="shared" si="5"/>
        <v>-1424.141748674168</v>
      </c>
    </row>
    <row r="10" spans="1:19" s="139" customFormat="1" ht="14">
      <c r="A10" s="1031" t="s">
        <v>2696</v>
      </c>
      <c r="B10" s="1031"/>
      <c r="C10" s="1218"/>
      <c r="E10" s="1032"/>
      <c r="F10" s="1032"/>
      <c r="G10" s="1032"/>
      <c r="H10" s="1032"/>
      <c r="I10" s="1032"/>
      <c r="J10" s="1032"/>
      <c r="K10" s="1032"/>
      <c r="L10" s="1032"/>
      <c r="M10" s="1032"/>
      <c r="N10" s="1032"/>
      <c r="O10" s="1032"/>
      <c r="P10" s="1032"/>
      <c r="Q10" s="1032"/>
      <c r="R10" s="1032"/>
      <c r="S10" s="1032"/>
    </row>
    <row r="11" spans="1:19" s="151" customFormat="1" ht="14">
      <c r="A11" s="151" t="s">
        <v>2697</v>
      </c>
      <c r="C11" s="144"/>
      <c r="E11" s="151">
        <f t="shared" ref="E11:S11" si="6">SUM(E4:E10)</f>
        <v>1822765.2884615376</v>
      </c>
      <c r="F11" s="151">
        <f t="shared" si="6"/>
        <v>1868334.4206730756</v>
      </c>
      <c r="G11" s="151">
        <f t="shared" si="6"/>
        <v>1915042.7811899025</v>
      </c>
      <c r="H11" s="151">
        <f t="shared" si="6"/>
        <v>1962918.8507196498</v>
      </c>
      <c r="I11" s="151">
        <f t="shared" si="6"/>
        <v>2011991.821987641</v>
      </c>
      <c r="J11" s="151">
        <f t="shared" si="6"/>
        <v>2062291.6175373322</v>
      </c>
      <c r="K11" s="151">
        <f t="shared" si="6"/>
        <v>2113848.9079757654</v>
      </c>
      <c r="L11" s="151">
        <f t="shared" si="6"/>
        <v>2166695.1306751594</v>
      </c>
      <c r="M11" s="151">
        <f t="shared" si="6"/>
        <v>2220862.5089420378</v>
      </c>
      <c r="N11" s="151">
        <f t="shared" si="6"/>
        <v>2276384.0716655888</v>
      </c>
      <c r="O11" s="151">
        <f t="shared" si="6"/>
        <v>2333293.6734572286</v>
      </c>
      <c r="P11" s="151">
        <f t="shared" si="6"/>
        <v>2391626.0152936592</v>
      </c>
      <c r="Q11" s="151">
        <f t="shared" si="6"/>
        <v>2451416.6656760001</v>
      </c>
      <c r="R11" s="151">
        <f t="shared" si="6"/>
        <v>2512702.0823178994</v>
      </c>
      <c r="S11" s="151">
        <f t="shared" si="6"/>
        <v>2575519.6343758474</v>
      </c>
    </row>
    <row r="12" spans="1:19">
      <c r="C12" s="854"/>
      <c r="E12" s="143"/>
      <c r="F12" s="143"/>
      <c r="G12" s="143"/>
      <c r="H12" s="143"/>
      <c r="I12" s="143"/>
      <c r="J12" s="143"/>
      <c r="K12" s="143"/>
      <c r="L12" s="143"/>
      <c r="M12" s="143"/>
      <c r="N12" s="143"/>
      <c r="O12" s="143"/>
      <c r="P12" s="143"/>
      <c r="Q12" s="143"/>
      <c r="R12" s="143"/>
      <c r="S12" s="143"/>
    </row>
    <row r="13" spans="1:19" ht="15.5">
      <c r="A13" s="141" t="s">
        <v>2698</v>
      </c>
      <c r="C13" s="854"/>
      <c r="E13" s="143"/>
      <c r="F13" s="143"/>
      <c r="G13" s="143"/>
      <c r="H13" s="143"/>
      <c r="I13" s="143"/>
      <c r="J13" s="143"/>
      <c r="K13" s="143"/>
      <c r="L13" s="143"/>
      <c r="M13" s="143"/>
      <c r="N13" s="143"/>
      <c r="O13" s="143"/>
      <c r="P13" s="143"/>
      <c r="Q13" s="143"/>
      <c r="R13" s="143"/>
      <c r="S13" s="143"/>
    </row>
    <row r="14" spans="1:19" s="139" customFormat="1" ht="14">
      <c r="A14" s="139" t="s">
        <v>2699</v>
      </c>
      <c r="C14" s="1217">
        <v>1.0349999999999999</v>
      </c>
      <c r="E14" s="150"/>
      <c r="F14" s="150"/>
      <c r="G14" s="150"/>
      <c r="H14" s="150"/>
      <c r="I14" s="150"/>
      <c r="J14" s="150"/>
      <c r="K14" s="150"/>
      <c r="L14" s="150"/>
      <c r="M14" s="150"/>
      <c r="N14" s="150"/>
      <c r="O14" s="150"/>
      <c r="P14" s="150"/>
      <c r="Q14" s="150"/>
      <c r="R14" s="150"/>
      <c r="S14" s="150"/>
    </row>
    <row r="15" spans="1:19" s="147" customFormat="1" ht="14">
      <c r="A15" s="147" t="s">
        <v>2700</v>
      </c>
      <c r="C15" s="862"/>
      <c r="E15" s="147">
        <f>Application!W847</f>
        <v>115088</v>
      </c>
      <c r="F15" s="147">
        <f t="shared" ref="F15:S15" si="7">E15*$C$14</f>
        <v>119116.07999999999</v>
      </c>
      <c r="G15" s="147">
        <f t="shared" si="7"/>
        <v>123285.14279999997</v>
      </c>
      <c r="H15" s="147">
        <f t="shared" si="7"/>
        <v>127600.12279799997</v>
      </c>
      <c r="I15" s="147">
        <f t="shared" si="7"/>
        <v>132066.12709592996</v>
      </c>
      <c r="J15" s="147">
        <f t="shared" si="7"/>
        <v>136688.44154428749</v>
      </c>
      <c r="K15" s="147">
        <f t="shared" si="7"/>
        <v>141472.53699833754</v>
      </c>
      <c r="L15" s="147">
        <f t="shared" si="7"/>
        <v>146424.07579327933</v>
      </c>
      <c r="M15" s="147">
        <f t="shared" si="7"/>
        <v>151548.91844604409</v>
      </c>
      <c r="N15" s="147">
        <f t="shared" si="7"/>
        <v>156853.13059165562</v>
      </c>
      <c r="O15" s="147">
        <f t="shared" si="7"/>
        <v>162342.99016236354</v>
      </c>
      <c r="P15" s="147">
        <f t="shared" si="7"/>
        <v>168024.99481804625</v>
      </c>
      <c r="Q15" s="147">
        <f t="shared" si="7"/>
        <v>173905.86963667785</v>
      </c>
      <c r="R15" s="147">
        <f t="shared" si="7"/>
        <v>179992.57507396155</v>
      </c>
      <c r="S15" s="147">
        <f t="shared" si="7"/>
        <v>186292.3152015502</v>
      </c>
    </row>
    <row r="16" spans="1:19" s="139" customFormat="1" ht="14">
      <c r="A16" s="139" t="s">
        <v>1553</v>
      </c>
      <c r="C16" s="854"/>
      <c r="E16" s="150">
        <f>Application!W849</f>
        <v>76788</v>
      </c>
      <c r="F16" s="150">
        <f t="shared" ref="F16:F21" si="8">E16*$C$14</f>
        <v>79475.579999999987</v>
      </c>
      <c r="G16" s="150">
        <f t="shared" ref="G16:S16" si="9">F16*$C$14</f>
        <v>82257.225299999976</v>
      </c>
      <c r="H16" s="150">
        <f t="shared" si="9"/>
        <v>85136.228185499975</v>
      </c>
      <c r="I16" s="150">
        <f t="shared" si="9"/>
        <v>88115.996171992461</v>
      </c>
      <c r="J16" s="150">
        <f t="shared" si="9"/>
        <v>91200.05603801219</v>
      </c>
      <c r="K16" s="150">
        <f t="shared" si="9"/>
        <v>94392.057999342607</v>
      </c>
      <c r="L16" s="150">
        <f t="shared" si="9"/>
        <v>97695.780029319591</v>
      </c>
      <c r="M16" s="150">
        <f t="shared" si="9"/>
        <v>101115.13233034576</v>
      </c>
      <c r="N16" s="150">
        <f t="shared" si="9"/>
        <v>104654.16196190786</v>
      </c>
      <c r="O16" s="150">
        <f t="shared" si="9"/>
        <v>108317.05763057462</v>
      </c>
      <c r="P16" s="150">
        <f t="shared" si="9"/>
        <v>112108.15464764473</v>
      </c>
      <c r="Q16" s="150">
        <f t="shared" si="9"/>
        <v>116031.94006031228</v>
      </c>
      <c r="R16" s="150">
        <f t="shared" si="9"/>
        <v>120093.05796242321</v>
      </c>
      <c r="S16" s="150">
        <f t="shared" si="9"/>
        <v>124296.31499110801</v>
      </c>
    </row>
    <row r="17" spans="1:19" s="139" customFormat="1" ht="14">
      <c r="A17" s="139" t="s">
        <v>230</v>
      </c>
      <c r="C17" s="854"/>
      <c r="E17" s="150">
        <f>Application!W855</f>
        <v>129661</v>
      </c>
      <c r="F17" s="150">
        <f t="shared" si="8"/>
        <v>134199.13499999998</v>
      </c>
      <c r="G17" s="150">
        <f t="shared" ref="G17:S17" si="10">F17*$C$14</f>
        <v>138896.10472499998</v>
      </c>
      <c r="H17" s="150">
        <f t="shared" si="10"/>
        <v>143757.46839037497</v>
      </c>
      <c r="I17" s="150">
        <f t="shared" si="10"/>
        <v>148788.97978403809</v>
      </c>
      <c r="J17" s="150">
        <f t="shared" si="10"/>
        <v>153996.59407647941</v>
      </c>
      <c r="K17" s="150">
        <f t="shared" si="10"/>
        <v>159386.47486915617</v>
      </c>
      <c r="L17" s="150">
        <f t="shared" si="10"/>
        <v>164965.00148957662</v>
      </c>
      <c r="M17" s="150">
        <f t="shared" si="10"/>
        <v>170738.77654171179</v>
      </c>
      <c r="N17" s="150">
        <f t="shared" si="10"/>
        <v>176714.6337206717</v>
      </c>
      <c r="O17" s="150">
        <f t="shared" si="10"/>
        <v>182899.64590089521</v>
      </c>
      <c r="P17" s="150">
        <f t="shared" si="10"/>
        <v>189301.13350742654</v>
      </c>
      <c r="Q17" s="150">
        <f t="shared" si="10"/>
        <v>195926.67318018645</v>
      </c>
      <c r="R17" s="150">
        <f t="shared" si="10"/>
        <v>202784.10674149296</v>
      </c>
      <c r="S17" s="150">
        <f t="shared" si="10"/>
        <v>209881.55047744518</v>
      </c>
    </row>
    <row r="18" spans="1:19" s="139" customFormat="1" ht="14">
      <c r="A18" s="139" t="s">
        <v>2701</v>
      </c>
      <c r="C18" s="854"/>
      <c r="E18" s="150">
        <f>Application!W862</f>
        <v>243451</v>
      </c>
      <c r="F18" s="150">
        <f t="shared" si="8"/>
        <v>251971.78499999997</v>
      </c>
      <c r="G18" s="150">
        <f t="shared" ref="G18:S18" si="11">F18*$C$14</f>
        <v>260790.79747499994</v>
      </c>
      <c r="H18" s="150">
        <f t="shared" si="11"/>
        <v>269918.47538662492</v>
      </c>
      <c r="I18" s="150">
        <f t="shared" si="11"/>
        <v>279365.6220251568</v>
      </c>
      <c r="J18" s="150">
        <f t="shared" si="11"/>
        <v>289143.41879603727</v>
      </c>
      <c r="K18" s="150">
        <f t="shared" si="11"/>
        <v>299263.43845389853</v>
      </c>
      <c r="L18" s="150">
        <f t="shared" si="11"/>
        <v>309737.65879978496</v>
      </c>
      <c r="M18" s="150">
        <f t="shared" si="11"/>
        <v>320578.47685777739</v>
      </c>
      <c r="N18" s="150">
        <f t="shared" si="11"/>
        <v>331798.72354779957</v>
      </c>
      <c r="O18" s="150">
        <f t="shared" si="11"/>
        <v>343411.67887197254</v>
      </c>
      <c r="P18" s="150">
        <f t="shared" si="11"/>
        <v>355431.08763249154</v>
      </c>
      <c r="Q18" s="150">
        <f t="shared" si="11"/>
        <v>367871.17569962871</v>
      </c>
      <c r="R18" s="150">
        <f t="shared" si="11"/>
        <v>380746.66684911569</v>
      </c>
      <c r="S18" s="150">
        <f t="shared" si="11"/>
        <v>394072.80018883472</v>
      </c>
    </row>
    <row r="19" spans="1:19" s="139" customFormat="1" ht="14">
      <c r="A19" s="139" t="s">
        <v>1798</v>
      </c>
      <c r="C19" s="854"/>
      <c r="E19" s="150">
        <f>Application!W863</f>
        <v>242927</v>
      </c>
      <c r="F19" s="150">
        <f t="shared" si="8"/>
        <v>251429.44499999998</v>
      </c>
      <c r="G19" s="150">
        <f t="shared" ref="G19:S19" si="12">F19*$C$14</f>
        <v>260229.47557499996</v>
      </c>
      <c r="H19" s="150">
        <f t="shared" si="12"/>
        <v>269337.50722012494</v>
      </c>
      <c r="I19" s="150">
        <f t="shared" si="12"/>
        <v>278764.31997282931</v>
      </c>
      <c r="J19" s="150">
        <f t="shared" si="12"/>
        <v>288521.07117187831</v>
      </c>
      <c r="K19" s="150">
        <f t="shared" si="12"/>
        <v>298619.30866289401</v>
      </c>
      <c r="L19" s="150">
        <f t="shared" si="12"/>
        <v>309070.98446609528</v>
      </c>
      <c r="M19" s="150">
        <f t="shared" si="12"/>
        <v>319888.46892240859</v>
      </c>
      <c r="N19" s="150">
        <f t="shared" si="12"/>
        <v>331084.56533469289</v>
      </c>
      <c r="O19" s="150">
        <f t="shared" si="12"/>
        <v>342672.52512140712</v>
      </c>
      <c r="P19" s="150">
        <f t="shared" si="12"/>
        <v>354666.06350065634</v>
      </c>
      <c r="Q19" s="150">
        <f t="shared" si="12"/>
        <v>367079.37572317926</v>
      </c>
      <c r="R19" s="150">
        <f t="shared" si="12"/>
        <v>379927.15387349052</v>
      </c>
      <c r="S19" s="150">
        <f t="shared" si="12"/>
        <v>393224.60425906267</v>
      </c>
    </row>
    <row r="20" spans="1:19" s="139" customFormat="1" ht="14">
      <c r="A20" s="139" t="s">
        <v>232</v>
      </c>
      <c r="C20" s="854"/>
      <c r="E20" s="150">
        <f>Application!W872</f>
        <v>148443</v>
      </c>
      <c r="F20" s="150">
        <f t="shared" si="8"/>
        <v>153638.50499999998</v>
      </c>
      <c r="G20" s="150">
        <f t="shared" ref="G20:S20" si="13">F20*$C$14</f>
        <v>159015.85267499997</v>
      </c>
      <c r="H20" s="150">
        <f t="shared" si="13"/>
        <v>164581.40751862497</v>
      </c>
      <c r="I20" s="150">
        <f t="shared" si="13"/>
        <v>170341.75678177684</v>
      </c>
      <c r="J20" s="150">
        <f t="shared" si="13"/>
        <v>176303.71826913903</v>
      </c>
      <c r="K20" s="150">
        <f t="shared" si="13"/>
        <v>182474.34840855887</v>
      </c>
      <c r="L20" s="150">
        <f t="shared" si="13"/>
        <v>188860.95060285841</v>
      </c>
      <c r="M20" s="150">
        <f t="shared" si="13"/>
        <v>195471.08387395844</v>
      </c>
      <c r="N20" s="150">
        <f t="shared" si="13"/>
        <v>202312.57180954696</v>
      </c>
      <c r="O20" s="150">
        <f t="shared" si="13"/>
        <v>209393.51182288109</v>
      </c>
      <c r="P20" s="150">
        <f t="shared" si="13"/>
        <v>216722.2847366819</v>
      </c>
      <c r="Q20" s="150">
        <f t="shared" si="13"/>
        <v>224307.56470246575</v>
      </c>
      <c r="R20" s="150">
        <f t="shared" si="13"/>
        <v>232158.32946705204</v>
      </c>
      <c r="S20" s="150">
        <f t="shared" si="13"/>
        <v>240283.87099839884</v>
      </c>
    </row>
    <row r="21" spans="1:19" s="139" customFormat="1" ht="14">
      <c r="A21" s="154" t="s">
        <v>2702</v>
      </c>
      <c r="B21" s="154"/>
      <c r="C21" s="854"/>
      <c r="E21" s="160">
        <f>Application!W879</f>
        <v>1592</v>
      </c>
      <c r="F21" s="160">
        <f t="shared" si="8"/>
        <v>1647.7199999999998</v>
      </c>
      <c r="G21" s="160">
        <f t="shared" ref="G21:S21" si="14">F21*$C$14</f>
        <v>1705.3901999999996</v>
      </c>
      <c r="H21" s="160">
        <f t="shared" si="14"/>
        <v>1765.0788569999995</v>
      </c>
      <c r="I21" s="160">
        <f t="shared" si="14"/>
        <v>1826.8566169949993</v>
      </c>
      <c r="J21" s="160">
        <f t="shared" si="14"/>
        <v>1890.796598589824</v>
      </c>
      <c r="K21" s="160">
        <f t="shared" si="14"/>
        <v>1956.9744795404677</v>
      </c>
      <c r="L21" s="160">
        <f t="shared" si="14"/>
        <v>2025.468586324384</v>
      </c>
      <c r="M21" s="160">
        <f t="shared" si="14"/>
        <v>2096.3599868457372</v>
      </c>
      <c r="N21" s="160">
        <f t="shared" si="14"/>
        <v>2169.732586385338</v>
      </c>
      <c r="O21" s="160">
        <f t="shared" si="14"/>
        <v>2245.6732269088247</v>
      </c>
      <c r="P21" s="160">
        <f t="shared" si="14"/>
        <v>2324.2717898506335</v>
      </c>
      <c r="Q21" s="160">
        <f t="shared" si="14"/>
        <v>2405.6213024954054</v>
      </c>
      <c r="R21" s="160">
        <f t="shared" si="14"/>
        <v>2489.8180480827446</v>
      </c>
      <c r="S21" s="160">
        <f t="shared" si="14"/>
        <v>2576.9616797656404</v>
      </c>
    </row>
    <row r="22" spans="1:19" s="151" customFormat="1" ht="14">
      <c r="A22" s="151" t="s">
        <v>2703</v>
      </c>
      <c r="C22" s="854"/>
      <c r="E22" s="151">
        <f t="shared" ref="E22:S22" si="15">SUM(E15:E21)</f>
        <v>957950</v>
      </c>
      <c r="F22" s="151">
        <f t="shared" si="15"/>
        <v>991478.24999999977</v>
      </c>
      <c r="G22" s="151">
        <f t="shared" si="15"/>
        <v>1026179.9887499998</v>
      </c>
      <c r="H22" s="151">
        <f t="shared" si="15"/>
        <v>1062096.2883562497</v>
      </c>
      <c r="I22" s="151">
        <f t="shared" si="15"/>
        <v>1099269.6584487185</v>
      </c>
      <c r="J22" s="151">
        <f t="shared" si="15"/>
        <v>1137744.0964944235</v>
      </c>
      <c r="K22" s="151">
        <f t="shared" si="15"/>
        <v>1177565.1398717281</v>
      </c>
      <c r="L22" s="151">
        <f t="shared" si="15"/>
        <v>1218779.9197672387</v>
      </c>
      <c r="M22" s="151">
        <f t="shared" si="15"/>
        <v>1261437.2169590916</v>
      </c>
      <c r="N22" s="151">
        <f t="shared" si="15"/>
        <v>1305587.5195526602</v>
      </c>
      <c r="O22" s="151">
        <f t="shared" si="15"/>
        <v>1351283.082737003</v>
      </c>
      <c r="P22" s="151">
        <f t="shared" si="15"/>
        <v>1398577.9906327981</v>
      </c>
      <c r="Q22" s="151">
        <f t="shared" si="15"/>
        <v>1447528.2203049457</v>
      </c>
      <c r="R22" s="151">
        <f t="shared" si="15"/>
        <v>1498191.7080156188</v>
      </c>
      <c r="S22" s="151">
        <f t="shared" si="15"/>
        <v>1550628.4177961654</v>
      </c>
    </row>
    <row r="23" spans="1:19" s="139" customFormat="1" ht="14">
      <c r="C23" s="854"/>
      <c r="E23" s="150"/>
      <c r="F23" s="150"/>
      <c r="G23" s="150"/>
      <c r="H23" s="150"/>
      <c r="I23" s="150"/>
      <c r="J23" s="150"/>
      <c r="K23" s="150"/>
      <c r="L23" s="150"/>
      <c r="M23" s="150"/>
      <c r="N23" s="150"/>
      <c r="O23" s="150"/>
      <c r="P23" s="150"/>
      <c r="Q23" s="150"/>
      <c r="R23" s="150"/>
      <c r="S23" s="150"/>
    </row>
    <row r="24" spans="1:19" s="139" customFormat="1" ht="14">
      <c r="A24" s="139" t="s">
        <v>2704</v>
      </c>
      <c r="C24" s="854"/>
      <c r="E24" s="805"/>
      <c r="F24" s="150">
        <f t="shared" ref="F24:S24" si="16">E24*$C$24</f>
        <v>0</v>
      </c>
      <c r="G24" s="150">
        <f t="shared" si="16"/>
        <v>0</v>
      </c>
      <c r="H24" s="150">
        <f t="shared" si="16"/>
        <v>0</v>
      </c>
      <c r="I24" s="150">
        <f t="shared" si="16"/>
        <v>0</v>
      </c>
      <c r="J24" s="150">
        <f t="shared" si="16"/>
        <v>0</v>
      </c>
      <c r="K24" s="150">
        <f t="shared" si="16"/>
        <v>0</v>
      </c>
      <c r="L24" s="150">
        <f t="shared" si="16"/>
        <v>0</v>
      </c>
      <c r="M24" s="150">
        <f t="shared" si="16"/>
        <v>0</v>
      </c>
      <c r="N24" s="150">
        <f t="shared" si="16"/>
        <v>0</v>
      </c>
      <c r="O24" s="150">
        <f t="shared" si="16"/>
        <v>0</v>
      </c>
      <c r="P24" s="150">
        <f t="shared" si="16"/>
        <v>0</v>
      </c>
      <c r="Q24" s="150">
        <f t="shared" si="16"/>
        <v>0</v>
      </c>
      <c r="R24" s="150">
        <f t="shared" si="16"/>
        <v>0</v>
      </c>
      <c r="S24" s="150">
        <f t="shared" si="16"/>
        <v>0</v>
      </c>
    </row>
    <row r="25" spans="1:19" s="139" customFormat="1" ht="14">
      <c r="C25" s="854"/>
      <c r="E25" s="150"/>
      <c r="F25" s="150"/>
      <c r="G25" s="150"/>
      <c r="H25" s="150"/>
      <c r="I25" s="150"/>
      <c r="J25" s="150"/>
      <c r="K25" s="150"/>
      <c r="L25" s="150"/>
      <c r="M25" s="150"/>
      <c r="N25" s="150"/>
      <c r="O25" s="150"/>
      <c r="P25" s="150"/>
      <c r="Q25" s="150"/>
      <c r="R25" s="150"/>
      <c r="S25" s="150"/>
    </row>
    <row r="26" spans="1:19" s="139" customFormat="1" ht="14">
      <c r="A26" s="139" t="s">
        <v>2705</v>
      </c>
      <c r="C26" s="1217">
        <v>1.0349999999999999</v>
      </c>
      <c r="E26" s="150">
        <f>Application!AC887</f>
        <v>0</v>
      </c>
      <c r="F26" s="150">
        <f t="shared" ref="F26:S26" si="17">E26*$C$26</f>
        <v>0</v>
      </c>
      <c r="G26" s="150">
        <f t="shared" si="17"/>
        <v>0</v>
      </c>
      <c r="H26" s="150">
        <f t="shared" si="17"/>
        <v>0</v>
      </c>
      <c r="I26" s="150">
        <f t="shared" si="17"/>
        <v>0</v>
      </c>
      <c r="J26" s="150">
        <f t="shared" si="17"/>
        <v>0</v>
      </c>
      <c r="K26" s="150">
        <f t="shared" si="17"/>
        <v>0</v>
      </c>
      <c r="L26" s="150">
        <f t="shared" si="17"/>
        <v>0</v>
      </c>
      <c r="M26" s="150">
        <f t="shared" si="17"/>
        <v>0</v>
      </c>
      <c r="N26" s="150">
        <f t="shared" si="17"/>
        <v>0</v>
      </c>
      <c r="O26" s="150">
        <f t="shared" si="17"/>
        <v>0</v>
      </c>
      <c r="P26" s="150">
        <f t="shared" si="17"/>
        <v>0</v>
      </c>
      <c r="Q26" s="150">
        <f t="shared" si="17"/>
        <v>0</v>
      </c>
      <c r="R26" s="150">
        <f t="shared" si="17"/>
        <v>0</v>
      </c>
      <c r="S26" s="150">
        <f t="shared" si="17"/>
        <v>0</v>
      </c>
    </row>
    <row r="27" spans="1:19" s="139" customFormat="1" ht="14">
      <c r="A27" s="139" t="s">
        <v>2313</v>
      </c>
      <c r="C27" s="1217">
        <v>1.0349999999999999</v>
      </c>
      <c r="E27" s="150">
        <f>Application!AC888</f>
        <v>45782</v>
      </c>
      <c r="F27" s="150">
        <f t="shared" ref="F27:S27" si="18">E27*$C$27</f>
        <v>47384.369999999995</v>
      </c>
      <c r="G27" s="150">
        <f t="shared" si="18"/>
        <v>49042.822949999994</v>
      </c>
      <c r="H27" s="150">
        <f t="shared" si="18"/>
        <v>50759.321753249991</v>
      </c>
      <c r="I27" s="150">
        <f t="shared" si="18"/>
        <v>52535.89801461374</v>
      </c>
      <c r="J27" s="150">
        <f t="shared" si="18"/>
        <v>54374.654445125219</v>
      </c>
      <c r="K27" s="150">
        <f t="shared" si="18"/>
        <v>56277.767350704598</v>
      </c>
      <c r="L27" s="150">
        <f t="shared" si="18"/>
        <v>58247.489207979255</v>
      </c>
      <c r="M27" s="150">
        <f t="shared" si="18"/>
        <v>60286.151330258523</v>
      </c>
      <c r="N27" s="150">
        <f t="shared" si="18"/>
        <v>62396.166626817569</v>
      </c>
      <c r="O27" s="150">
        <f t="shared" si="18"/>
        <v>64580.032458756177</v>
      </c>
      <c r="P27" s="150">
        <f t="shared" si="18"/>
        <v>66840.333594812633</v>
      </c>
      <c r="Q27" s="150">
        <f t="shared" si="18"/>
        <v>69179.745270631072</v>
      </c>
      <c r="R27" s="150">
        <f t="shared" si="18"/>
        <v>71601.036355103148</v>
      </c>
      <c r="S27" s="150">
        <f t="shared" si="18"/>
        <v>74107.072627531757</v>
      </c>
    </row>
    <row r="28" spans="1:19" s="139" customFormat="1" ht="14">
      <c r="A28" s="139" t="s">
        <v>2706</v>
      </c>
      <c r="C28" s="1217"/>
      <c r="E28" s="150">
        <f>Application!AC889</f>
        <v>39500</v>
      </c>
      <c r="F28" s="150">
        <f t="shared" ref="F28:S28" si="19">$E$28</f>
        <v>39500</v>
      </c>
      <c r="G28" s="150">
        <f t="shared" si="19"/>
        <v>39500</v>
      </c>
      <c r="H28" s="150">
        <f t="shared" si="19"/>
        <v>39500</v>
      </c>
      <c r="I28" s="150">
        <f t="shared" si="19"/>
        <v>39500</v>
      </c>
      <c r="J28" s="150">
        <f t="shared" si="19"/>
        <v>39500</v>
      </c>
      <c r="K28" s="150">
        <f t="shared" si="19"/>
        <v>39500</v>
      </c>
      <c r="L28" s="150">
        <f t="shared" si="19"/>
        <v>39500</v>
      </c>
      <c r="M28" s="150">
        <f t="shared" si="19"/>
        <v>39500</v>
      </c>
      <c r="N28" s="150">
        <f t="shared" si="19"/>
        <v>39500</v>
      </c>
      <c r="O28" s="150">
        <f t="shared" si="19"/>
        <v>39500</v>
      </c>
      <c r="P28" s="150">
        <f t="shared" si="19"/>
        <v>39500</v>
      </c>
      <c r="Q28" s="150">
        <f t="shared" si="19"/>
        <v>39500</v>
      </c>
      <c r="R28" s="150">
        <f t="shared" si="19"/>
        <v>39500</v>
      </c>
      <c r="S28" s="150">
        <f t="shared" si="19"/>
        <v>39500</v>
      </c>
    </row>
    <row r="29" spans="1:19" s="139" customFormat="1" ht="14">
      <c r="A29" s="139" t="s">
        <v>2707</v>
      </c>
      <c r="C29" s="1217"/>
      <c r="E29" s="150">
        <f>Application!AC890</f>
        <v>0</v>
      </c>
      <c r="F29" s="150">
        <f t="shared" ref="F29:S29" si="20">$E$29</f>
        <v>0</v>
      </c>
      <c r="G29" s="150">
        <f t="shared" si="20"/>
        <v>0</v>
      </c>
      <c r="H29" s="150">
        <f t="shared" si="20"/>
        <v>0</v>
      </c>
      <c r="I29" s="150">
        <f t="shared" si="20"/>
        <v>0</v>
      </c>
      <c r="J29" s="150">
        <f t="shared" si="20"/>
        <v>0</v>
      </c>
      <c r="K29" s="150">
        <f t="shared" si="20"/>
        <v>0</v>
      </c>
      <c r="L29" s="150">
        <f t="shared" si="20"/>
        <v>0</v>
      </c>
      <c r="M29" s="150">
        <f t="shared" si="20"/>
        <v>0</v>
      </c>
      <c r="N29" s="150">
        <f t="shared" si="20"/>
        <v>0</v>
      </c>
      <c r="O29" s="150">
        <f t="shared" si="20"/>
        <v>0</v>
      </c>
      <c r="P29" s="150">
        <f t="shared" si="20"/>
        <v>0</v>
      </c>
      <c r="Q29" s="150">
        <f t="shared" si="20"/>
        <v>0</v>
      </c>
      <c r="R29" s="150">
        <f t="shared" si="20"/>
        <v>0</v>
      </c>
      <c r="S29" s="150">
        <f t="shared" si="20"/>
        <v>0</v>
      </c>
    </row>
    <row r="30" spans="1:19" s="139" customFormat="1" ht="14">
      <c r="A30" s="139" t="s">
        <v>2708</v>
      </c>
      <c r="C30" s="1217">
        <v>1.02</v>
      </c>
      <c r="E30" s="150">
        <f>Application!AC891</f>
        <v>12864</v>
      </c>
      <c r="F30" s="150">
        <f t="shared" ref="F30:S30" si="21">E30*$C$30</f>
        <v>13121.28</v>
      </c>
      <c r="G30" s="150">
        <f t="shared" si="21"/>
        <v>13383.705600000001</v>
      </c>
      <c r="H30" s="150">
        <f t="shared" si="21"/>
        <v>13651.379712000002</v>
      </c>
      <c r="I30" s="150">
        <f t="shared" si="21"/>
        <v>13924.407306240002</v>
      </c>
      <c r="J30" s="150">
        <f t="shared" si="21"/>
        <v>14202.895452364803</v>
      </c>
      <c r="K30" s="150">
        <f t="shared" si="21"/>
        <v>14486.953361412099</v>
      </c>
      <c r="L30" s="150">
        <f t="shared" si="21"/>
        <v>14776.692428640341</v>
      </c>
      <c r="M30" s="150">
        <f t="shared" si="21"/>
        <v>15072.226277213149</v>
      </c>
      <c r="N30" s="150">
        <f t="shared" si="21"/>
        <v>15373.670802757411</v>
      </c>
      <c r="O30" s="150">
        <f t="shared" si="21"/>
        <v>15681.14421881256</v>
      </c>
      <c r="P30" s="150">
        <f t="shared" si="21"/>
        <v>15994.767103188811</v>
      </c>
      <c r="Q30" s="150">
        <f t="shared" si="21"/>
        <v>16314.662445252588</v>
      </c>
      <c r="R30" s="150">
        <f t="shared" si="21"/>
        <v>16640.955694157641</v>
      </c>
      <c r="S30" s="150">
        <f t="shared" si="21"/>
        <v>16973.774808040795</v>
      </c>
    </row>
    <row r="31" spans="1:19" s="139" customFormat="1" ht="14">
      <c r="A31" s="139" t="s">
        <v>2709</v>
      </c>
      <c r="C31" s="1217">
        <v>1.02</v>
      </c>
      <c r="E31" s="150">
        <f>Application!AC893</f>
        <v>0</v>
      </c>
      <c r="F31" s="150">
        <f t="shared" ref="F31:S31" si="22">E31*$C$31</f>
        <v>0</v>
      </c>
      <c r="G31" s="150">
        <f t="shared" si="22"/>
        <v>0</v>
      </c>
      <c r="H31" s="150">
        <f t="shared" si="22"/>
        <v>0</v>
      </c>
      <c r="I31" s="150">
        <f t="shared" si="22"/>
        <v>0</v>
      </c>
      <c r="J31" s="150">
        <f t="shared" si="22"/>
        <v>0</v>
      </c>
      <c r="K31" s="150">
        <f t="shared" si="22"/>
        <v>0</v>
      </c>
      <c r="L31" s="150">
        <f t="shared" si="22"/>
        <v>0</v>
      </c>
      <c r="M31" s="150">
        <f t="shared" si="22"/>
        <v>0</v>
      </c>
      <c r="N31" s="150">
        <f t="shared" si="22"/>
        <v>0</v>
      </c>
      <c r="O31" s="150">
        <f t="shared" si="22"/>
        <v>0</v>
      </c>
      <c r="P31" s="150">
        <f t="shared" si="22"/>
        <v>0</v>
      </c>
      <c r="Q31" s="150">
        <f t="shared" si="22"/>
        <v>0</v>
      </c>
      <c r="R31" s="150">
        <f t="shared" si="22"/>
        <v>0</v>
      </c>
      <c r="S31" s="150">
        <f t="shared" si="22"/>
        <v>0</v>
      </c>
    </row>
    <row r="32" spans="1:19" s="139" customFormat="1" ht="14">
      <c r="A32" s="139" t="str">
        <f>Application!C894</f>
        <v>Other (Bond Issuer Fee):</v>
      </c>
      <c r="C32" s="1219"/>
      <c r="E32" s="150">
        <f>Application!AC894</f>
        <v>4332</v>
      </c>
      <c r="F32" s="150">
        <v>4285.2672187030621</v>
      </c>
      <c r="G32" s="150">
        <v>4251.3286576384635</v>
      </c>
      <c r="H32" s="150">
        <v>4214.9782615195809</v>
      </c>
      <c r="I32" s="150">
        <v>4176.0446339127848</v>
      </c>
      <c r="J32" s="150">
        <v>4134.3441981412661</v>
      </c>
      <c r="K32" s="150">
        <v>4089.6803316992136</v>
      </c>
      <c r="L32" s="150">
        <v>4041.8424391533517</v>
      </c>
      <c r="M32" s="150">
        <v>4000</v>
      </c>
      <c r="N32" s="150">
        <v>4000</v>
      </c>
      <c r="O32" s="150">
        <v>4000</v>
      </c>
      <c r="P32" s="150">
        <v>4000</v>
      </c>
      <c r="Q32" s="150">
        <v>4000</v>
      </c>
      <c r="R32" s="150">
        <v>4000</v>
      </c>
      <c r="S32" s="150">
        <v>4000</v>
      </c>
    </row>
    <row r="33" spans="1:19" s="139" customFormat="1" ht="14">
      <c r="A33" s="139" t="str">
        <f>Application!C895</f>
        <v>Other (Specify):</v>
      </c>
      <c r="C33" s="1219">
        <v>1.0349999999999999</v>
      </c>
      <c r="E33" s="150">
        <f>Application!AC895</f>
        <v>0</v>
      </c>
      <c r="F33" s="150">
        <f t="shared" ref="F33:S33" si="23">E33*$C$33</f>
        <v>0</v>
      </c>
      <c r="G33" s="150">
        <f t="shared" si="23"/>
        <v>0</v>
      </c>
      <c r="H33" s="150">
        <f t="shared" si="23"/>
        <v>0</v>
      </c>
      <c r="I33" s="150">
        <f t="shared" si="23"/>
        <v>0</v>
      </c>
      <c r="J33" s="150">
        <f t="shared" si="23"/>
        <v>0</v>
      </c>
      <c r="K33" s="150">
        <f t="shared" si="23"/>
        <v>0</v>
      </c>
      <c r="L33" s="150">
        <f t="shared" si="23"/>
        <v>0</v>
      </c>
      <c r="M33" s="150">
        <f t="shared" si="23"/>
        <v>0</v>
      </c>
      <c r="N33" s="150">
        <f t="shared" si="23"/>
        <v>0</v>
      </c>
      <c r="O33" s="150">
        <f t="shared" si="23"/>
        <v>0</v>
      </c>
      <c r="P33" s="150">
        <f t="shared" si="23"/>
        <v>0</v>
      </c>
      <c r="Q33" s="150">
        <f t="shared" si="23"/>
        <v>0</v>
      </c>
      <c r="R33" s="150">
        <f t="shared" si="23"/>
        <v>0</v>
      </c>
      <c r="S33" s="150">
        <f t="shared" si="23"/>
        <v>0</v>
      </c>
    </row>
    <row r="34" spans="1:19" s="139" customFormat="1" ht="14">
      <c r="C34" s="148"/>
      <c r="E34" s="150"/>
      <c r="F34" s="150"/>
      <c r="G34" s="150"/>
      <c r="H34" s="150"/>
      <c r="I34" s="150"/>
      <c r="J34" s="150"/>
      <c r="K34" s="150"/>
      <c r="L34" s="150"/>
      <c r="M34" s="150"/>
      <c r="N34" s="150"/>
      <c r="O34" s="150"/>
      <c r="P34" s="150"/>
      <c r="Q34" s="150"/>
      <c r="R34" s="150"/>
      <c r="S34" s="150"/>
    </row>
    <row r="35" spans="1:19" s="151" customFormat="1" ht="14">
      <c r="A35" s="151" t="s">
        <v>1577</v>
      </c>
      <c r="C35" s="152"/>
      <c r="E35" s="151">
        <f t="shared" ref="E35:S35" si="24">SUM(E22:E33)</f>
        <v>1060428</v>
      </c>
      <c r="F35" s="151">
        <f t="shared" si="24"/>
        <v>1095769.1672187028</v>
      </c>
      <c r="G35" s="151">
        <f t="shared" si="24"/>
        <v>1132357.8459576382</v>
      </c>
      <c r="H35" s="151">
        <f t="shared" si="24"/>
        <v>1170221.9680830194</v>
      </c>
      <c r="I35" s="151">
        <f t="shared" si="24"/>
        <v>1209406.0084034849</v>
      </c>
      <c r="J35" s="151">
        <f t="shared" si="24"/>
        <v>1249955.9905900548</v>
      </c>
      <c r="K35" s="151">
        <f t="shared" si="24"/>
        <v>1291919.5409155441</v>
      </c>
      <c r="L35" s="151">
        <f t="shared" si="24"/>
        <v>1335345.9438430117</v>
      </c>
      <c r="M35" s="151">
        <f t="shared" si="24"/>
        <v>1380295.5945665631</v>
      </c>
      <c r="N35" s="151">
        <f t="shared" si="24"/>
        <v>1426857.3569822351</v>
      </c>
      <c r="O35" s="151">
        <f t="shared" si="24"/>
        <v>1475044.2594145716</v>
      </c>
      <c r="P35" s="151">
        <f t="shared" si="24"/>
        <v>1524913.0913307995</v>
      </c>
      <c r="Q35" s="151">
        <f t="shared" si="24"/>
        <v>1576522.6280208293</v>
      </c>
      <c r="R35" s="151">
        <f t="shared" si="24"/>
        <v>1629933.7000648796</v>
      </c>
      <c r="S35" s="151">
        <f t="shared" si="24"/>
        <v>1685209.2652317381</v>
      </c>
    </row>
    <row r="36" spans="1:19" s="139" customFormat="1" ht="14">
      <c r="C36" s="148"/>
      <c r="E36" s="150"/>
      <c r="F36" s="150"/>
      <c r="G36" s="150"/>
      <c r="H36" s="150"/>
      <c r="I36" s="150"/>
      <c r="J36" s="150"/>
      <c r="K36" s="150"/>
      <c r="L36" s="150"/>
      <c r="M36" s="150"/>
      <c r="N36" s="150"/>
      <c r="O36" s="150"/>
      <c r="P36" s="150"/>
      <c r="Q36" s="150"/>
      <c r="R36" s="150"/>
      <c r="S36" s="150"/>
    </row>
    <row r="37" spans="1:19" s="151" customFormat="1" ht="14">
      <c r="A37" s="151" t="s">
        <v>2710</v>
      </c>
      <c r="C37" s="152"/>
      <c r="E37" s="151">
        <f t="shared" ref="E37:S37" si="25">E11-E35</f>
        <v>762337.28846153757</v>
      </c>
      <c r="F37" s="151">
        <f t="shared" si="25"/>
        <v>772565.25345437275</v>
      </c>
      <c r="G37" s="151">
        <f t="shared" si="25"/>
        <v>782684.93523226422</v>
      </c>
      <c r="H37" s="151">
        <f t="shared" si="25"/>
        <v>792696.88263663044</v>
      </c>
      <c r="I37" s="151">
        <f t="shared" si="25"/>
        <v>802585.8135841561</v>
      </c>
      <c r="J37" s="151">
        <f t="shared" si="25"/>
        <v>812335.62694727746</v>
      </c>
      <c r="K37" s="151">
        <f t="shared" si="25"/>
        <v>821929.36706022127</v>
      </c>
      <c r="L37" s="151">
        <f t="shared" si="25"/>
        <v>831349.18683214765</v>
      </c>
      <c r="M37" s="151">
        <f t="shared" si="25"/>
        <v>840566.91437547468</v>
      </c>
      <c r="N37" s="151">
        <f t="shared" si="25"/>
        <v>849526.71468335367</v>
      </c>
      <c r="O37" s="151">
        <f t="shared" si="25"/>
        <v>858249.41404265701</v>
      </c>
      <c r="P37" s="151">
        <f t="shared" si="25"/>
        <v>866712.92396285967</v>
      </c>
      <c r="Q37" s="151">
        <f t="shared" si="25"/>
        <v>874894.03765517077</v>
      </c>
      <c r="R37" s="151">
        <f t="shared" si="25"/>
        <v>882768.38225301984</v>
      </c>
      <c r="S37" s="151">
        <f t="shared" si="25"/>
        <v>890310.36914410931</v>
      </c>
    </row>
    <row r="38" spans="1:19" s="139" customFormat="1" ht="14">
      <c r="C38" s="148"/>
      <c r="E38" s="150"/>
      <c r="F38" s="150"/>
      <c r="G38" s="150"/>
      <c r="H38" s="150"/>
      <c r="I38" s="150"/>
      <c r="J38" s="150"/>
      <c r="K38" s="150"/>
      <c r="L38" s="150"/>
      <c r="M38" s="150"/>
      <c r="N38" s="150"/>
      <c r="O38" s="150"/>
      <c r="P38" s="150"/>
      <c r="Q38" s="150"/>
      <c r="R38" s="150"/>
      <c r="S38" s="150"/>
    </row>
    <row r="39" spans="1:19" s="139" customFormat="1" ht="14">
      <c r="A39" s="146" t="s">
        <v>2711</v>
      </c>
      <c r="C39" s="148"/>
      <c r="E39" s="150"/>
      <c r="F39" s="150"/>
      <c r="G39" s="150"/>
      <c r="H39" s="150"/>
      <c r="I39" s="150"/>
      <c r="J39" s="150"/>
      <c r="K39" s="150"/>
      <c r="L39" s="150"/>
      <c r="M39" s="150"/>
      <c r="N39" s="150"/>
      <c r="O39" s="150"/>
      <c r="P39" s="150"/>
      <c r="Q39" s="150"/>
      <c r="R39" s="150"/>
      <c r="S39" s="150"/>
    </row>
    <row r="40" spans="1:19" s="139" customFormat="1" ht="14">
      <c r="A40" s="153" t="str">
        <f>Application!C627</f>
        <v>US Bank Permanent Loan</v>
      </c>
      <c r="B40" s="154"/>
      <c r="C40" s="148"/>
      <c r="E40" s="150">
        <f>Application!AF627</f>
        <v>655843</v>
      </c>
      <c r="F40" s="150">
        <f t="shared" ref="F40:S40" si="26">$E$40</f>
        <v>655843</v>
      </c>
      <c r="G40" s="150">
        <f t="shared" si="26"/>
        <v>655843</v>
      </c>
      <c r="H40" s="150">
        <f t="shared" si="26"/>
        <v>655843</v>
      </c>
      <c r="I40" s="150">
        <f t="shared" si="26"/>
        <v>655843</v>
      </c>
      <c r="J40" s="150">
        <f t="shared" si="26"/>
        <v>655843</v>
      </c>
      <c r="K40" s="150">
        <f t="shared" si="26"/>
        <v>655843</v>
      </c>
      <c r="L40" s="150">
        <f t="shared" si="26"/>
        <v>655843</v>
      </c>
      <c r="M40" s="150">
        <f t="shared" si="26"/>
        <v>655843</v>
      </c>
      <c r="N40" s="150">
        <f t="shared" si="26"/>
        <v>655843</v>
      </c>
      <c r="O40" s="150">
        <f t="shared" si="26"/>
        <v>655843</v>
      </c>
      <c r="P40" s="150">
        <f t="shared" si="26"/>
        <v>655843</v>
      </c>
      <c r="Q40" s="150">
        <f t="shared" si="26"/>
        <v>655843</v>
      </c>
      <c r="R40" s="150">
        <f t="shared" si="26"/>
        <v>655843</v>
      </c>
      <c r="S40" s="150">
        <f t="shared" si="26"/>
        <v>655843</v>
      </c>
    </row>
    <row r="41" spans="1:19" s="139" customFormat="1" ht="14">
      <c r="A41" s="153"/>
      <c r="B41" s="154"/>
      <c r="C41" s="148"/>
      <c r="E41" s="150"/>
      <c r="F41" s="150">
        <f t="shared" ref="F41:S41" si="27">$E$41</f>
        <v>0</v>
      </c>
      <c r="G41" s="150">
        <f t="shared" si="27"/>
        <v>0</v>
      </c>
      <c r="H41" s="150">
        <f t="shared" si="27"/>
        <v>0</v>
      </c>
      <c r="I41" s="150">
        <f t="shared" si="27"/>
        <v>0</v>
      </c>
      <c r="J41" s="150">
        <f t="shared" si="27"/>
        <v>0</v>
      </c>
      <c r="K41" s="150">
        <f t="shared" si="27"/>
        <v>0</v>
      </c>
      <c r="L41" s="150">
        <f t="shared" si="27"/>
        <v>0</v>
      </c>
      <c r="M41" s="150">
        <f t="shared" si="27"/>
        <v>0</v>
      </c>
      <c r="N41" s="150">
        <f t="shared" si="27"/>
        <v>0</v>
      </c>
      <c r="O41" s="150">
        <f t="shared" si="27"/>
        <v>0</v>
      </c>
      <c r="P41" s="150">
        <f t="shared" si="27"/>
        <v>0</v>
      </c>
      <c r="Q41" s="150">
        <f t="shared" si="27"/>
        <v>0</v>
      </c>
      <c r="R41" s="150">
        <f t="shared" si="27"/>
        <v>0</v>
      </c>
      <c r="S41" s="150">
        <f t="shared" si="27"/>
        <v>0</v>
      </c>
    </row>
    <row r="42" spans="1:19" s="139" customFormat="1" ht="14">
      <c r="A42" s="153"/>
      <c r="B42" s="154"/>
      <c r="C42" s="148"/>
      <c r="E42" s="160"/>
      <c r="F42" s="160">
        <f t="shared" ref="F42:S42" si="28">$E$42</f>
        <v>0</v>
      </c>
      <c r="G42" s="160">
        <f t="shared" si="28"/>
        <v>0</v>
      </c>
      <c r="H42" s="160">
        <f t="shared" si="28"/>
        <v>0</v>
      </c>
      <c r="I42" s="160">
        <f t="shared" si="28"/>
        <v>0</v>
      </c>
      <c r="J42" s="160">
        <f t="shared" si="28"/>
        <v>0</v>
      </c>
      <c r="K42" s="160">
        <f t="shared" si="28"/>
        <v>0</v>
      </c>
      <c r="L42" s="160">
        <f t="shared" si="28"/>
        <v>0</v>
      </c>
      <c r="M42" s="160">
        <f t="shared" si="28"/>
        <v>0</v>
      </c>
      <c r="N42" s="160">
        <f t="shared" si="28"/>
        <v>0</v>
      </c>
      <c r="O42" s="160">
        <f t="shared" si="28"/>
        <v>0</v>
      </c>
      <c r="P42" s="160">
        <f t="shared" si="28"/>
        <v>0</v>
      </c>
      <c r="Q42" s="160">
        <f t="shared" si="28"/>
        <v>0</v>
      </c>
      <c r="R42" s="160">
        <f t="shared" si="28"/>
        <v>0</v>
      </c>
      <c r="S42" s="160">
        <f t="shared" si="28"/>
        <v>0</v>
      </c>
    </row>
    <row r="43" spans="1:19" s="151" customFormat="1" ht="14">
      <c r="A43" s="151" t="s">
        <v>2712</v>
      </c>
      <c r="C43" s="152"/>
      <c r="E43" s="151">
        <f t="shared" ref="E43:S43" si="29">SUM(E40:E42)</f>
        <v>655843</v>
      </c>
      <c r="F43" s="151">
        <f t="shared" si="29"/>
        <v>655843</v>
      </c>
      <c r="G43" s="151">
        <f t="shared" si="29"/>
        <v>655843</v>
      </c>
      <c r="H43" s="151">
        <f t="shared" si="29"/>
        <v>655843</v>
      </c>
      <c r="I43" s="151">
        <f t="shared" si="29"/>
        <v>655843</v>
      </c>
      <c r="J43" s="151">
        <f t="shared" si="29"/>
        <v>655843</v>
      </c>
      <c r="K43" s="151">
        <f t="shared" si="29"/>
        <v>655843</v>
      </c>
      <c r="L43" s="151">
        <f t="shared" si="29"/>
        <v>655843</v>
      </c>
      <c r="M43" s="151">
        <f t="shared" si="29"/>
        <v>655843</v>
      </c>
      <c r="N43" s="151">
        <f t="shared" si="29"/>
        <v>655843</v>
      </c>
      <c r="O43" s="151">
        <f t="shared" si="29"/>
        <v>655843</v>
      </c>
      <c r="P43" s="151">
        <f t="shared" si="29"/>
        <v>655843</v>
      </c>
      <c r="Q43" s="151">
        <f t="shared" si="29"/>
        <v>655843</v>
      </c>
      <c r="R43" s="151">
        <f t="shared" si="29"/>
        <v>655843</v>
      </c>
      <c r="S43" s="151">
        <f t="shared" si="29"/>
        <v>655843</v>
      </c>
    </row>
    <row r="44" spans="1:19" s="139" customFormat="1" ht="14">
      <c r="C44" s="148"/>
      <c r="E44" s="150"/>
      <c r="F44" s="150"/>
      <c r="G44" s="150"/>
      <c r="H44" s="150"/>
      <c r="I44" s="150"/>
      <c r="J44" s="150"/>
      <c r="K44" s="150"/>
      <c r="L44" s="150"/>
      <c r="M44" s="150"/>
      <c r="N44" s="150"/>
      <c r="O44" s="150"/>
      <c r="P44" s="150"/>
      <c r="Q44" s="150"/>
      <c r="R44" s="150"/>
      <c r="S44" s="150"/>
    </row>
    <row r="45" spans="1:19" s="151" customFormat="1" ht="14">
      <c r="A45" s="151" t="s">
        <v>2713</v>
      </c>
      <c r="C45" s="152"/>
      <c r="E45" s="151">
        <f t="shared" ref="E45:S45" si="30">E37-E43</f>
        <v>106494.28846153757</v>
      </c>
      <c r="F45" s="151">
        <f t="shared" si="30"/>
        <v>116722.25345437275</v>
      </c>
      <c r="G45" s="151">
        <f t="shared" si="30"/>
        <v>126841.93523226422</v>
      </c>
      <c r="H45" s="151">
        <f t="shared" si="30"/>
        <v>136853.88263663044</v>
      </c>
      <c r="I45" s="151">
        <f t="shared" si="30"/>
        <v>146742.8135841561</v>
      </c>
      <c r="J45" s="151">
        <f t="shared" si="30"/>
        <v>156492.62694727746</v>
      </c>
      <c r="K45" s="151">
        <f t="shared" si="30"/>
        <v>166086.36706022127</v>
      </c>
      <c r="L45" s="151">
        <f t="shared" si="30"/>
        <v>175506.18683214765</v>
      </c>
      <c r="M45" s="151">
        <f t="shared" si="30"/>
        <v>184723.91437547468</v>
      </c>
      <c r="N45" s="151">
        <f t="shared" si="30"/>
        <v>193683.71468335367</v>
      </c>
      <c r="O45" s="151">
        <f t="shared" si="30"/>
        <v>202406.41404265701</v>
      </c>
      <c r="P45" s="151">
        <f t="shared" si="30"/>
        <v>210869.92396285967</v>
      </c>
      <c r="Q45" s="151">
        <f t="shared" si="30"/>
        <v>219051.03765517077</v>
      </c>
      <c r="R45" s="151">
        <f t="shared" si="30"/>
        <v>226925.38225301984</v>
      </c>
      <c r="S45" s="151">
        <f t="shared" si="30"/>
        <v>234467.36914410931</v>
      </c>
    </row>
    <row r="46" spans="1:19" s="139" customFormat="1" ht="14">
      <c r="C46" s="148"/>
      <c r="E46" s="150"/>
      <c r="F46" s="150"/>
      <c r="G46" s="150"/>
      <c r="H46" s="150"/>
      <c r="I46" s="150"/>
      <c r="J46" s="150"/>
      <c r="K46" s="150"/>
      <c r="L46" s="150"/>
      <c r="M46" s="150"/>
      <c r="N46" s="150"/>
      <c r="O46" s="150"/>
      <c r="P46" s="150"/>
      <c r="Q46" s="150"/>
      <c r="R46" s="150"/>
      <c r="S46" s="150"/>
    </row>
    <row r="47" spans="1:19" s="155" customFormat="1" ht="14">
      <c r="A47" s="155" t="s">
        <v>2714</v>
      </c>
      <c r="C47" s="148"/>
      <c r="E47" s="155">
        <f t="shared" ref="E47:S47" si="31">E45/(E4+E6+E8)</f>
        <v>5.524118529641342E-2</v>
      </c>
      <c r="F47" s="155">
        <f t="shared" si="31"/>
        <v>5.906993194531935E-2</v>
      </c>
      <c r="G47" s="155">
        <f t="shared" si="31"/>
        <v>6.2625585766937414E-2</v>
      </c>
      <c r="H47" s="155">
        <f t="shared" si="31"/>
        <v>6.5920759038230761E-2</v>
      </c>
      <c r="I47" s="155">
        <f t="shared" si="31"/>
        <v>6.896012699737239E-2</v>
      </c>
      <c r="J47" s="155">
        <f t="shared" si="31"/>
        <v>7.1748235718027575E-2</v>
      </c>
      <c r="K47" s="155">
        <f t="shared" si="31"/>
        <v>7.4289505165351086E-2</v>
      </c>
      <c r="L47" s="155">
        <f t="shared" si="31"/>
        <v>7.6588232178933555E-2</v>
      </c>
      <c r="M47" s="155">
        <f t="shared" si="31"/>
        <v>7.8644593528001294E-2</v>
      </c>
      <c r="N47" s="155">
        <f t="shared" si="31"/>
        <v>8.0447951484594965E-2</v>
      </c>
      <c r="O47" s="155">
        <f t="shared" si="31"/>
        <v>8.202047672284421E-2</v>
      </c>
      <c r="P47" s="155">
        <f t="shared" si="31"/>
        <v>8.3365967459994444E-2</v>
      </c>
      <c r="Q47" s="155">
        <f t="shared" si="31"/>
        <v>8.4488111445749053E-2</v>
      </c>
      <c r="R47" s="155">
        <f t="shared" si="31"/>
        <v>8.539048848245312E-2</v>
      </c>
      <c r="S47" s="155">
        <f t="shared" si="31"/>
        <v>8.6076572882113664E-2</v>
      </c>
    </row>
    <row r="48" spans="1:19" s="155" customFormat="1" ht="14">
      <c r="A48" s="155" t="s">
        <v>2715</v>
      </c>
      <c r="C48" s="148"/>
      <c r="E48" s="155">
        <f t="shared" ref="E48:S48" si="32">E45/E43</f>
        <v>0.16237771610208171</v>
      </c>
      <c r="F48" s="155">
        <f t="shared" si="32"/>
        <v>0.1779728585261606</v>
      </c>
      <c r="G48" s="155">
        <f t="shared" si="32"/>
        <v>0.1934028955592485</v>
      </c>
      <c r="H48" s="155">
        <f t="shared" si="32"/>
        <v>0.20866866405013157</v>
      </c>
      <c r="I48" s="155">
        <f t="shared" si="32"/>
        <v>0.22374686256338194</v>
      </c>
      <c r="J48" s="155">
        <f t="shared" si="32"/>
        <v>0.23861294082162568</v>
      </c>
      <c r="K48" s="155">
        <f t="shared" si="32"/>
        <v>0.25324104558594246</v>
      </c>
      <c r="L48" s="155">
        <f t="shared" si="32"/>
        <v>0.26760396441243967</v>
      </c>
      <c r="M48" s="155">
        <f t="shared" si="32"/>
        <v>0.28165874207009095</v>
      </c>
      <c r="N48" s="155">
        <f t="shared" si="32"/>
        <v>0.29532024384395911</v>
      </c>
      <c r="O48" s="155">
        <f t="shared" si="32"/>
        <v>0.30862022472246714</v>
      </c>
      <c r="P48" s="155">
        <f t="shared" si="32"/>
        <v>0.32152500516565652</v>
      </c>
      <c r="Q48" s="155">
        <f t="shared" si="32"/>
        <v>0.33399920050251475</v>
      </c>
      <c r="R48" s="155">
        <f t="shared" si="32"/>
        <v>0.34600564807891498</v>
      </c>
      <c r="S48" s="155">
        <f t="shared" si="32"/>
        <v>0.35750533152615688</v>
      </c>
    </row>
    <row r="49" spans="1:16384" s="156" customFormat="1" ht="14">
      <c r="A49" s="156" t="s">
        <v>2268</v>
      </c>
      <c r="C49" s="157"/>
      <c r="E49" s="156">
        <f t="shared" ref="E49:S49" si="33">E37/E43</f>
        <v>1.1623777161020816</v>
      </c>
      <c r="F49" s="156">
        <f t="shared" si="33"/>
        <v>1.1779728585261606</v>
      </c>
      <c r="G49" s="156">
        <f t="shared" si="33"/>
        <v>1.1934028955592486</v>
      </c>
      <c r="H49" s="156">
        <f t="shared" si="33"/>
        <v>1.2086686640501316</v>
      </c>
      <c r="I49" s="156">
        <f t="shared" si="33"/>
        <v>1.2237468625633818</v>
      </c>
      <c r="J49" s="156">
        <f t="shared" si="33"/>
        <v>1.2386129408216258</v>
      </c>
      <c r="K49" s="156">
        <f t="shared" si="33"/>
        <v>1.2532410455859424</v>
      </c>
      <c r="L49" s="156">
        <f t="shared" si="33"/>
        <v>1.2676039644124397</v>
      </c>
      <c r="M49" s="156">
        <f t="shared" si="33"/>
        <v>1.2816587420700909</v>
      </c>
      <c r="N49" s="156">
        <f t="shared" si="33"/>
        <v>1.2953202438439591</v>
      </c>
      <c r="O49" s="156">
        <f t="shared" si="33"/>
        <v>1.3086202247224672</v>
      </c>
      <c r="P49" s="156">
        <f t="shared" si="33"/>
        <v>1.3215250051656566</v>
      </c>
      <c r="Q49" s="156">
        <f t="shared" si="33"/>
        <v>1.3339992005025147</v>
      </c>
      <c r="R49" s="156">
        <f t="shared" si="33"/>
        <v>1.3460056480789149</v>
      </c>
      <c r="S49" s="156">
        <f t="shared" si="33"/>
        <v>1.3575053315261569</v>
      </c>
    </row>
    <row r="50" spans="1:16384" s="139" customFormat="1" ht="14">
      <c r="A50" s="158"/>
      <c r="B50" s="158"/>
      <c r="C50" s="159"/>
      <c r="D50" s="158"/>
      <c r="E50" s="160"/>
      <c r="F50" s="160"/>
      <c r="G50" s="160"/>
      <c r="H50" s="160"/>
      <c r="I50" s="160"/>
      <c r="J50" s="160"/>
      <c r="K50" s="160"/>
      <c r="L50" s="160"/>
      <c r="M50" s="160"/>
      <c r="N50" s="160"/>
      <c r="O50" s="160"/>
      <c r="P50" s="160"/>
      <c r="Q50" s="160"/>
      <c r="R50" s="160"/>
      <c r="S50" s="160"/>
    </row>
    <row r="51" spans="1:16384" s="3" customFormat="1">
      <c r="A51" s="3" t="s">
        <v>2716</v>
      </c>
      <c r="C51" s="854"/>
      <c r="E51" s="853"/>
      <c r="F51" s="853"/>
      <c r="G51" s="853"/>
      <c r="H51" s="853"/>
      <c r="I51" s="853"/>
      <c r="J51" s="853"/>
      <c r="K51" s="853"/>
      <c r="L51" s="853"/>
      <c r="M51" s="853"/>
      <c r="N51" s="853"/>
      <c r="O51" s="853"/>
      <c r="P51" s="853"/>
      <c r="Q51" s="853"/>
      <c r="R51" s="853"/>
      <c r="S51" s="853"/>
    </row>
    <row r="52" spans="1:16384" s="3" customFormat="1">
      <c r="A52" s="3" t="s">
        <v>2717</v>
      </c>
      <c r="C52" s="856">
        <v>1.03</v>
      </c>
      <c r="E52" s="858">
        <v>7500</v>
      </c>
      <c r="F52" s="853">
        <f>+E52*$C$52</f>
        <v>7725</v>
      </c>
      <c r="G52" s="853">
        <f t="shared" ref="G52:S52" si="34">+F52*$C$52</f>
        <v>7956.75</v>
      </c>
      <c r="H52" s="853">
        <f t="shared" si="34"/>
        <v>8195.4524999999994</v>
      </c>
      <c r="I52" s="853">
        <f t="shared" si="34"/>
        <v>8441.3160749999988</v>
      </c>
      <c r="J52" s="853">
        <f t="shared" si="34"/>
        <v>8694.5555572499998</v>
      </c>
      <c r="K52" s="853">
        <f t="shared" si="34"/>
        <v>8955.3922239674994</v>
      </c>
      <c r="L52" s="853">
        <f t="shared" si="34"/>
        <v>9224.0539906865251</v>
      </c>
      <c r="M52" s="853">
        <f t="shared" si="34"/>
        <v>9500.7756104071213</v>
      </c>
      <c r="N52" s="853">
        <f t="shared" si="34"/>
        <v>9785.7988787193353</v>
      </c>
      <c r="O52" s="853">
        <f t="shared" si="34"/>
        <v>10079.372845080916</v>
      </c>
      <c r="P52" s="853">
        <f t="shared" si="34"/>
        <v>10381.754030433343</v>
      </c>
      <c r="Q52" s="853">
        <f t="shared" si="34"/>
        <v>10693.206651346343</v>
      </c>
      <c r="R52" s="853">
        <f t="shared" si="34"/>
        <v>11014.002850886734</v>
      </c>
      <c r="S52" s="853">
        <f t="shared" si="34"/>
        <v>11344.422936413337</v>
      </c>
    </row>
    <row r="53" spans="1:16384" s="855" customFormat="1">
      <c r="A53" s="855" t="s">
        <v>2042</v>
      </c>
      <c r="C53" s="856">
        <v>1.03</v>
      </c>
      <c r="E53" s="857">
        <v>25000</v>
      </c>
      <c r="F53" s="853">
        <f>+E53*$C$53</f>
        <v>25750</v>
      </c>
      <c r="G53" s="853">
        <f t="shared" ref="G53:S53" si="35">+F53*$C$53</f>
        <v>26522.5</v>
      </c>
      <c r="H53" s="853">
        <f t="shared" si="35"/>
        <v>27318.174999999999</v>
      </c>
      <c r="I53" s="853">
        <f t="shared" si="35"/>
        <v>28137.720249999998</v>
      </c>
      <c r="J53" s="853">
        <f t="shared" si="35"/>
        <v>28981.851857499998</v>
      </c>
      <c r="K53" s="853">
        <f t="shared" si="35"/>
        <v>29851.307413225</v>
      </c>
      <c r="L53" s="853">
        <f t="shared" si="35"/>
        <v>30746.84663562175</v>
      </c>
      <c r="M53" s="853">
        <f t="shared" si="35"/>
        <v>31669.252034690402</v>
      </c>
      <c r="N53" s="853">
        <f t="shared" si="35"/>
        <v>32619.329595731117</v>
      </c>
      <c r="O53" s="853">
        <f t="shared" si="35"/>
        <v>33597.909483603049</v>
      </c>
      <c r="P53" s="853">
        <f t="shared" si="35"/>
        <v>34605.846768111143</v>
      </c>
      <c r="Q53" s="853">
        <f t="shared" si="35"/>
        <v>35644.02217115448</v>
      </c>
      <c r="R53" s="853">
        <f t="shared" si="35"/>
        <v>36713.342836289114</v>
      </c>
      <c r="S53" s="853">
        <f t="shared" si="35"/>
        <v>37814.743121377789</v>
      </c>
    </row>
    <row r="54" spans="1:16384" s="3" customFormat="1">
      <c r="A54" s="859"/>
      <c r="B54" s="859"/>
      <c r="C54" s="851"/>
      <c r="E54" s="860"/>
      <c r="F54" s="861">
        <f t="shared" ref="F54:S54" si="36">E54*$C$53</f>
        <v>0</v>
      </c>
      <c r="G54" s="861">
        <f t="shared" si="36"/>
        <v>0</v>
      </c>
      <c r="H54" s="861">
        <f t="shared" si="36"/>
        <v>0</v>
      </c>
      <c r="I54" s="861">
        <f t="shared" si="36"/>
        <v>0</v>
      </c>
      <c r="J54" s="861">
        <f t="shared" si="36"/>
        <v>0</v>
      </c>
      <c r="K54" s="861">
        <f t="shared" si="36"/>
        <v>0</v>
      </c>
      <c r="L54" s="861">
        <f t="shared" si="36"/>
        <v>0</v>
      </c>
      <c r="M54" s="861">
        <f t="shared" si="36"/>
        <v>0</v>
      </c>
      <c r="N54" s="861">
        <f t="shared" si="36"/>
        <v>0</v>
      </c>
      <c r="O54" s="861">
        <f t="shared" si="36"/>
        <v>0</v>
      </c>
      <c r="P54" s="861">
        <f t="shared" si="36"/>
        <v>0</v>
      </c>
      <c r="Q54" s="861">
        <f t="shared" si="36"/>
        <v>0</v>
      </c>
      <c r="R54" s="861">
        <f t="shared" si="36"/>
        <v>0</v>
      </c>
      <c r="S54" s="861">
        <f t="shared" si="36"/>
        <v>0</v>
      </c>
    </row>
    <row r="55" spans="1:16384" s="3" customFormat="1">
      <c r="A55" s="855" t="s">
        <v>2718</v>
      </c>
      <c r="C55" s="854"/>
      <c r="E55" s="853">
        <f t="shared" ref="E55:S55" si="37">SUM(E52:E54)</f>
        <v>32500</v>
      </c>
      <c r="F55" s="853">
        <f t="shared" si="37"/>
        <v>33475</v>
      </c>
      <c r="G55" s="853">
        <f t="shared" si="37"/>
        <v>34479.25</v>
      </c>
      <c r="H55" s="853">
        <f t="shared" si="37"/>
        <v>35513.627500000002</v>
      </c>
      <c r="I55" s="853">
        <f t="shared" si="37"/>
        <v>36579.036324999994</v>
      </c>
      <c r="J55" s="853">
        <f t="shared" si="37"/>
        <v>37676.40741475</v>
      </c>
      <c r="K55" s="853">
        <f t="shared" si="37"/>
        <v>38806.699637192498</v>
      </c>
      <c r="L55" s="853">
        <f t="shared" si="37"/>
        <v>39970.900626308277</v>
      </c>
      <c r="M55" s="853">
        <f t="shared" si="37"/>
        <v>41170.027645097522</v>
      </c>
      <c r="N55" s="853">
        <f t="shared" si="37"/>
        <v>42405.128474450452</v>
      </c>
      <c r="O55" s="853">
        <f t="shared" si="37"/>
        <v>43677.282328683963</v>
      </c>
      <c r="P55" s="853">
        <f t="shared" si="37"/>
        <v>44987.600798544488</v>
      </c>
      <c r="Q55" s="853">
        <f t="shared" si="37"/>
        <v>46337.228822500823</v>
      </c>
      <c r="R55" s="853">
        <f t="shared" si="37"/>
        <v>47727.345687175846</v>
      </c>
      <c r="S55" s="853">
        <f t="shared" si="37"/>
        <v>49159.166057791124</v>
      </c>
    </row>
    <row r="56" spans="1:16384" s="3" customFormat="1" ht="12.75" customHeight="1">
      <c r="A56" s="855"/>
      <c r="C56" s="854"/>
      <c r="E56" s="853"/>
      <c r="F56" s="853"/>
      <c r="G56" s="853"/>
      <c r="H56" s="853"/>
      <c r="I56" s="853"/>
      <c r="J56" s="853"/>
      <c r="K56" s="853"/>
      <c r="L56" s="853"/>
      <c r="M56" s="853"/>
      <c r="N56" s="853"/>
      <c r="O56" s="853"/>
      <c r="P56" s="853"/>
      <c r="Q56" s="853"/>
      <c r="R56" s="853"/>
      <c r="S56" s="853"/>
    </row>
    <row r="57" spans="1:16384" s="855" customFormat="1">
      <c r="A57" s="855" t="s">
        <v>2719</v>
      </c>
      <c r="C57" s="862"/>
      <c r="E57" s="855">
        <f t="shared" ref="E57:S57" si="38">E45-E55</f>
        <v>73994.288461537566</v>
      </c>
      <c r="F57" s="855">
        <f t="shared" si="38"/>
        <v>83247.253454372752</v>
      </c>
      <c r="G57" s="855">
        <f t="shared" si="38"/>
        <v>92362.685232264223</v>
      </c>
      <c r="H57" s="855">
        <f t="shared" si="38"/>
        <v>101340.25513663044</v>
      </c>
      <c r="I57" s="855">
        <f t="shared" si="38"/>
        <v>110163.77725915611</v>
      </c>
      <c r="J57" s="855">
        <f t="shared" si="38"/>
        <v>118816.21953252747</v>
      </c>
      <c r="K57" s="855">
        <f t="shared" si="38"/>
        <v>127279.66742302876</v>
      </c>
      <c r="L57" s="855">
        <f t="shared" si="38"/>
        <v>135535.28620583937</v>
      </c>
      <c r="M57" s="855">
        <f t="shared" si="38"/>
        <v>143553.88673037715</v>
      </c>
      <c r="N57" s="855">
        <f t="shared" si="38"/>
        <v>151278.58620890323</v>
      </c>
      <c r="O57" s="855">
        <f t="shared" si="38"/>
        <v>158729.13171397304</v>
      </c>
      <c r="P57" s="855">
        <f t="shared" si="38"/>
        <v>165882.3231643152</v>
      </c>
      <c r="Q57" s="855">
        <f t="shared" si="38"/>
        <v>172713.80883266995</v>
      </c>
      <c r="R57" s="855">
        <f t="shared" si="38"/>
        <v>179198.036565844</v>
      </c>
      <c r="S57" s="855">
        <f t="shared" si="38"/>
        <v>185308.20308631819</v>
      </c>
    </row>
    <row r="58" spans="1:16384" s="3" customFormat="1" ht="8.25" customHeight="1">
      <c r="C58" s="854"/>
      <c r="E58" s="853"/>
      <c r="F58" s="853"/>
      <c r="G58" s="853"/>
      <c r="H58" s="853"/>
      <c r="I58" s="853"/>
      <c r="J58" s="853"/>
      <c r="K58" s="853"/>
      <c r="L58" s="853"/>
      <c r="M58" s="853"/>
      <c r="N58" s="853"/>
      <c r="O58" s="853"/>
      <c r="P58" s="853"/>
      <c r="Q58" s="853"/>
      <c r="R58" s="853"/>
      <c r="S58" s="853"/>
    </row>
    <row r="59" spans="1:16384" s="855" customFormat="1">
      <c r="A59" s="855" t="s">
        <v>2720</v>
      </c>
      <c r="C59" s="852">
        <v>1</v>
      </c>
      <c r="E59" s="857">
        <f t="shared" ref="E59:S59" si="39">E57*$C$59</f>
        <v>73994.288461537566</v>
      </c>
      <c r="F59" s="855">
        <f t="shared" si="39"/>
        <v>83247.253454372752</v>
      </c>
      <c r="G59" s="855">
        <f t="shared" si="39"/>
        <v>92362.685232264223</v>
      </c>
      <c r="H59" s="855">
        <f t="shared" si="39"/>
        <v>101340.25513663044</v>
      </c>
      <c r="I59" s="855">
        <f t="shared" si="39"/>
        <v>110163.77725915611</v>
      </c>
      <c r="J59" s="855">
        <f t="shared" si="39"/>
        <v>118816.21953252747</v>
      </c>
      <c r="K59" s="855">
        <f t="shared" si="39"/>
        <v>127279.66742302876</v>
      </c>
      <c r="L59" s="855">
        <f t="shared" si="39"/>
        <v>135535.28620583937</v>
      </c>
      <c r="M59" s="855">
        <f t="shared" si="39"/>
        <v>143553.88673037715</v>
      </c>
      <c r="N59" s="855">
        <f t="shared" si="39"/>
        <v>151278.58620890323</v>
      </c>
      <c r="O59" s="855">
        <f t="shared" si="39"/>
        <v>158729.13171397304</v>
      </c>
      <c r="P59" s="855">
        <f t="shared" si="39"/>
        <v>165882.3231643152</v>
      </c>
      <c r="Q59" s="855">
        <f t="shared" si="39"/>
        <v>172713.80883266995</v>
      </c>
      <c r="R59" s="855">
        <f t="shared" si="39"/>
        <v>179198.036565844</v>
      </c>
      <c r="S59" s="855">
        <f t="shared" si="39"/>
        <v>185308.20308631819</v>
      </c>
    </row>
    <row r="60" spans="1:16384" s="3" customFormat="1" ht="13" customHeight="1">
      <c r="C60" s="854"/>
      <c r="E60" s="853"/>
      <c r="F60" s="853"/>
      <c r="G60" s="853"/>
      <c r="H60" s="853"/>
      <c r="I60" s="853"/>
      <c r="J60" s="853"/>
      <c r="K60" s="853"/>
      <c r="L60" s="853"/>
      <c r="M60" s="853"/>
      <c r="N60" s="853"/>
      <c r="O60" s="853"/>
      <c r="P60" s="853"/>
      <c r="Q60" s="853"/>
      <c r="R60" s="853"/>
      <c r="S60" s="853"/>
    </row>
    <row r="61" spans="1:16384" s="3" customFormat="1" ht="13" customHeight="1">
      <c r="A61" s="3" t="s">
        <v>2721</v>
      </c>
      <c r="C61" s="852">
        <v>0.5</v>
      </c>
      <c r="E61" s="853"/>
      <c r="F61" s="853"/>
      <c r="G61" s="853"/>
      <c r="H61" s="853"/>
      <c r="I61" s="853"/>
      <c r="J61" s="853"/>
      <c r="K61" s="853"/>
      <c r="L61" s="853"/>
      <c r="M61" s="853"/>
      <c r="N61" s="853"/>
      <c r="O61" s="853"/>
      <c r="P61" s="853"/>
      <c r="Q61" s="853"/>
      <c r="R61" s="853"/>
      <c r="S61" s="853"/>
    </row>
    <row r="62" spans="1:16384" s="855" customFormat="1">
      <c r="A62" s="857" t="s">
        <v>1399</v>
      </c>
      <c r="B62" s="857"/>
      <c r="C62" s="1220">
        <v>0.23</v>
      </c>
      <c r="E62" s="857">
        <f>(E57-E59)*$C$62</f>
        <v>0</v>
      </c>
      <c r="F62" s="857">
        <f t="shared" ref="F62:S62" si="40">(F57-F59)*$C$61</f>
        <v>0</v>
      </c>
      <c r="G62" s="857">
        <f t="shared" si="40"/>
        <v>0</v>
      </c>
      <c r="H62" s="857">
        <f t="shared" si="40"/>
        <v>0</v>
      </c>
      <c r="I62" s="857">
        <f t="shared" si="40"/>
        <v>0</v>
      </c>
      <c r="J62" s="857">
        <f t="shared" si="40"/>
        <v>0</v>
      </c>
      <c r="K62" s="857">
        <f t="shared" si="40"/>
        <v>0</v>
      </c>
      <c r="L62" s="857">
        <f t="shared" si="40"/>
        <v>0</v>
      </c>
      <c r="M62" s="857">
        <f t="shared" si="40"/>
        <v>0</v>
      </c>
      <c r="N62" s="857">
        <f t="shared" si="40"/>
        <v>0</v>
      </c>
      <c r="O62" s="857">
        <f t="shared" si="40"/>
        <v>0</v>
      </c>
      <c r="P62" s="857">
        <f t="shared" si="40"/>
        <v>0</v>
      </c>
      <c r="Q62" s="857">
        <f t="shared" si="40"/>
        <v>0</v>
      </c>
      <c r="R62" s="857">
        <f t="shared" si="40"/>
        <v>0</v>
      </c>
      <c r="S62" s="857">
        <f t="shared" si="40"/>
        <v>0</v>
      </c>
    </row>
    <row r="63" spans="1:16384" s="853" customFormat="1">
      <c r="A63" s="858" t="s">
        <v>1401</v>
      </c>
      <c r="B63" s="858"/>
      <c r="C63" s="1220">
        <v>0.22</v>
      </c>
      <c r="E63" s="857">
        <f>(E57-E59)*$C$63</f>
        <v>0</v>
      </c>
      <c r="F63" s="857">
        <f t="shared" ref="F63:S63" si="41">(F57-F59)*$C$61</f>
        <v>0</v>
      </c>
      <c r="G63" s="857">
        <f t="shared" si="41"/>
        <v>0</v>
      </c>
      <c r="H63" s="857">
        <f>(H57-H59)*$C$61</f>
        <v>0</v>
      </c>
      <c r="I63" s="857">
        <f t="shared" si="41"/>
        <v>0</v>
      </c>
      <c r="J63" s="857">
        <f t="shared" si="41"/>
        <v>0</v>
      </c>
      <c r="K63" s="857">
        <f t="shared" si="41"/>
        <v>0</v>
      </c>
      <c r="L63" s="857">
        <f t="shared" si="41"/>
        <v>0</v>
      </c>
      <c r="M63" s="857">
        <f t="shared" si="41"/>
        <v>0</v>
      </c>
      <c r="N63" s="857">
        <f t="shared" si="41"/>
        <v>0</v>
      </c>
      <c r="O63" s="857">
        <f t="shared" si="41"/>
        <v>0</v>
      </c>
      <c r="P63" s="857">
        <f t="shared" si="41"/>
        <v>0</v>
      </c>
      <c r="Q63" s="857">
        <f t="shared" si="41"/>
        <v>0</v>
      </c>
      <c r="R63" s="857">
        <f t="shared" si="41"/>
        <v>0</v>
      </c>
      <c r="S63" s="857">
        <f t="shared" si="41"/>
        <v>0</v>
      </c>
    </row>
    <row r="64" spans="1:16384" s="853" customFormat="1">
      <c r="A64" s="858" t="s">
        <v>2760</v>
      </c>
      <c r="B64" s="858"/>
      <c r="C64" s="1220">
        <v>0.05</v>
      </c>
      <c r="E64" s="857">
        <f>(E57-E59)*$C$64</f>
        <v>0</v>
      </c>
      <c r="F64" s="857">
        <f t="shared" ref="F64:BQ64" si="42">(F57-F59)*$C$64</f>
        <v>0</v>
      </c>
      <c r="G64" s="857">
        <f t="shared" si="42"/>
        <v>0</v>
      </c>
      <c r="H64" s="857">
        <f t="shared" si="42"/>
        <v>0</v>
      </c>
      <c r="I64" s="857">
        <f t="shared" si="42"/>
        <v>0</v>
      </c>
      <c r="J64" s="857">
        <f t="shared" si="42"/>
        <v>0</v>
      </c>
      <c r="K64" s="857">
        <f t="shared" si="42"/>
        <v>0</v>
      </c>
      <c r="L64" s="857">
        <f t="shared" si="42"/>
        <v>0</v>
      </c>
      <c r="M64" s="857">
        <f t="shared" si="42"/>
        <v>0</v>
      </c>
      <c r="N64" s="857">
        <f t="shared" si="42"/>
        <v>0</v>
      </c>
      <c r="O64" s="857">
        <f t="shared" si="42"/>
        <v>0</v>
      </c>
      <c r="P64" s="857">
        <f>(P57-P59)*$C$64</f>
        <v>0</v>
      </c>
      <c r="Q64" s="857">
        <f t="shared" si="42"/>
        <v>0</v>
      </c>
      <c r="R64" s="857">
        <f t="shared" si="42"/>
        <v>0</v>
      </c>
      <c r="S64" s="857">
        <f t="shared" si="42"/>
        <v>0</v>
      </c>
      <c r="T64" s="857">
        <f t="shared" si="42"/>
        <v>0</v>
      </c>
      <c r="U64" s="857">
        <f t="shared" si="42"/>
        <v>0</v>
      </c>
      <c r="V64" s="857">
        <f t="shared" si="42"/>
        <v>0</v>
      </c>
      <c r="W64" s="857">
        <f t="shared" si="42"/>
        <v>0</v>
      </c>
      <c r="X64" s="857">
        <f t="shared" si="42"/>
        <v>0</v>
      </c>
      <c r="Y64" s="857">
        <f t="shared" si="42"/>
        <v>0</v>
      </c>
      <c r="Z64" s="857">
        <f t="shared" si="42"/>
        <v>0</v>
      </c>
      <c r="AA64" s="857">
        <f t="shared" si="42"/>
        <v>0</v>
      </c>
      <c r="AB64" s="857">
        <f t="shared" si="42"/>
        <v>0</v>
      </c>
      <c r="AC64" s="857">
        <f t="shared" si="42"/>
        <v>0</v>
      </c>
      <c r="AD64" s="857">
        <f t="shared" si="42"/>
        <v>0</v>
      </c>
      <c r="AE64" s="857">
        <f t="shared" si="42"/>
        <v>0</v>
      </c>
      <c r="AF64" s="857">
        <f t="shared" si="42"/>
        <v>0</v>
      </c>
      <c r="AG64" s="857">
        <f t="shared" si="42"/>
        <v>0</v>
      </c>
      <c r="AH64" s="857">
        <f t="shared" si="42"/>
        <v>0</v>
      </c>
      <c r="AI64" s="857">
        <f t="shared" si="42"/>
        <v>0</v>
      </c>
      <c r="AJ64" s="857">
        <f t="shared" si="42"/>
        <v>0</v>
      </c>
      <c r="AK64" s="857">
        <f t="shared" si="42"/>
        <v>0</v>
      </c>
      <c r="AL64" s="857">
        <f t="shared" si="42"/>
        <v>0</v>
      </c>
      <c r="AM64" s="857">
        <f t="shared" si="42"/>
        <v>0</v>
      </c>
      <c r="AN64" s="857">
        <f t="shared" si="42"/>
        <v>0</v>
      </c>
      <c r="AO64" s="857">
        <f t="shared" si="42"/>
        <v>0</v>
      </c>
      <c r="AP64" s="857">
        <f t="shared" si="42"/>
        <v>0</v>
      </c>
      <c r="AQ64" s="857">
        <f t="shared" si="42"/>
        <v>0</v>
      </c>
      <c r="AR64" s="857">
        <f t="shared" si="42"/>
        <v>0</v>
      </c>
      <c r="AS64" s="857">
        <f t="shared" si="42"/>
        <v>0</v>
      </c>
      <c r="AT64" s="857">
        <f t="shared" si="42"/>
        <v>0</v>
      </c>
      <c r="AU64" s="857">
        <f t="shared" si="42"/>
        <v>0</v>
      </c>
      <c r="AV64" s="857">
        <f t="shared" si="42"/>
        <v>0</v>
      </c>
      <c r="AW64" s="857">
        <f t="shared" si="42"/>
        <v>0</v>
      </c>
      <c r="AX64" s="857">
        <f t="shared" si="42"/>
        <v>0</v>
      </c>
      <c r="AY64" s="857">
        <f t="shared" si="42"/>
        <v>0</v>
      </c>
      <c r="AZ64" s="857">
        <f t="shared" si="42"/>
        <v>0</v>
      </c>
      <c r="BA64" s="857">
        <f t="shared" si="42"/>
        <v>0</v>
      </c>
      <c r="BB64" s="857">
        <f t="shared" si="42"/>
        <v>0</v>
      </c>
      <c r="BC64" s="857">
        <f t="shared" si="42"/>
        <v>0</v>
      </c>
      <c r="BD64" s="857">
        <f t="shared" si="42"/>
        <v>0</v>
      </c>
      <c r="BE64" s="857">
        <f t="shared" si="42"/>
        <v>0</v>
      </c>
      <c r="BF64" s="857">
        <f t="shared" si="42"/>
        <v>0</v>
      </c>
      <c r="BG64" s="857">
        <f t="shared" si="42"/>
        <v>0</v>
      </c>
      <c r="BH64" s="857">
        <f t="shared" si="42"/>
        <v>0</v>
      </c>
      <c r="BI64" s="857">
        <f t="shared" si="42"/>
        <v>0</v>
      </c>
      <c r="BJ64" s="857">
        <f t="shared" si="42"/>
        <v>0</v>
      </c>
      <c r="BK64" s="857">
        <f t="shared" si="42"/>
        <v>0</v>
      </c>
      <c r="BL64" s="857">
        <f t="shared" si="42"/>
        <v>0</v>
      </c>
      <c r="BM64" s="857">
        <f t="shared" si="42"/>
        <v>0</v>
      </c>
      <c r="BN64" s="857">
        <f t="shared" si="42"/>
        <v>0</v>
      </c>
      <c r="BO64" s="857">
        <f t="shared" si="42"/>
        <v>0</v>
      </c>
      <c r="BP64" s="857">
        <f t="shared" si="42"/>
        <v>0</v>
      </c>
      <c r="BQ64" s="857">
        <f t="shared" si="42"/>
        <v>0</v>
      </c>
      <c r="BR64" s="857">
        <f t="shared" ref="BR64:EC64" si="43">(BR57-BR59)*$C$64</f>
        <v>0</v>
      </c>
      <c r="BS64" s="857">
        <f t="shared" si="43"/>
        <v>0</v>
      </c>
      <c r="BT64" s="857">
        <f t="shared" si="43"/>
        <v>0</v>
      </c>
      <c r="BU64" s="857">
        <f t="shared" si="43"/>
        <v>0</v>
      </c>
      <c r="BV64" s="857">
        <f t="shared" si="43"/>
        <v>0</v>
      </c>
      <c r="BW64" s="857">
        <f t="shared" si="43"/>
        <v>0</v>
      </c>
      <c r="BX64" s="857">
        <f t="shared" si="43"/>
        <v>0</v>
      </c>
      <c r="BY64" s="857">
        <f t="shared" si="43"/>
        <v>0</v>
      </c>
      <c r="BZ64" s="857">
        <f t="shared" si="43"/>
        <v>0</v>
      </c>
      <c r="CA64" s="857">
        <f t="shared" si="43"/>
        <v>0</v>
      </c>
      <c r="CB64" s="857">
        <f t="shared" si="43"/>
        <v>0</v>
      </c>
      <c r="CC64" s="857">
        <f t="shared" si="43"/>
        <v>0</v>
      </c>
      <c r="CD64" s="857">
        <f t="shared" si="43"/>
        <v>0</v>
      </c>
      <c r="CE64" s="857">
        <f t="shared" si="43"/>
        <v>0</v>
      </c>
      <c r="CF64" s="857">
        <f t="shared" si="43"/>
        <v>0</v>
      </c>
      <c r="CG64" s="857">
        <f t="shared" si="43"/>
        <v>0</v>
      </c>
      <c r="CH64" s="857">
        <f t="shared" si="43"/>
        <v>0</v>
      </c>
      <c r="CI64" s="857">
        <f t="shared" si="43"/>
        <v>0</v>
      </c>
      <c r="CJ64" s="857">
        <f t="shared" si="43"/>
        <v>0</v>
      </c>
      <c r="CK64" s="857">
        <f t="shared" si="43"/>
        <v>0</v>
      </c>
      <c r="CL64" s="857">
        <f t="shared" si="43"/>
        <v>0</v>
      </c>
      <c r="CM64" s="857">
        <f t="shared" si="43"/>
        <v>0</v>
      </c>
      <c r="CN64" s="857">
        <f t="shared" si="43"/>
        <v>0</v>
      </c>
      <c r="CO64" s="857">
        <f t="shared" si="43"/>
        <v>0</v>
      </c>
      <c r="CP64" s="857">
        <f t="shared" si="43"/>
        <v>0</v>
      </c>
      <c r="CQ64" s="857">
        <f t="shared" si="43"/>
        <v>0</v>
      </c>
      <c r="CR64" s="857">
        <f t="shared" si="43"/>
        <v>0</v>
      </c>
      <c r="CS64" s="857">
        <f t="shared" si="43"/>
        <v>0</v>
      </c>
      <c r="CT64" s="857">
        <f t="shared" si="43"/>
        <v>0</v>
      </c>
      <c r="CU64" s="857">
        <f t="shared" si="43"/>
        <v>0</v>
      </c>
      <c r="CV64" s="857">
        <f t="shared" si="43"/>
        <v>0</v>
      </c>
      <c r="CW64" s="857">
        <f t="shared" si="43"/>
        <v>0</v>
      </c>
      <c r="CX64" s="857">
        <f t="shared" si="43"/>
        <v>0</v>
      </c>
      <c r="CY64" s="857">
        <f t="shared" si="43"/>
        <v>0</v>
      </c>
      <c r="CZ64" s="857">
        <f t="shared" si="43"/>
        <v>0</v>
      </c>
      <c r="DA64" s="857">
        <f t="shared" si="43"/>
        <v>0</v>
      </c>
      <c r="DB64" s="857">
        <f t="shared" si="43"/>
        <v>0</v>
      </c>
      <c r="DC64" s="857">
        <f t="shared" si="43"/>
        <v>0</v>
      </c>
      <c r="DD64" s="857">
        <f t="shared" si="43"/>
        <v>0</v>
      </c>
      <c r="DE64" s="857">
        <f t="shared" si="43"/>
        <v>0</v>
      </c>
      <c r="DF64" s="857">
        <f t="shared" si="43"/>
        <v>0</v>
      </c>
      <c r="DG64" s="857">
        <f t="shared" si="43"/>
        <v>0</v>
      </c>
      <c r="DH64" s="857">
        <f t="shared" si="43"/>
        <v>0</v>
      </c>
      <c r="DI64" s="857">
        <f t="shared" si="43"/>
        <v>0</v>
      </c>
      <c r="DJ64" s="857">
        <f t="shared" si="43"/>
        <v>0</v>
      </c>
      <c r="DK64" s="857">
        <f t="shared" si="43"/>
        <v>0</v>
      </c>
      <c r="DL64" s="857">
        <f t="shared" si="43"/>
        <v>0</v>
      </c>
      <c r="DM64" s="857">
        <f t="shared" si="43"/>
        <v>0</v>
      </c>
      <c r="DN64" s="857">
        <f t="shared" si="43"/>
        <v>0</v>
      </c>
      <c r="DO64" s="857">
        <f t="shared" si="43"/>
        <v>0</v>
      </c>
      <c r="DP64" s="857">
        <f t="shared" si="43"/>
        <v>0</v>
      </c>
      <c r="DQ64" s="857">
        <f t="shared" si="43"/>
        <v>0</v>
      </c>
      <c r="DR64" s="857">
        <f t="shared" si="43"/>
        <v>0</v>
      </c>
      <c r="DS64" s="857">
        <f t="shared" si="43"/>
        <v>0</v>
      </c>
      <c r="DT64" s="857">
        <f t="shared" si="43"/>
        <v>0</v>
      </c>
      <c r="DU64" s="857">
        <f t="shared" si="43"/>
        <v>0</v>
      </c>
      <c r="DV64" s="857">
        <f t="shared" si="43"/>
        <v>0</v>
      </c>
      <c r="DW64" s="857">
        <f t="shared" si="43"/>
        <v>0</v>
      </c>
      <c r="DX64" s="857">
        <f t="shared" si="43"/>
        <v>0</v>
      </c>
      <c r="DY64" s="857">
        <f t="shared" si="43"/>
        <v>0</v>
      </c>
      <c r="DZ64" s="857">
        <f t="shared" si="43"/>
        <v>0</v>
      </c>
      <c r="EA64" s="857">
        <f t="shared" si="43"/>
        <v>0</v>
      </c>
      <c r="EB64" s="857">
        <f t="shared" si="43"/>
        <v>0</v>
      </c>
      <c r="EC64" s="857">
        <f t="shared" si="43"/>
        <v>0</v>
      </c>
      <c r="ED64" s="857">
        <f t="shared" ref="ED64:GO64" si="44">(ED57-ED59)*$C$64</f>
        <v>0</v>
      </c>
      <c r="EE64" s="857">
        <f t="shared" si="44"/>
        <v>0</v>
      </c>
      <c r="EF64" s="857">
        <f t="shared" si="44"/>
        <v>0</v>
      </c>
      <c r="EG64" s="857">
        <f t="shared" si="44"/>
        <v>0</v>
      </c>
      <c r="EH64" s="857">
        <f t="shared" si="44"/>
        <v>0</v>
      </c>
      <c r="EI64" s="857">
        <f t="shared" si="44"/>
        <v>0</v>
      </c>
      <c r="EJ64" s="857">
        <f t="shared" si="44"/>
        <v>0</v>
      </c>
      <c r="EK64" s="857">
        <f t="shared" si="44"/>
        <v>0</v>
      </c>
      <c r="EL64" s="857">
        <f t="shared" si="44"/>
        <v>0</v>
      </c>
      <c r="EM64" s="857">
        <f t="shared" si="44"/>
        <v>0</v>
      </c>
      <c r="EN64" s="857">
        <f t="shared" si="44"/>
        <v>0</v>
      </c>
      <c r="EO64" s="857">
        <f t="shared" si="44"/>
        <v>0</v>
      </c>
      <c r="EP64" s="857">
        <f t="shared" si="44"/>
        <v>0</v>
      </c>
      <c r="EQ64" s="857">
        <f t="shared" si="44"/>
        <v>0</v>
      </c>
      <c r="ER64" s="857">
        <f t="shared" si="44"/>
        <v>0</v>
      </c>
      <c r="ES64" s="857">
        <f t="shared" si="44"/>
        <v>0</v>
      </c>
      <c r="ET64" s="857">
        <f t="shared" si="44"/>
        <v>0</v>
      </c>
      <c r="EU64" s="857">
        <f t="shared" si="44"/>
        <v>0</v>
      </c>
      <c r="EV64" s="857">
        <f t="shared" si="44"/>
        <v>0</v>
      </c>
      <c r="EW64" s="857">
        <f t="shared" si="44"/>
        <v>0</v>
      </c>
      <c r="EX64" s="857">
        <f t="shared" si="44"/>
        <v>0</v>
      </c>
      <c r="EY64" s="857">
        <f t="shared" si="44"/>
        <v>0</v>
      </c>
      <c r="EZ64" s="857">
        <f t="shared" si="44"/>
        <v>0</v>
      </c>
      <c r="FA64" s="857">
        <f t="shared" si="44"/>
        <v>0</v>
      </c>
      <c r="FB64" s="857">
        <f t="shared" si="44"/>
        <v>0</v>
      </c>
      <c r="FC64" s="857">
        <f t="shared" si="44"/>
        <v>0</v>
      </c>
      <c r="FD64" s="857">
        <f t="shared" si="44"/>
        <v>0</v>
      </c>
      <c r="FE64" s="857">
        <f t="shared" si="44"/>
        <v>0</v>
      </c>
      <c r="FF64" s="857">
        <f t="shared" si="44"/>
        <v>0</v>
      </c>
      <c r="FG64" s="857">
        <f t="shared" si="44"/>
        <v>0</v>
      </c>
      <c r="FH64" s="857">
        <f t="shared" si="44"/>
        <v>0</v>
      </c>
      <c r="FI64" s="857">
        <f t="shared" si="44"/>
        <v>0</v>
      </c>
      <c r="FJ64" s="857">
        <f t="shared" si="44"/>
        <v>0</v>
      </c>
      <c r="FK64" s="857">
        <f t="shared" si="44"/>
        <v>0</v>
      </c>
      <c r="FL64" s="857">
        <f t="shared" si="44"/>
        <v>0</v>
      </c>
      <c r="FM64" s="857">
        <f t="shared" si="44"/>
        <v>0</v>
      </c>
      <c r="FN64" s="857">
        <f t="shared" si="44"/>
        <v>0</v>
      </c>
      <c r="FO64" s="857">
        <f t="shared" si="44"/>
        <v>0</v>
      </c>
      <c r="FP64" s="857">
        <f t="shared" si="44"/>
        <v>0</v>
      </c>
      <c r="FQ64" s="857">
        <f t="shared" si="44"/>
        <v>0</v>
      </c>
      <c r="FR64" s="857">
        <f t="shared" si="44"/>
        <v>0</v>
      </c>
      <c r="FS64" s="857">
        <f t="shared" si="44"/>
        <v>0</v>
      </c>
      <c r="FT64" s="857">
        <f t="shared" si="44"/>
        <v>0</v>
      </c>
      <c r="FU64" s="857">
        <f t="shared" si="44"/>
        <v>0</v>
      </c>
      <c r="FV64" s="857">
        <f t="shared" si="44"/>
        <v>0</v>
      </c>
      <c r="FW64" s="857">
        <f t="shared" si="44"/>
        <v>0</v>
      </c>
      <c r="FX64" s="857">
        <f t="shared" si="44"/>
        <v>0</v>
      </c>
      <c r="FY64" s="857">
        <f t="shared" si="44"/>
        <v>0</v>
      </c>
      <c r="FZ64" s="857">
        <f t="shared" si="44"/>
        <v>0</v>
      </c>
      <c r="GA64" s="857">
        <f t="shared" si="44"/>
        <v>0</v>
      </c>
      <c r="GB64" s="857">
        <f t="shared" si="44"/>
        <v>0</v>
      </c>
      <c r="GC64" s="857">
        <f t="shared" si="44"/>
        <v>0</v>
      </c>
      <c r="GD64" s="857">
        <f t="shared" si="44"/>
        <v>0</v>
      </c>
      <c r="GE64" s="857">
        <f t="shared" si="44"/>
        <v>0</v>
      </c>
      <c r="GF64" s="857">
        <f t="shared" si="44"/>
        <v>0</v>
      </c>
      <c r="GG64" s="857">
        <f t="shared" si="44"/>
        <v>0</v>
      </c>
      <c r="GH64" s="857">
        <f t="shared" si="44"/>
        <v>0</v>
      </c>
      <c r="GI64" s="857">
        <f t="shared" si="44"/>
        <v>0</v>
      </c>
      <c r="GJ64" s="857">
        <f t="shared" si="44"/>
        <v>0</v>
      </c>
      <c r="GK64" s="857">
        <f t="shared" si="44"/>
        <v>0</v>
      </c>
      <c r="GL64" s="857">
        <f t="shared" si="44"/>
        <v>0</v>
      </c>
      <c r="GM64" s="857">
        <f t="shared" si="44"/>
        <v>0</v>
      </c>
      <c r="GN64" s="857">
        <f t="shared" si="44"/>
        <v>0</v>
      </c>
      <c r="GO64" s="857">
        <f t="shared" si="44"/>
        <v>0</v>
      </c>
      <c r="GP64" s="857">
        <f t="shared" ref="GP64:JA64" si="45">(GP57-GP59)*$C$64</f>
        <v>0</v>
      </c>
      <c r="GQ64" s="857">
        <f t="shared" si="45"/>
        <v>0</v>
      </c>
      <c r="GR64" s="857">
        <f t="shared" si="45"/>
        <v>0</v>
      </c>
      <c r="GS64" s="857">
        <f t="shared" si="45"/>
        <v>0</v>
      </c>
      <c r="GT64" s="857">
        <f t="shared" si="45"/>
        <v>0</v>
      </c>
      <c r="GU64" s="857">
        <f t="shared" si="45"/>
        <v>0</v>
      </c>
      <c r="GV64" s="857">
        <f t="shared" si="45"/>
        <v>0</v>
      </c>
      <c r="GW64" s="857">
        <f t="shared" si="45"/>
        <v>0</v>
      </c>
      <c r="GX64" s="857">
        <f t="shared" si="45"/>
        <v>0</v>
      </c>
      <c r="GY64" s="857">
        <f t="shared" si="45"/>
        <v>0</v>
      </c>
      <c r="GZ64" s="857">
        <f t="shared" si="45"/>
        <v>0</v>
      </c>
      <c r="HA64" s="857">
        <f t="shared" si="45"/>
        <v>0</v>
      </c>
      <c r="HB64" s="857">
        <f t="shared" si="45"/>
        <v>0</v>
      </c>
      <c r="HC64" s="857">
        <f t="shared" si="45"/>
        <v>0</v>
      </c>
      <c r="HD64" s="857">
        <f t="shared" si="45"/>
        <v>0</v>
      </c>
      <c r="HE64" s="857">
        <f t="shared" si="45"/>
        <v>0</v>
      </c>
      <c r="HF64" s="857">
        <f t="shared" si="45"/>
        <v>0</v>
      </c>
      <c r="HG64" s="857">
        <f t="shared" si="45"/>
        <v>0</v>
      </c>
      <c r="HH64" s="857">
        <f t="shared" si="45"/>
        <v>0</v>
      </c>
      <c r="HI64" s="857">
        <f t="shared" si="45"/>
        <v>0</v>
      </c>
      <c r="HJ64" s="857">
        <f t="shared" si="45"/>
        <v>0</v>
      </c>
      <c r="HK64" s="857">
        <f t="shared" si="45"/>
        <v>0</v>
      </c>
      <c r="HL64" s="857">
        <f t="shared" si="45"/>
        <v>0</v>
      </c>
      <c r="HM64" s="857">
        <f t="shared" si="45"/>
        <v>0</v>
      </c>
      <c r="HN64" s="857">
        <f t="shared" si="45"/>
        <v>0</v>
      </c>
      <c r="HO64" s="857">
        <f t="shared" si="45"/>
        <v>0</v>
      </c>
      <c r="HP64" s="857">
        <f t="shared" si="45"/>
        <v>0</v>
      </c>
      <c r="HQ64" s="857">
        <f t="shared" si="45"/>
        <v>0</v>
      </c>
      <c r="HR64" s="857">
        <f t="shared" si="45"/>
        <v>0</v>
      </c>
      <c r="HS64" s="857">
        <f t="shared" si="45"/>
        <v>0</v>
      </c>
      <c r="HT64" s="857">
        <f t="shared" si="45"/>
        <v>0</v>
      </c>
      <c r="HU64" s="857">
        <f t="shared" si="45"/>
        <v>0</v>
      </c>
      <c r="HV64" s="857">
        <f t="shared" si="45"/>
        <v>0</v>
      </c>
      <c r="HW64" s="857">
        <f t="shared" si="45"/>
        <v>0</v>
      </c>
      <c r="HX64" s="857">
        <f t="shared" si="45"/>
        <v>0</v>
      </c>
      <c r="HY64" s="857">
        <f t="shared" si="45"/>
        <v>0</v>
      </c>
      <c r="HZ64" s="857">
        <f t="shared" si="45"/>
        <v>0</v>
      </c>
      <c r="IA64" s="857">
        <f t="shared" si="45"/>
        <v>0</v>
      </c>
      <c r="IB64" s="857">
        <f t="shared" si="45"/>
        <v>0</v>
      </c>
      <c r="IC64" s="857">
        <f t="shared" si="45"/>
        <v>0</v>
      </c>
      <c r="ID64" s="857">
        <f t="shared" si="45"/>
        <v>0</v>
      </c>
      <c r="IE64" s="857">
        <f t="shared" si="45"/>
        <v>0</v>
      </c>
      <c r="IF64" s="857">
        <f t="shared" si="45"/>
        <v>0</v>
      </c>
      <c r="IG64" s="857">
        <f t="shared" si="45"/>
        <v>0</v>
      </c>
      <c r="IH64" s="857">
        <f t="shared" si="45"/>
        <v>0</v>
      </c>
      <c r="II64" s="857">
        <f t="shared" si="45"/>
        <v>0</v>
      </c>
      <c r="IJ64" s="857">
        <f t="shared" si="45"/>
        <v>0</v>
      </c>
      <c r="IK64" s="857">
        <f t="shared" si="45"/>
        <v>0</v>
      </c>
      <c r="IL64" s="857">
        <f t="shared" si="45"/>
        <v>0</v>
      </c>
      <c r="IM64" s="857">
        <f t="shared" si="45"/>
        <v>0</v>
      </c>
      <c r="IN64" s="857">
        <f t="shared" si="45"/>
        <v>0</v>
      </c>
      <c r="IO64" s="857">
        <f t="shared" si="45"/>
        <v>0</v>
      </c>
      <c r="IP64" s="857">
        <f t="shared" si="45"/>
        <v>0</v>
      </c>
      <c r="IQ64" s="857">
        <f t="shared" si="45"/>
        <v>0</v>
      </c>
      <c r="IR64" s="857">
        <f t="shared" si="45"/>
        <v>0</v>
      </c>
      <c r="IS64" s="857">
        <f t="shared" si="45"/>
        <v>0</v>
      </c>
      <c r="IT64" s="857">
        <f t="shared" si="45"/>
        <v>0</v>
      </c>
      <c r="IU64" s="857">
        <f t="shared" si="45"/>
        <v>0</v>
      </c>
      <c r="IV64" s="857">
        <f t="shared" si="45"/>
        <v>0</v>
      </c>
      <c r="IW64" s="857">
        <f t="shared" si="45"/>
        <v>0</v>
      </c>
      <c r="IX64" s="857">
        <f t="shared" si="45"/>
        <v>0</v>
      </c>
      <c r="IY64" s="857">
        <f t="shared" si="45"/>
        <v>0</v>
      </c>
      <c r="IZ64" s="857">
        <f t="shared" si="45"/>
        <v>0</v>
      </c>
      <c r="JA64" s="857">
        <f t="shared" si="45"/>
        <v>0</v>
      </c>
      <c r="JB64" s="857">
        <f t="shared" ref="JB64:LM64" si="46">(JB57-JB59)*$C$64</f>
        <v>0</v>
      </c>
      <c r="JC64" s="857">
        <f t="shared" si="46"/>
        <v>0</v>
      </c>
      <c r="JD64" s="857">
        <f t="shared" si="46"/>
        <v>0</v>
      </c>
      <c r="JE64" s="857">
        <f t="shared" si="46"/>
        <v>0</v>
      </c>
      <c r="JF64" s="857">
        <f t="shared" si="46"/>
        <v>0</v>
      </c>
      <c r="JG64" s="857">
        <f t="shared" si="46"/>
        <v>0</v>
      </c>
      <c r="JH64" s="857">
        <f t="shared" si="46"/>
        <v>0</v>
      </c>
      <c r="JI64" s="857">
        <f t="shared" si="46"/>
        <v>0</v>
      </c>
      <c r="JJ64" s="857">
        <f t="shared" si="46"/>
        <v>0</v>
      </c>
      <c r="JK64" s="857">
        <f t="shared" si="46"/>
        <v>0</v>
      </c>
      <c r="JL64" s="857">
        <f t="shared" si="46"/>
        <v>0</v>
      </c>
      <c r="JM64" s="857">
        <f t="shared" si="46"/>
        <v>0</v>
      </c>
      <c r="JN64" s="857">
        <f t="shared" si="46"/>
        <v>0</v>
      </c>
      <c r="JO64" s="857">
        <f t="shared" si="46"/>
        <v>0</v>
      </c>
      <c r="JP64" s="857">
        <f t="shared" si="46"/>
        <v>0</v>
      </c>
      <c r="JQ64" s="857">
        <f t="shared" si="46"/>
        <v>0</v>
      </c>
      <c r="JR64" s="857">
        <f t="shared" si="46"/>
        <v>0</v>
      </c>
      <c r="JS64" s="857">
        <f t="shared" si="46"/>
        <v>0</v>
      </c>
      <c r="JT64" s="857">
        <f t="shared" si="46"/>
        <v>0</v>
      </c>
      <c r="JU64" s="857">
        <f t="shared" si="46"/>
        <v>0</v>
      </c>
      <c r="JV64" s="857">
        <f t="shared" si="46"/>
        <v>0</v>
      </c>
      <c r="JW64" s="857">
        <f t="shared" si="46"/>
        <v>0</v>
      </c>
      <c r="JX64" s="857">
        <f t="shared" si="46"/>
        <v>0</v>
      </c>
      <c r="JY64" s="857">
        <f t="shared" si="46"/>
        <v>0</v>
      </c>
      <c r="JZ64" s="857">
        <f t="shared" si="46"/>
        <v>0</v>
      </c>
      <c r="KA64" s="857">
        <f t="shared" si="46"/>
        <v>0</v>
      </c>
      <c r="KB64" s="857">
        <f t="shared" si="46"/>
        <v>0</v>
      </c>
      <c r="KC64" s="857">
        <f t="shared" si="46"/>
        <v>0</v>
      </c>
      <c r="KD64" s="857">
        <f t="shared" si="46"/>
        <v>0</v>
      </c>
      <c r="KE64" s="857">
        <f t="shared" si="46"/>
        <v>0</v>
      </c>
      <c r="KF64" s="857">
        <f t="shared" si="46"/>
        <v>0</v>
      </c>
      <c r="KG64" s="857">
        <f t="shared" si="46"/>
        <v>0</v>
      </c>
      <c r="KH64" s="857">
        <f t="shared" si="46"/>
        <v>0</v>
      </c>
      <c r="KI64" s="857">
        <f t="shared" si="46"/>
        <v>0</v>
      </c>
      <c r="KJ64" s="857">
        <f t="shared" si="46"/>
        <v>0</v>
      </c>
      <c r="KK64" s="857">
        <f t="shared" si="46"/>
        <v>0</v>
      </c>
      <c r="KL64" s="857">
        <f t="shared" si="46"/>
        <v>0</v>
      </c>
      <c r="KM64" s="857">
        <f t="shared" si="46"/>
        <v>0</v>
      </c>
      <c r="KN64" s="857">
        <f t="shared" si="46"/>
        <v>0</v>
      </c>
      <c r="KO64" s="857">
        <f t="shared" si="46"/>
        <v>0</v>
      </c>
      <c r="KP64" s="857">
        <f t="shared" si="46"/>
        <v>0</v>
      </c>
      <c r="KQ64" s="857">
        <f t="shared" si="46"/>
        <v>0</v>
      </c>
      <c r="KR64" s="857">
        <f t="shared" si="46"/>
        <v>0</v>
      </c>
      <c r="KS64" s="857">
        <f t="shared" si="46"/>
        <v>0</v>
      </c>
      <c r="KT64" s="857">
        <f t="shared" si="46"/>
        <v>0</v>
      </c>
      <c r="KU64" s="857">
        <f t="shared" si="46"/>
        <v>0</v>
      </c>
      <c r="KV64" s="857">
        <f t="shared" si="46"/>
        <v>0</v>
      </c>
      <c r="KW64" s="857">
        <f t="shared" si="46"/>
        <v>0</v>
      </c>
      <c r="KX64" s="857">
        <f t="shared" si="46"/>
        <v>0</v>
      </c>
      <c r="KY64" s="857">
        <f t="shared" si="46"/>
        <v>0</v>
      </c>
      <c r="KZ64" s="857">
        <f t="shared" si="46"/>
        <v>0</v>
      </c>
      <c r="LA64" s="857">
        <f t="shared" si="46"/>
        <v>0</v>
      </c>
      <c r="LB64" s="857">
        <f t="shared" si="46"/>
        <v>0</v>
      </c>
      <c r="LC64" s="857">
        <f t="shared" si="46"/>
        <v>0</v>
      </c>
      <c r="LD64" s="857">
        <f t="shared" si="46"/>
        <v>0</v>
      </c>
      <c r="LE64" s="857">
        <f t="shared" si="46"/>
        <v>0</v>
      </c>
      <c r="LF64" s="857">
        <f t="shared" si="46"/>
        <v>0</v>
      </c>
      <c r="LG64" s="857">
        <f t="shared" si="46"/>
        <v>0</v>
      </c>
      <c r="LH64" s="857">
        <f t="shared" si="46"/>
        <v>0</v>
      </c>
      <c r="LI64" s="857">
        <f t="shared" si="46"/>
        <v>0</v>
      </c>
      <c r="LJ64" s="857">
        <f t="shared" si="46"/>
        <v>0</v>
      </c>
      <c r="LK64" s="857">
        <f t="shared" si="46"/>
        <v>0</v>
      </c>
      <c r="LL64" s="857">
        <f t="shared" si="46"/>
        <v>0</v>
      </c>
      <c r="LM64" s="857">
        <f t="shared" si="46"/>
        <v>0</v>
      </c>
      <c r="LN64" s="857">
        <f t="shared" ref="LN64:NY64" si="47">(LN57-LN59)*$C$64</f>
        <v>0</v>
      </c>
      <c r="LO64" s="857">
        <f t="shared" si="47"/>
        <v>0</v>
      </c>
      <c r="LP64" s="857">
        <f t="shared" si="47"/>
        <v>0</v>
      </c>
      <c r="LQ64" s="857">
        <f t="shared" si="47"/>
        <v>0</v>
      </c>
      <c r="LR64" s="857">
        <f t="shared" si="47"/>
        <v>0</v>
      </c>
      <c r="LS64" s="857">
        <f t="shared" si="47"/>
        <v>0</v>
      </c>
      <c r="LT64" s="857">
        <f t="shared" si="47"/>
        <v>0</v>
      </c>
      <c r="LU64" s="857">
        <f t="shared" si="47"/>
        <v>0</v>
      </c>
      <c r="LV64" s="857">
        <f t="shared" si="47"/>
        <v>0</v>
      </c>
      <c r="LW64" s="857">
        <f t="shared" si="47"/>
        <v>0</v>
      </c>
      <c r="LX64" s="857">
        <f t="shared" si="47"/>
        <v>0</v>
      </c>
      <c r="LY64" s="857">
        <f t="shared" si="47"/>
        <v>0</v>
      </c>
      <c r="LZ64" s="857">
        <f t="shared" si="47"/>
        <v>0</v>
      </c>
      <c r="MA64" s="857">
        <f t="shared" si="47"/>
        <v>0</v>
      </c>
      <c r="MB64" s="857">
        <f t="shared" si="47"/>
        <v>0</v>
      </c>
      <c r="MC64" s="857">
        <f t="shared" si="47"/>
        <v>0</v>
      </c>
      <c r="MD64" s="857">
        <f t="shared" si="47"/>
        <v>0</v>
      </c>
      <c r="ME64" s="857">
        <f t="shared" si="47"/>
        <v>0</v>
      </c>
      <c r="MF64" s="857">
        <f t="shared" si="47"/>
        <v>0</v>
      </c>
      <c r="MG64" s="857">
        <f t="shared" si="47"/>
        <v>0</v>
      </c>
      <c r="MH64" s="857">
        <f t="shared" si="47"/>
        <v>0</v>
      </c>
      <c r="MI64" s="857">
        <f t="shared" si="47"/>
        <v>0</v>
      </c>
      <c r="MJ64" s="857">
        <f t="shared" si="47"/>
        <v>0</v>
      </c>
      <c r="MK64" s="857">
        <f t="shared" si="47"/>
        <v>0</v>
      </c>
      <c r="ML64" s="857">
        <f t="shared" si="47"/>
        <v>0</v>
      </c>
      <c r="MM64" s="857">
        <f t="shared" si="47"/>
        <v>0</v>
      </c>
      <c r="MN64" s="857">
        <f t="shared" si="47"/>
        <v>0</v>
      </c>
      <c r="MO64" s="857">
        <f t="shared" si="47"/>
        <v>0</v>
      </c>
      <c r="MP64" s="857">
        <f t="shared" si="47"/>
        <v>0</v>
      </c>
      <c r="MQ64" s="857">
        <f t="shared" si="47"/>
        <v>0</v>
      </c>
      <c r="MR64" s="857">
        <f t="shared" si="47"/>
        <v>0</v>
      </c>
      <c r="MS64" s="857">
        <f t="shared" si="47"/>
        <v>0</v>
      </c>
      <c r="MT64" s="857">
        <f t="shared" si="47"/>
        <v>0</v>
      </c>
      <c r="MU64" s="857">
        <f t="shared" si="47"/>
        <v>0</v>
      </c>
      <c r="MV64" s="857">
        <f t="shared" si="47"/>
        <v>0</v>
      </c>
      <c r="MW64" s="857">
        <f t="shared" si="47"/>
        <v>0</v>
      </c>
      <c r="MX64" s="857">
        <f t="shared" si="47"/>
        <v>0</v>
      </c>
      <c r="MY64" s="857">
        <f t="shared" si="47"/>
        <v>0</v>
      </c>
      <c r="MZ64" s="857">
        <f t="shared" si="47"/>
        <v>0</v>
      </c>
      <c r="NA64" s="857">
        <f t="shared" si="47"/>
        <v>0</v>
      </c>
      <c r="NB64" s="857">
        <f t="shared" si="47"/>
        <v>0</v>
      </c>
      <c r="NC64" s="857">
        <f t="shared" si="47"/>
        <v>0</v>
      </c>
      <c r="ND64" s="857">
        <f t="shared" si="47"/>
        <v>0</v>
      </c>
      <c r="NE64" s="857">
        <f t="shared" si="47"/>
        <v>0</v>
      </c>
      <c r="NF64" s="857">
        <f t="shared" si="47"/>
        <v>0</v>
      </c>
      <c r="NG64" s="857">
        <f t="shared" si="47"/>
        <v>0</v>
      </c>
      <c r="NH64" s="857">
        <f t="shared" si="47"/>
        <v>0</v>
      </c>
      <c r="NI64" s="857">
        <f t="shared" si="47"/>
        <v>0</v>
      </c>
      <c r="NJ64" s="857">
        <f t="shared" si="47"/>
        <v>0</v>
      </c>
      <c r="NK64" s="857">
        <f t="shared" si="47"/>
        <v>0</v>
      </c>
      <c r="NL64" s="857">
        <f t="shared" si="47"/>
        <v>0</v>
      </c>
      <c r="NM64" s="857">
        <f t="shared" si="47"/>
        <v>0</v>
      </c>
      <c r="NN64" s="857">
        <f t="shared" si="47"/>
        <v>0</v>
      </c>
      <c r="NO64" s="857">
        <f t="shared" si="47"/>
        <v>0</v>
      </c>
      <c r="NP64" s="857">
        <f t="shared" si="47"/>
        <v>0</v>
      </c>
      <c r="NQ64" s="857">
        <f t="shared" si="47"/>
        <v>0</v>
      </c>
      <c r="NR64" s="857">
        <f t="shared" si="47"/>
        <v>0</v>
      </c>
      <c r="NS64" s="857">
        <f t="shared" si="47"/>
        <v>0</v>
      </c>
      <c r="NT64" s="857">
        <f t="shared" si="47"/>
        <v>0</v>
      </c>
      <c r="NU64" s="857">
        <f t="shared" si="47"/>
        <v>0</v>
      </c>
      <c r="NV64" s="857">
        <f t="shared" si="47"/>
        <v>0</v>
      </c>
      <c r="NW64" s="857">
        <f t="shared" si="47"/>
        <v>0</v>
      </c>
      <c r="NX64" s="857">
        <f t="shared" si="47"/>
        <v>0</v>
      </c>
      <c r="NY64" s="857">
        <f t="shared" si="47"/>
        <v>0</v>
      </c>
      <c r="NZ64" s="857">
        <f t="shared" ref="NZ64:QK64" si="48">(NZ57-NZ59)*$C$64</f>
        <v>0</v>
      </c>
      <c r="OA64" s="857">
        <f t="shared" si="48"/>
        <v>0</v>
      </c>
      <c r="OB64" s="857">
        <f t="shared" si="48"/>
        <v>0</v>
      </c>
      <c r="OC64" s="857">
        <f t="shared" si="48"/>
        <v>0</v>
      </c>
      <c r="OD64" s="857">
        <f t="shared" si="48"/>
        <v>0</v>
      </c>
      <c r="OE64" s="857">
        <f t="shared" si="48"/>
        <v>0</v>
      </c>
      <c r="OF64" s="857">
        <f t="shared" si="48"/>
        <v>0</v>
      </c>
      <c r="OG64" s="857">
        <f t="shared" si="48"/>
        <v>0</v>
      </c>
      <c r="OH64" s="857">
        <f t="shared" si="48"/>
        <v>0</v>
      </c>
      <c r="OI64" s="857">
        <f t="shared" si="48"/>
        <v>0</v>
      </c>
      <c r="OJ64" s="857">
        <f t="shared" si="48"/>
        <v>0</v>
      </c>
      <c r="OK64" s="857">
        <f t="shared" si="48"/>
        <v>0</v>
      </c>
      <c r="OL64" s="857">
        <f t="shared" si="48"/>
        <v>0</v>
      </c>
      <c r="OM64" s="857">
        <f t="shared" si="48"/>
        <v>0</v>
      </c>
      <c r="ON64" s="857">
        <f t="shared" si="48"/>
        <v>0</v>
      </c>
      <c r="OO64" s="857">
        <f t="shared" si="48"/>
        <v>0</v>
      </c>
      <c r="OP64" s="857">
        <f t="shared" si="48"/>
        <v>0</v>
      </c>
      <c r="OQ64" s="857">
        <f t="shared" si="48"/>
        <v>0</v>
      </c>
      <c r="OR64" s="857">
        <f t="shared" si="48"/>
        <v>0</v>
      </c>
      <c r="OS64" s="857">
        <f t="shared" si="48"/>
        <v>0</v>
      </c>
      <c r="OT64" s="857">
        <f t="shared" si="48"/>
        <v>0</v>
      </c>
      <c r="OU64" s="857">
        <f t="shared" si="48"/>
        <v>0</v>
      </c>
      <c r="OV64" s="857">
        <f t="shared" si="48"/>
        <v>0</v>
      </c>
      <c r="OW64" s="857">
        <f t="shared" si="48"/>
        <v>0</v>
      </c>
      <c r="OX64" s="857">
        <f t="shared" si="48"/>
        <v>0</v>
      </c>
      <c r="OY64" s="857">
        <f t="shared" si="48"/>
        <v>0</v>
      </c>
      <c r="OZ64" s="857">
        <f t="shared" si="48"/>
        <v>0</v>
      </c>
      <c r="PA64" s="857">
        <f t="shared" si="48"/>
        <v>0</v>
      </c>
      <c r="PB64" s="857">
        <f t="shared" si="48"/>
        <v>0</v>
      </c>
      <c r="PC64" s="857">
        <f t="shared" si="48"/>
        <v>0</v>
      </c>
      <c r="PD64" s="857">
        <f t="shared" si="48"/>
        <v>0</v>
      </c>
      <c r="PE64" s="857">
        <f t="shared" si="48"/>
        <v>0</v>
      </c>
      <c r="PF64" s="857">
        <f t="shared" si="48"/>
        <v>0</v>
      </c>
      <c r="PG64" s="857">
        <f t="shared" si="48"/>
        <v>0</v>
      </c>
      <c r="PH64" s="857">
        <f t="shared" si="48"/>
        <v>0</v>
      </c>
      <c r="PI64" s="857">
        <f t="shared" si="48"/>
        <v>0</v>
      </c>
      <c r="PJ64" s="857">
        <f t="shared" si="48"/>
        <v>0</v>
      </c>
      <c r="PK64" s="857">
        <f t="shared" si="48"/>
        <v>0</v>
      </c>
      <c r="PL64" s="857">
        <f t="shared" si="48"/>
        <v>0</v>
      </c>
      <c r="PM64" s="857">
        <f t="shared" si="48"/>
        <v>0</v>
      </c>
      <c r="PN64" s="857">
        <f t="shared" si="48"/>
        <v>0</v>
      </c>
      <c r="PO64" s="857">
        <f t="shared" si="48"/>
        <v>0</v>
      </c>
      <c r="PP64" s="857">
        <f t="shared" si="48"/>
        <v>0</v>
      </c>
      <c r="PQ64" s="857">
        <f t="shared" si="48"/>
        <v>0</v>
      </c>
      <c r="PR64" s="857">
        <f t="shared" si="48"/>
        <v>0</v>
      </c>
      <c r="PS64" s="857">
        <f t="shared" si="48"/>
        <v>0</v>
      </c>
      <c r="PT64" s="857">
        <f t="shared" si="48"/>
        <v>0</v>
      </c>
      <c r="PU64" s="857">
        <f t="shared" si="48"/>
        <v>0</v>
      </c>
      <c r="PV64" s="857">
        <f t="shared" si="48"/>
        <v>0</v>
      </c>
      <c r="PW64" s="857">
        <f t="shared" si="48"/>
        <v>0</v>
      </c>
      <c r="PX64" s="857">
        <f t="shared" si="48"/>
        <v>0</v>
      </c>
      <c r="PY64" s="857">
        <f t="shared" si="48"/>
        <v>0</v>
      </c>
      <c r="PZ64" s="857">
        <f t="shared" si="48"/>
        <v>0</v>
      </c>
      <c r="QA64" s="857">
        <f t="shared" si="48"/>
        <v>0</v>
      </c>
      <c r="QB64" s="857">
        <f t="shared" si="48"/>
        <v>0</v>
      </c>
      <c r="QC64" s="857">
        <f t="shared" si="48"/>
        <v>0</v>
      </c>
      <c r="QD64" s="857">
        <f t="shared" si="48"/>
        <v>0</v>
      </c>
      <c r="QE64" s="857">
        <f t="shared" si="48"/>
        <v>0</v>
      </c>
      <c r="QF64" s="857">
        <f t="shared" si="48"/>
        <v>0</v>
      </c>
      <c r="QG64" s="857">
        <f t="shared" si="48"/>
        <v>0</v>
      </c>
      <c r="QH64" s="857">
        <f t="shared" si="48"/>
        <v>0</v>
      </c>
      <c r="QI64" s="857">
        <f t="shared" si="48"/>
        <v>0</v>
      </c>
      <c r="QJ64" s="857">
        <f t="shared" si="48"/>
        <v>0</v>
      </c>
      <c r="QK64" s="857">
        <f t="shared" si="48"/>
        <v>0</v>
      </c>
      <c r="QL64" s="857">
        <f t="shared" ref="QL64:SW64" si="49">(QL57-QL59)*$C$64</f>
        <v>0</v>
      </c>
      <c r="QM64" s="857">
        <f t="shared" si="49"/>
        <v>0</v>
      </c>
      <c r="QN64" s="857">
        <f t="shared" si="49"/>
        <v>0</v>
      </c>
      <c r="QO64" s="857">
        <f t="shared" si="49"/>
        <v>0</v>
      </c>
      <c r="QP64" s="857">
        <f t="shared" si="49"/>
        <v>0</v>
      </c>
      <c r="QQ64" s="857">
        <f t="shared" si="49"/>
        <v>0</v>
      </c>
      <c r="QR64" s="857">
        <f t="shared" si="49"/>
        <v>0</v>
      </c>
      <c r="QS64" s="857">
        <f t="shared" si="49"/>
        <v>0</v>
      </c>
      <c r="QT64" s="857">
        <f t="shared" si="49"/>
        <v>0</v>
      </c>
      <c r="QU64" s="857">
        <f t="shared" si="49"/>
        <v>0</v>
      </c>
      <c r="QV64" s="857">
        <f t="shared" si="49"/>
        <v>0</v>
      </c>
      <c r="QW64" s="857">
        <f t="shared" si="49"/>
        <v>0</v>
      </c>
      <c r="QX64" s="857">
        <f t="shared" si="49"/>
        <v>0</v>
      </c>
      <c r="QY64" s="857">
        <f t="shared" si="49"/>
        <v>0</v>
      </c>
      <c r="QZ64" s="857">
        <f t="shared" si="49"/>
        <v>0</v>
      </c>
      <c r="RA64" s="857">
        <f t="shared" si="49"/>
        <v>0</v>
      </c>
      <c r="RB64" s="857">
        <f t="shared" si="49"/>
        <v>0</v>
      </c>
      <c r="RC64" s="857">
        <f t="shared" si="49"/>
        <v>0</v>
      </c>
      <c r="RD64" s="857">
        <f t="shared" si="49"/>
        <v>0</v>
      </c>
      <c r="RE64" s="857">
        <f t="shared" si="49"/>
        <v>0</v>
      </c>
      <c r="RF64" s="857">
        <f t="shared" si="49"/>
        <v>0</v>
      </c>
      <c r="RG64" s="857">
        <f t="shared" si="49"/>
        <v>0</v>
      </c>
      <c r="RH64" s="857">
        <f t="shared" si="49"/>
        <v>0</v>
      </c>
      <c r="RI64" s="857">
        <f t="shared" si="49"/>
        <v>0</v>
      </c>
      <c r="RJ64" s="857">
        <f t="shared" si="49"/>
        <v>0</v>
      </c>
      <c r="RK64" s="857">
        <f t="shared" si="49"/>
        <v>0</v>
      </c>
      <c r="RL64" s="857">
        <f t="shared" si="49"/>
        <v>0</v>
      </c>
      <c r="RM64" s="857">
        <f t="shared" si="49"/>
        <v>0</v>
      </c>
      <c r="RN64" s="857">
        <f t="shared" si="49"/>
        <v>0</v>
      </c>
      <c r="RO64" s="857">
        <f t="shared" si="49"/>
        <v>0</v>
      </c>
      <c r="RP64" s="857">
        <f t="shared" si="49"/>
        <v>0</v>
      </c>
      <c r="RQ64" s="857">
        <f t="shared" si="49"/>
        <v>0</v>
      </c>
      <c r="RR64" s="857">
        <f t="shared" si="49"/>
        <v>0</v>
      </c>
      <c r="RS64" s="857">
        <f t="shared" si="49"/>
        <v>0</v>
      </c>
      <c r="RT64" s="857">
        <f t="shared" si="49"/>
        <v>0</v>
      </c>
      <c r="RU64" s="857">
        <f t="shared" si="49"/>
        <v>0</v>
      </c>
      <c r="RV64" s="857">
        <f t="shared" si="49"/>
        <v>0</v>
      </c>
      <c r="RW64" s="857">
        <f t="shared" si="49"/>
        <v>0</v>
      </c>
      <c r="RX64" s="857">
        <f t="shared" si="49"/>
        <v>0</v>
      </c>
      <c r="RY64" s="857">
        <f t="shared" si="49"/>
        <v>0</v>
      </c>
      <c r="RZ64" s="857">
        <f t="shared" si="49"/>
        <v>0</v>
      </c>
      <c r="SA64" s="857">
        <f t="shared" si="49"/>
        <v>0</v>
      </c>
      <c r="SB64" s="857">
        <f t="shared" si="49"/>
        <v>0</v>
      </c>
      <c r="SC64" s="857">
        <f t="shared" si="49"/>
        <v>0</v>
      </c>
      <c r="SD64" s="857">
        <f t="shared" si="49"/>
        <v>0</v>
      </c>
      <c r="SE64" s="857">
        <f t="shared" si="49"/>
        <v>0</v>
      </c>
      <c r="SF64" s="857">
        <f t="shared" si="49"/>
        <v>0</v>
      </c>
      <c r="SG64" s="857">
        <f t="shared" si="49"/>
        <v>0</v>
      </c>
      <c r="SH64" s="857">
        <f t="shared" si="49"/>
        <v>0</v>
      </c>
      <c r="SI64" s="857">
        <f t="shared" si="49"/>
        <v>0</v>
      </c>
      <c r="SJ64" s="857">
        <f t="shared" si="49"/>
        <v>0</v>
      </c>
      <c r="SK64" s="857">
        <f t="shared" si="49"/>
        <v>0</v>
      </c>
      <c r="SL64" s="857">
        <f t="shared" si="49"/>
        <v>0</v>
      </c>
      <c r="SM64" s="857">
        <f t="shared" si="49"/>
        <v>0</v>
      </c>
      <c r="SN64" s="857">
        <f t="shared" si="49"/>
        <v>0</v>
      </c>
      <c r="SO64" s="857">
        <f t="shared" si="49"/>
        <v>0</v>
      </c>
      <c r="SP64" s="857">
        <f t="shared" si="49"/>
        <v>0</v>
      </c>
      <c r="SQ64" s="857">
        <f t="shared" si="49"/>
        <v>0</v>
      </c>
      <c r="SR64" s="857">
        <f t="shared" si="49"/>
        <v>0</v>
      </c>
      <c r="SS64" s="857">
        <f t="shared" si="49"/>
        <v>0</v>
      </c>
      <c r="ST64" s="857">
        <f t="shared" si="49"/>
        <v>0</v>
      </c>
      <c r="SU64" s="857">
        <f t="shared" si="49"/>
        <v>0</v>
      </c>
      <c r="SV64" s="857">
        <f t="shared" si="49"/>
        <v>0</v>
      </c>
      <c r="SW64" s="857">
        <f t="shared" si="49"/>
        <v>0</v>
      </c>
      <c r="SX64" s="857">
        <f t="shared" ref="SX64:VI64" si="50">(SX57-SX59)*$C$64</f>
        <v>0</v>
      </c>
      <c r="SY64" s="857">
        <f t="shared" si="50"/>
        <v>0</v>
      </c>
      <c r="SZ64" s="857">
        <f t="shared" si="50"/>
        <v>0</v>
      </c>
      <c r="TA64" s="857">
        <f t="shared" si="50"/>
        <v>0</v>
      </c>
      <c r="TB64" s="857">
        <f t="shared" si="50"/>
        <v>0</v>
      </c>
      <c r="TC64" s="857">
        <f t="shared" si="50"/>
        <v>0</v>
      </c>
      <c r="TD64" s="857">
        <f t="shared" si="50"/>
        <v>0</v>
      </c>
      <c r="TE64" s="857">
        <f t="shared" si="50"/>
        <v>0</v>
      </c>
      <c r="TF64" s="857">
        <f t="shared" si="50"/>
        <v>0</v>
      </c>
      <c r="TG64" s="857">
        <f t="shared" si="50"/>
        <v>0</v>
      </c>
      <c r="TH64" s="857">
        <f t="shared" si="50"/>
        <v>0</v>
      </c>
      <c r="TI64" s="857">
        <f t="shared" si="50"/>
        <v>0</v>
      </c>
      <c r="TJ64" s="857">
        <f t="shared" si="50"/>
        <v>0</v>
      </c>
      <c r="TK64" s="857">
        <f t="shared" si="50"/>
        <v>0</v>
      </c>
      <c r="TL64" s="857">
        <f t="shared" si="50"/>
        <v>0</v>
      </c>
      <c r="TM64" s="857">
        <f t="shared" si="50"/>
        <v>0</v>
      </c>
      <c r="TN64" s="857">
        <f t="shared" si="50"/>
        <v>0</v>
      </c>
      <c r="TO64" s="857">
        <f t="shared" si="50"/>
        <v>0</v>
      </c>
      <c r="TP64" s="857">
        <f t="shared" si="50"/>
        <v>0</v>
      </c>
      <c r="TQ64" s="857">
        <f t="shared" si="50"/>
        <v>0</v>
      </c>
      <c r="TR64" s="857">
        <f t="shared" si="50"/>
        <v>0</v>
      </c>
      <c r="TS64" s="857">
        <f t="shared" si="50"/>
        <v>0</v>
      </c>
      <c r="TT64" s="857">
        <f t="shared" si="50"/>
        <v>0</v>
      </c>
      <c r="TU64" s="857">
        <f t="shared" si="50"/>
        <v>0</v>
      </c>
      <c r="TV64" s="857">
        <f t="shared" si="50"/>
        <v>0</v>
      </c>
      <c r="TW64" s="857">
        <f t="shared" si="50"/>
        <v>0</v>
      </c>
      <c r="TX64" s="857">
        <f t="shared" si="50"/>
        <v>0</v>
      </c>
      <c r="TY64" s="857">
        <f t="shared" si="50"/>
        <v>0</v>
      </c>
      <c r="TZ64" s="857">
        <f t="shared" si="50"/>
        <v>0</v>
      </c>
      <c r="UA64" s="857">
        <f t="shared" si="50"/>
        <v>0</v>
      </c>
      <c r="UB64" s="857">
        <f t="shared" si="50"/>
        <v>0</v>
      </c>
      <c r="UC64" s="857">
        <f t="shared" si="50"/>
        <v>0</v>
      </c>
      <c r="UD64" s="857">
        <f t="shared" si="50"/>
        <v>0</v>
      </c>
      <c r="UE64" s="857">
        <f t="shared" si="50"/>
        <v>0</v>
      </c>
      <c r="UF64" s="857">
        <f t="shared" si="50"/>
        <v>0</v>
      </c>
      <c r="UG64" s="857">
        <f t="shared" si="50"/>
        <v>0</v>
      </c>
      <c r="UH64" s="857">
        <f t="shared" si="50"/>
        <v>0</v>
      </c>
      <c r="UI64" s="857">
        <f t="shared" si="50"/>
        <v>0</v>
      </c>
      <c r="UJ64" s="857">
        <f t="shared" si="50"/>
        <v>0</v>
      </c>
      <c r="UK64" s="857">
        <f t="shared" si="50"/>
        <v>0</v>
      </c>
      <c r="UL64" s="857">
        <f t="shared" si="50"/>
        <v>0</v>
      </c>
      <c r="UM64" s="857">
        <f t="shared" si="50"/>
        <v>0</v>
      </c>
      <c r="UN64" s="857">
        <f t="shared" si="50"/>
        <v>0</v>
      </c>
      <c r="UO64" s="857">
        <f t="shared" si="50"/>
        <v>0</v>
      </c>
      <c r="UP64" s="857">
        <f t="shared" si="50"/>
        <v>0</v>
      </c>
      <c r="UQ64" s="857">
        <f t="shared" si="50"/>
        <v>0</v>
      </c>
      <c r="UR64" s="857">
        <f t="shared" si="50"/>
        <v>0</v>
      </c>
      <c r="US64" s="857">
        <f t="shared" si="50"/>
        <v>0</v>
      </c>
      <c r="UT64" s="857">
        <f t="shared" si="50"/>
        <v>0</v>
      </c>
      <c r="UU64" s="857">
        <f t="shared" si="50"/>
        <v>0</v>
      </c>
      <c r="UV64" s="857">
        <f t="shared" si="50"/>
        <v>0</v>
      </c>
      <c r="UW64" s="857">
        <f t="shared" si="50"/>
        <v>0</v>
      </c>
      <c r="UX64" s="857">
        <f t="shared" si="50"/>
        <v>0</v>
      </c>
      <c r="UY64" s="857">
        <f t="shared" si="50"/>
        <v>0</v>
      </c>
      <c r="UZ64" s="857">
        <f t="shared" si="50"/>
        <v>0</v>
      </c>
      <c r="VA64" s="857">
        <f t="shared" si="50"/>
        <v>0</v>
      </c>
      <c r="VB64" s="857">
        <f t="shared" si="50"/>
        <v>0</v>
      </c>
      <c r="VC64" s="857">
        <f t="shared" si="50"/>
        <v>0</v>
      </c>
      <c r="VD64" s="857">
        <f t="shared" si="50"/>
        <v>0</v>
      </c>
      <c r="VE64" s="857">
        <f t="shared" si="50"/>
        <v>0</v>
      </c>
      <c r="VF64" s="857">
        <f t="shared" si="50"/>
        <v>0</v>
      </c>
      <c r="VG64" s="857">
        <f t="shared" si="50"/>
        <v>0</v>
      </c>
      <c r="VH64" s="857">
        <f t="shared" si="50"/>
        <v>0</v>
      </c>
      <c r="VI64" s="857">
        <f t="shared" si="50"/>
        <v>0</v>
      </c>
      <c r="VJ64" s="857">
        <f t="shared" ref="VJ64:XU64" si="51">(VJ57-VJ59)*$C$64</f>
        <v>0</v>
      </c>
      <c r="VK64" s="857">
        <f t="shared" si="51"/>
        <v>0</v>
      </c>
      <c r="VL64" s="857">
        <f t="shared" si="51"/>
        <v>0</v>
      </c>
      <c r="VM64" s="857">
        <f t="shared" si="51"/>
        <v>0</v>
      </c>
      <c r="VN64" s="857">
        <f t="shared" si="51"/>
        <v>0</v>
      </c>
      <c r="VO64" s="857">
        <f t="shared" si="51"/>
        <v>0</v>
      </c>
      <c r="VP64" s="857">
        <f t="shared" si="51"/>
        <v>0</v>
      </c>
      <c r="VQ64" s="857">
        <f t="shared" si="51"/>
        <v>0</v>
      </c>
      <c r="VR64" s="857">
        <f t="shared" si="51"/>
        <v>0</v>
      </c>
      <c r="VS64" s="857">
        <f t="shared" si="51"/>
        <v>0</v>
      </c>
      <c r="VT64" s="857">
        <f t="shared" si="51"/>
        <v>0</v>
      </c>
      <c r="VU64" s="857">
        <f t="shared" si="51"/>
        <v>0</v>
      </c>
      <c r="VV64" s="857">
        <f t="shared" si="51"/>
        <v>0</v>
      </c>
      <c r="VW64" s="857">
        <f t="shared" si="51"/>
        <v>0</v>
      </c>
      <c r="VX64" s="857">
        <f t="shared" si="51"/>
        <v>0</v>
      </c>
      <c r="VY64" s="857">
        <f t="shared" si="51"/>
        <v>0</v>
      </c>
      <c r="VZ64" s="857">
        <f t="shared" si="51"/>
        <v>0</v>
      </c>
      <c r="WA64" s="857">
        <f t="shared" si="51"/>
        <v>0</v>
      </c>
      <c r="WB64" s="857">
        <f t="shared" si="51"/>
        <v>0</v>
      </c>
      <c r="WC64" s="857">
        <f t="shared" si="51"/>
        <v>0</v>
      </c>
      <c r="WD64" s="857">
        <f t="shared" si="51"/>
        <v>0</v>
      </c>
      <c r="WE64" s="857">
        <f t="shared" si="51"/>
        <v>0</v>
      </c>
      <c r="WF64" s="857">
        <f t="shared" si="51"/>
        <v>0</v>
      </c>
      <c r="WG64" s="857">
        <f t="shared" si="51"/>
        <v>0</v>
      </c>
      <c r="WH64" s="857">
        <f t="shared" si="51"/>
        <v>0</v>
      </c>
      <c r="WI64" s="857">
        <f t="shared" si="51"/>
        <v>0</v>
      </c>
      <c r="WJ64" s="857">
        <f t="shared" si="51"/>
        <v>0</v>
      </c>
      <c r="WK64" s="857">
        <f t="shared" si="51"/>
        <v>0</v>
      </c>
      <c r="WL64" s="857">
        <f t="shared" si="51"/>
        <v>0</v>
      </c>
      <c r="WM64" s="857">
        <f t="shared" si="51"/>
        <v>0</v>
      </c>
      <c r="WN64" s="857">
        <f t="shared" si="51"/>
        <v>0</v>
      </c>
      <c r="WO64" s="857">
        <f t="shared" si="51"/>
        <v>0</v>
      </c>
      <c r="WP64" s="857">
        <f t="shared" si="51"/>
        <v>0</v>
      </c>
      <c r="WQ64" s="857">
        <f t="shared" si="51"/>
        <v>0</v>
      </c>
      <c r="WR64" s="857">
        <f t="shared" si="51"/>
        <v>0</v>
      </c>
      <c r="WS64" s="857">
        <f t="shared" si="51"/>
        <v>0</v>
      </c>
      <c r="WT64" s="857">
        <f t="shared" si="51"/>
        <v>0</v>
      </c>
      <c r="WU64" s="857">
        <f t="shared" si="51"/>
        <v>0</v>
      </c>
      <c r="WV64" s="857">
        <f t="shared" si="51"/>
        <v>0</v>
      </c>
      <c r="WW64" s="857">
        <f t="shared" si="51"/>
        <v>0</v>
      </c>
      <c r="WX64" s="857">
        <f t="shared" si="51"/>
        <v>0</v>
      </c>
      <c r="WY64" s="857">
        <f t="shared" si="51"/>
        <v>0</v>
      </c>
      <c r="WZ64" s="857">
        <f t="shared" si="51"/>
        <v>0</v>
      </c>
      <c r="XA64" s="857">
        <f t="shared" si="51"/>
        <v>0</v>
      </c>
      <c r="XB64" s="857">
        <f t="shared" si="51"/>
        <v>0</v>
      </c>
      <c r="XC64" s="857">
        <f t="shared" si="51"/>
        <v>0</v>
      </c>
      <c r="XD64" s="857">
        <f t="shared" si="51"/>
        <v>0</v>
      </c>
      <c r="XE64" s="857">
        <f t="shared" si="51"/>
        <v>0</v>
      </c>
      <c r="XF64" s="857">
        <f t="shared" si="51"/>
        <v>0</v>
      </c>
      <c r="XG64" s="857">
        <f t="shared" si="51"/>
        <v>0</v>
      </c>
      <c r="XH64" s="857">
        <f t="shared" si="51"/>
        <v>0</v>
      </c>
      <c r="XI64" s="857">
        <f t="shared" si="51"/>
        <v>0</v>
      </c>
      <c r="XJ64" s="857">
        <f t="shared" si="51"/>
        <v>0</v>
      </c>
      <c r="XK64" s="857">
        <f t="shared" si="51"/>
        <v>0</v>
      </c>
      <c r="XL64" s="857">
        <f t="shared" si="51"/>
        <v>0</v>
      </c>
      <c r="XM64" s="857">
        <f t="shared" si="51"/>
        <v>0</v>
      </c>
      <c r="XN64" s="857">
        <f t="shared" si="51"/>
        <v>0</v>
      </c>
      <c r="XO64" s="857">
        <f t="shared" si="51"/>
        <v>0</v>
      </c>
      <c r="XP64" s="857">
        <f t="shared" si="51"/>
        <v>0</v>
      </c>
      <c r="XQ64" s="857">
        <f t="shared" si="51"/>
        <v>0</v>
      </c>
      <c r="XR64" s="857">
        <f t="shared" si="51"/>
        <v>0</v>
      </c>
      <c r="XS64" s="857">
        <f t="shared" si="51"/>
        <v>0</v>
      </c>
      <c r="XT64" s="857">
        <f t="shared" si="51"/>
        <v>0</v>
      </c>
      <c r="XU64" s="857">
        <f t="shared" si="51"/>
        <v>0</v>
      </c>
      <c r="XV64" s="857">
        <f t="shared" ref="XV64:AAG64" si="52">(XV57-XV59)*$C$64</f>
        <v>0</v>
      </c>
      <c r="XW64" s="857">
        <f t="shared" si="52"/>
        <v>0</v>
      </c>
      <c r="XX64" s="857">
        <f t="shared" si="52"/>
        <v>0</v>
      </c>
      <c r="XY64" s="857">
        <f t="shared" si="52"/>
        <v>0</v>
      </c>
      <c r="XZ64" s="857">
        <f t="shared" si="52"/>
        <v>0</v>
      </c>
      <c r="YA64" s="857">
        <f t="shared" si="52"/>
        <v>0</v>
      </c>
      <c r="YB64" s="857">
        <f t="shared" si="52"/>
        <v>0</v>
      </c>
      <c r="YC64" s="857">
        <f t="shared" si="52"/>
        <v>0</v>
      </c>
      <c r="YD64" s="857">
        <f t="shared" si="52"/>
        <v>0</v>
      </c>
      <c r="YE64" s="857">
        <f t="shared" si="52"/>
        <v>0</v>
      </c>
      <c r="YF64" s="857">
        <f t="shared" si="52"/>
        <v>0</v>
      </c>
      <c r="YG64" s="857">
        <f t="shared" si="52"/>
        <v>0</v>
      </c>
      <c r="YH64" s="857">
        <f t="shared" si="52"/>
        <v>0</v>
      </c>
      <c r="YI64" s="857">
        <f t="shared" si="52"/>
        <v>0</v>
      </c>
      <c r="YJ64" s="857">
        <f t="shared" si="52"/>
        <v>0</v>
      </c>
      <c r="YK64" s="857">
        <f t="shared" si="52"/>
        <v>0</v>
      </c>
      <c r="YL64" s="857">
        <f t="shared" si="52"/>
        <v>0</v>
      </c>
      <c r="YM64" s="857">
        <f t="shared" si="52"/>
        <v>0</v>
      </c>
      <c r="YN64" s="857">
        <f t="shared" si="52"/>
        <v>0</v>
      </c>
      <c r="YO64" s="857">
        <f t="shared" si="52"/>
        <v>0</v>
      </c>
      <c r="YP64" s="857">
        <f t="shared" si="52"/>
        <v>0</v>
      </c>
      <c r="YQ64" s="857">
        <f t="shared" si="52"/>
        <v>0</v>
      </c>
      <c r="YR64" s="857">
        <f t="shared" si="52"/>
        <v>0</v>
      </c>
      <c r="YS64" s="857">
        <f t="shared" si="52"/>
        <v>0</v>
      </c>
      <c r="YT64" s="857">
        <f t="shared" si="52"/>
        <v>0</v>
      </c>
      <c r="YU64" s="857">
        <f t="shared" si="52"/>
        <v>0</v>
      </c>
      <c r="YV64" s="857">
        <f t="shared" si="52"/>
        <v>0</v>
      </c>
      <c r="YW64" s="857">
        <f t="shared" si="52"/>
        <v>0</v>
      </c>
      <c r="YX64" s="857">
        <f t="shared" si="52"/>
        <v>0</v>
      </c>
      <c r="YY64" s="857">
        <f t="shared" si="52"/>
        <v>0</v>
      </c>
      <c r="YZ64" s="857">
        <f t="shared" si="52"/>
        <v>0</v>
      </c>
      <c r="ZA64" s="857">
        <f t="shared" si="52"/>
        <v>0</v>
      </c>
      <c r="ZB64" s="857">
        <f t="shared" si="52"/>
        <v>0</v>
      </c>
      <c r="ZC64" s="857">
        <f t="shared" si="52"/>
        <v>0</v>
      </c>
      <c r="ZD64" s="857">
        <f t="shared" si="52"/>
        <v>0</v>
      </c>
      <c r="ZE64" s="857">
        <f t="shared" si="52"/>
        <v>0</v>
      </c>
      <c r="ZF64" s="857">
        <f t="shared" si="52"/>
        <v>0</v>
      </c>
      <c r="ZG64" s="857">
        <f t="shared" si="52"/>
        <v>0</v>
      </c>
      <c r="ZH64" s="857">
        <f t="shared" si="52"/>
        <v>0</v>
      </c>
      <c r="ZI64" s="857">
        <f t="shared" si="52"/>
        <v>0</v>
      </c>
      <c r="ZJ64" s="857">
        <f t="shared" si="52"/>
        <v>0</v>
      </c>
      <c r="ZK64" s="857">
        <f t="shared" si="52"/>
        <v>0</v>
      </c>
      <c r="ZL64" s="857">
        <f t="shared" si="52"/>
        <v>0</v>
      </c>
      <c r="ZM64" s="857">
        <f t="shared" si="52"/>
        <v>0</v>
      </c>
      <c r="ZN64" s="857">
        <f t="shared" si="52"/>
        <v>0</v>
      </c>
      <c r="ZO64" s="857">
        <f t="shared" si="52"/>
        <v>0</v>
      </c>
      <c r="ZP64" s="857">
        <f t="shared" si="52"/>
        <v>0</v>
      </c>
      <c r="ZQ64" s="857">
        <f t="shared" si="52"/>
        <v>0</v>
      </c>
      <c r="ZR64" s="857">
        <f t="shared" si="52"/>
        <v>0</v>
      </c>
      <c r="ZS64" s="857">
        <f t="shared" si="52"/>
        <v>0</v>
      </c>
      <c r="ZT64" s="857">
        <f t="shared" si="52"/>
        <v>0</v>
      </c>
      <c r="ZU64" s="857">
        <f t="shared" si="52"/>
        <v>0</v>
      </c>
      <c r="ZV64" s="857">
        <f t="shared" si="52"/>
        <v>0</v>
      </c>
      <c r="ZW64" s="857">
        <f t="shared" si="52"/>
        <v>0</v>
      </c>
      <c r="ZX64" s="857">
        <f t="shared" si="52"/>
        <v>0</v>
      </c>
      <c r="ZY64" s="857">
        <f t="shared" si="52"/>
        <v>0</v>
      </c>
      <c r="ZZ64" s="857">
        <f t="shared" si="52"/>
        <v>0</v>
      </c>
      <c r="AAA64" s="857">
        <f t="shared" si="52"/>
        <v>0</v>
      </c>
      <c r="AAB64" s="857">
        <f t="shared" si="52"/>
        <v>0</v>
      </c>
      <c r="AAC64" s="857">
        <f t="shared" si="52"/>
        <v>0</v>
      </c>
      <c r="AAD64" s="857">
        <f t="shared" si="52"/>
        <v>0</v>
      </c>
      <c r="AAE64" s="857">
        <f t="shared" si="52"/>
        <v>0</v>
      </c>
      <c r="AAF64" s="857">
        <f t="shared" si="52"/>
        <v>0</v>
      </c>
      <c r="AAG64" s="857">
        <f t="shared" si="52"/>
        <v>0</v>
      </c>
      <c r="AAH64" s="857">
        <f t="shared" ref="AAH64:ACS64" si="53">(AAH57-AAH59)*$C$64</f>
        <v>0</v>
      </c>
      <c r="AAI64" s="857">
        <f t="shared" si="53"/>
        <v>0</v>
      </c>
      <c r="AAJ64" s="857">
        <f t="shared" si="53"/>
        <v>0</v>
      </c>
      <c r="AAK64" s="857">
        <f t="shared" si="53"/>
        <v>0</v>
      </c>
      <c r="AAL64" s="857">
        <f t="shared" si="53"/>
        <v>0</v>
      </c>
      <c r="AAM64" s="857">
        <f t="shared" si="53"/>
        <v>0</v>
      </c>
      <c r="AAN64" s="857">
        <f t="shared" si="53"/>
        <v>0</v>
      </c>
      <c r="AAO64" s="857">
        <f t="shared" si="53"/>
        <v>0</v>
      </c>
      <c r="AAP64" s="857">
        <f t="shared" si="53"/>
        <v>0</v>
      </c>
      <c r="AAQ64" s="857">
        <f t="shared" si="53"/>
        <v>0</v>
      </c>
      <c r="AAR64" s="857">
        <f t="shared" si="53"/>
        <v>0</v>
      </c>
      <c r="AAS64" s="857">
        <f t="shared" si="53"/>
        <v>0</v>
      </c>
      <c r="AAT64" s="857">
        <f t="shared" si="53"/>
        <v>0</v>
      </c>
      <c r="AAU64" s="857">
        <f t="shared" si="53"/>
        <v>0</v>
      </c>
      <c r="AAV64" s="857">
        <f t="shared" si="53"/>
        <v>0</v>
      </c>
      <c r="AAW64" s="857">
        <f t="shared" si="53"/>
        <v>0</v>
      </c>
      <c r="AAX64" s="857">
        <f t="shared" si="53"/>
        <v>0</v>
      </c>
      <c r="AAY64" s="857">
        <f t="shared" si="53"/>
        <v>0</v>
      </c>
      <c r="AAZ64" s="857">
        <f t="shared" si="53"/>
        <v>0</v>
      </c>
      <c r="ABA64" s="857">
        <f t="shared" si="53"/>
        <v>0</v>
      </c>
      <c r="ABB64" s="857">
        <f t="shared" si="53"/>
        <v>0</v>
      </c>
      <c r="ABC64" s="857">
        <f t="shared" si="53"/>
        <v>0</v>
      </c>
      <c r="ABD64" s="857">
        <f t="shared" si="53"/>
        <v>0</v>
      </c>
      <c r="ABE64" s="857">
        <f t="shared" si="53"/>
        <v>0</v>
      </c>
      <c r="ABF64" s="857">
        <f t="shared" si="53"/>
        <v>0</v>
      </c>
      <c r="ABG64" s="857">
        <f t="shared" si="53"/>
        <v>0</v>
      </c>
      <c r="ABH64" s="857">
        <f t="shared" si="53"/>
        <v>0</v>
      </c>
      <c r="ABI64" s="857">
        <f t="shared" si="53"/>
        <v>0</v>
      </c>
      <c r="ABJ64" s="857">
        <f t="shared" si="53"/>
        <v>0</v>
      </c>
      <c r="ABK64" s="857">
        <f t="shared" si="53"/>
        <v>0</v>
      </c>
      <c r="ABL64" s="857">
        <f t="shared" si="53"/>
        <v>0</v>
      </c>
      <c r="ABM64" s="857">
        <f t="shared" si="53"/>
        <v>0</v>
      </c>
      <c r="ABN64" s="857">
        <f t="shared" si="53"/>
        <v>0</v>
      </c>
      <c r="ABO64" s="857">
        <f t="shared" si="53"/>
        <v>0</v>
      </c>
      <c r="ABP64" s="857">
        <f t="shared" si="53"/>
        <v>0</v>
      </c>
      <c r="ABQ64" s="857">
        <f t="shared" si="53"/>
        <v>0</v>
      </c>
      <c r="ABR64" s="857">
        <f t="shared" si="53"/>
        <v>0</v>
      </c>
      <c r="ABS64" s="857">
        <f t="shared" si="53"/>
        <v>0</v>
      </c>
      <c r="ABT64" s="857">
        <f t="shared" si="53"/>
        <v>0</v>
      </c>
      <c r="ABU64" s="857">
        <f t="shared" si="53"/>
        <v>0</v>
      </c>
      <c r="ABV64" s="857">
        <f t="shared" si="53"/>
        <v>0</v>
      </c>
      <c r="ABW64" s="857">
        <f t="shared" si="53"/>
        <v>0</v>
      </c>
      <c r="ABX64" s="857">
        <f t="shared" si="53"/>
        <v>0</v>
      </c>
      <c r="ABY64" s="857">
        <f t="shared" si="53"/>
        <v>0</v>
      </c>
      <c r="ABZ64" s="857">
        <f t="shared" si="53"/>
        <v>0</v>
      </c>
      <c r="ACA64" s="857">
        <f t="shared" si="53"/>
        <v>0</v>
      </c>
      <c r="ACB64" s="857">
        <f t="shared" si="53"/>
        <v>0</v>
      </c>
      <c r="ACC64" s="857">
        <f t="shared" si="53"/>
        <v>0</v>
      </c>
      <c r="ACD64" s="857">
        <f t="shared" si="53"/>
        <v>0</v>
      </c>
      <c r="ACE64" s="857">
        <f t="shared" si="53"/>
        <v>0</v>
      </c>
      <c r="ACF64" s="857">
        <f t="shared" si="53"/>
        <v>0</v>
      </c>
      <c r="ACG64" s="857">
        <f t="shared" si="53"/>
        <v>0</v>
      </c>
      <c r="ACH64" s="857">
        <f t="shared" si="53"/>
        <v>0</v>
      </c>
      <c r="ACI64" s="857">
        <f t="shared" si="53"/>
        <v>0</v>
      </c>
      <c r="ACJ64" s="857">
        <f t="shared" si="53"/>
        <v>0</v>
      </c>
      <c r="ACK64" s="857">
        <f t="shared" si="53"/>
        <v>0</v>
      </c>
      <c r="ACL64" s="857">
        <f t="shared" si="53"/>
        <v>0</v>
      </c>
      <c r="ACM64" s="857">
        <f t="shared" si="53"/>
        <v>0</v>
      </c>
      <c r="ACN64" s="857">
        <f t="shared" si="53"/>
        <v>0</v>
      </c>
      <c r="ACO64" s="857">
        <f t="shared" si="53"/>
        <v>0</v>
      </c>
      <c r="ACP64" s="857">
        <f t="shared" si="53"/>
        <v>0</v>
      </c>
      <c r="ACQ64" s="857">
        <f t="shared" si="53"/>
        <v>0</v>
      </c>
      <c r="ACR64" s="857">
        <f t="shared" si="53"/>
        <v>0</v>
      </c>
      <c r="ACS64" s="857">
        <f t="shared" si="53"/>
        <v>0</v>
      </c>
      <c r="ACT64" s="857">
        <f t="shared" ref="ACT64:AFE64" si="54">(ACT57-ACT59)*$C$64</f>
        <v>0</v>
      </c>
      <c r="ACU64" s="857">
        <f t="shared" si="54"/>
        <v>0</v>
      </c>
      <c r="ACV64" s="857">
        <f t="shared" si="54"/>
        <v>0</v>
      </c>
      <c r="ACW64" s="857">
        <f t="shared" si="54"/>
        <v>0</v>
      </c>
      <c r="ACX64" s="857">
        <f t="shared" si="54"/>
        <v>0</v>
      </c>
      <c r="ACY64" s="857">
        <f t="shared" si="54"/>
        <v>0</v>
      </c>
      <c r="ACZ64" s="857">
        <f t="shared" si="54"/>
        <v>0</v>
      </c>
      <c r="ADA64" s="857">
        <f t="shared" si="54"/>
        <v>0</v>
      </c>
      <c r="ADB64" s="857">
        <f t="shared" si="54"/>
        <v>0</v>
      </c>
      <c r="ADC64" s="857">
        <f t="shared" si="54"/>
        <v>0</v>
      </c>
      <c r="ADD64" s="857">
        <f t="shared" si="54"/>
        <v>0</v>
      </c>
      <c r="ADE64" s="857">
        <f t="shared" si="54"/>
        <v>0</v>
      </c>
      <c r="ADF64" s="857">
        <f t="shared" si="54"/>
        <v>0</v>
      </c>
      <c r="ADG64" s="857">
        <f t="shared" si="54"/>
        <v>0</v>
      </c>
      <c r="ADH64" s="857">
        <f t="shared" si="54"/>
        <v>0</v>
      </c>
      <c r="ADI64" s="857">
        <f t="shared" si="54"/>
        <v>0</v>
      </c>
      <c r="ADJ64" s="857">
        <f t="shared" si="54"/>
        <v>0</v>
      </c>
      <c r="ADK64" s="857">
        <f t="shared" si="54"/>
        <v>0</v>
      </c>
      <c r="ADL64" s="857">
        <f t="shared" si="54"/>
        <v>0</v>
      </c>
      <c r="ADM64" s="857">
        <f t="shared" si="54"/>
        <v>0</v>
      </c>
      <c r="ADN64" s="857">
        <f t="shared" si="54"/>
        <v>0</v>
      </c>
      <c r="ADO64" s="857">
        <f t="shared" si="54"/>
        <v>0</v>
      </c>
      <c r="ADP64" s="857">
        <f t="shared" si="54"/>
        <v>0</v>
      </c>
      <c r="ADQ64" s="857">
        <f t="shared" si="54"/>
        <v>0</v>
      </c>
      <c r="ADR64" s="857">
        <f t="shared" si="54"/>
        <v>0</v>
      </c>
      <c r="ADS64" s="857">
        <f t="shared" si="54"/>
        <v>0</v>
      </c>
      <c r="ADT64" s="857">
        <f t="shared" si="54"/>
        <v>0</v>
      </c>
      <c r="ADU64" s="857">
        <f t="shared" si="54"/>
        <v>0</v>
      </c>
      <c r="ADV64" s="857">
        <f t="shared" si="54"/>
        <v>0</v>
      </c>
      <c r="ADW64" s="857">
        <f t="shared" si="54"/>
        <v>0</v>
      </c>
      <c r="ADX64" s="857">
        <f t="shared" si="54"/>
        <v>0</v>
      </c>
      <c r="ADY64" s="857">
        <f t="shared" si="54"/>
        <v>0</v>
      </c>
      <c r="ADZ64" s="857">
        <f t="shared" si="54"/>
        <v>0</v>
      </c>
      <c r="AEA64" s="857">
        <f t="shared" si="54"/>
        <v>0</v>
      </c>
      <c r="AEB64" s="857">
        <f t="shared" si="54"/>
        <v>0</v>
      </c>
      <c r="AEC64" s="857">
        <f t="shared" si="54"/>
        <v>0</v>
      </c>
      <c r="AED64" s="857">
        <f t="shared" si="54"/>
        <v>0</v>
      </c>
      <c r="AEE64" s="857">
        <f t="shared" si="54"/>
        <v>0</v>
      </c>
      <c r="AEF64" s="857">
        <f t="shared" si="54"/>
        <v>0</v>
      </c>
      <c r="AEG64" s="857">
        <f t="shared" si="54"/>
        <v>0</v>
      </c>
      <c r="AEH64" s="857">
        <f t="shared" si="54"/>
        <v>0</v>
      </c>
      <c r="AEI64" s="857">
        <f t="shared" si="54"/>
        <v>0</v>
      </c>
      <c r="AEJ64" s="857">
        <f t="shared" si="54"/>
        <v>0</v>
      </c>
      <c r="AEK64" s="857">
        <f t="shared" si="54"/>
        <v>0</v>
      </c>
      <c r="AEL64" s="857">
        <f t="shared" si="54"/>
        <v>0</v>
      </c>
      <c r="AEM64" s="857">
        <f t="shared" si="54"/>
        <v>0</v>
      </c>
      <c r="AEN64" s="857">
        <f t="shared" si="54"/>
        <v>0</v>
      </c>
      <c r="AEO64" s="857">
        <f t="shared" si="54"/>
        <v>0</v>
      </c>
      <c r="AEP64" s="857">
        <f t="shared" si="54"/>
        <v>0</v>
      </c>
      <c r="AEQ64" s="857">
        <f t="shared" si="54"/>
        <v>0</v>
      </c>
      <c r="AER64" s="857">
        <f t="shared" si="54"/>
        <v>0</v>
      </c>
      <c r="AES64" s="857">
        <f t="shared" si="54"/>
        <v>0</v>
      </c>
      <c r="AET64" s="857">
        <f t="shared" si="54"/>
        <v>0</v>
      </c>
      <c r="AEU64" s="857">
        <f t="shared" si="54"/>
        <v>0</v>
      </c>
      <c r="AEV64" s="857">
        <f t="shared" si="54"/>
        <v>0</v>
      </c>
      <c r="AEW64" s="857">
        <f t="shared" si="54"/>
        <v>0</v>
      </c>
      <c r="AEX64" s="857">
        <f t="shared" si="54"/>
        <v>0</v>
      </c>
      <c r="AEY64" s="857">
        <f t="shared" si="54"/>
        <v>0</v>
      </c>
      <c r="AEZ64" s="857">
        <f t="shared" si="54"/>
        <v>0</v>
      </c>
      <c r="AFA64" s="857">
        <f t="shared" si="54"/>
        <v>0</v>
      </c>
      <c r="AFB64" s="857">
        <f t="shared" si="54"/>
        <v>0</v>
      </c>
      <c r="AFC64" s="857">
        <f t="shared" si="54"/>
        <v>0</v>
      </c>
      <c r="AFD64" s="857">
        <f t="shared" si="54"/>
        <v>0</v>
      </c>
      <c r="AFE64" s="857">
        <f t="shared" si="54"/>
        <v>0</v>
      </c>
      <c r="AFF64" s="857">
        <f t="shared" ref="AFF64:AHQ64" si="55">(AFF57-AFF59)*$C$64</f>
        <v>0</v>
      </c>
      <c r="AFG64" s="857">
        <f t="shared" si="55"/>
        <v>0</v>
      </c>
      <c r="AFH64" s="857">
        <f t="shared" si="55"/>
        <v>0</v>
      </c>
      <c r="AFI64" s="857">
        <f t="shared" si="55"/>
        <v>0</v>
      </c>
      <c r="AFJ64" s="857">
        <f t="shared" si="55"/>
        <v>0</v>
      </c>
      <c r="AFK64" s="857">
        <f t="shared" si="55"/>
        <v>0</v>
      </c>
      <c r="AFL64" s="857">
        <f t="shared" si="55"/>
        <v>0</v>
      </c>
      <c r="AFM64" s="857">
        <f t="shared" si="55"/>
        <v>0</v>
      </c>
      <c r="AFN64" s="857">
        <f t="shared" si="55"/>
        <v>0</v>
      </c>
      <c r="AFO64" s="857">
        <f t="shared" si="55"/>
        <v>0</v>
      </c>
      <c r="AFP64" s="857">
        <f t="shared" si="55"/>
        <v>0</v>
      </c>
      <c r="AFQ64" s="857">
        <f t="shared" si="55"/>
        <v>0</v>
      </c>
      <c r="AFR64" s="857">
        <f t="shared" si="55"/>
        <v>0</v>
      </c>
      <c r="AFS64" s="857">
        <f t="shared" si="55"/>
        <v>0</v>
      </c>
      <c r="AFT64" s="857">
        <f t="shared" si="55"/>
        <v>0</v>
      </c>
      <c r="AFU64" s="857">
        <f t="shared" si="55"/>
        <v>0</v>
      </c>
      <c r="AFV64" s="857">
        <f t="shared" si="55"/>
        <v>0</v>
      </c>
      <c r="AFW64" s="857">
        <f t="shared" si="55"/>
        <v>0</v>
      </c>
      <c r="AFX64" s="857">
        <f t="shared" si="55"/>
        <v>0</v>
      </c>
      <c r="AFY64" s="857">
        <f t="shared" si="55"/>
        <v>0</v>
      </c>
      <c r="AFZ64" s="857">
        <f t="shared" si="55"/>
        <v>0</v>
      </c>
      <c r="AGA64" s="857">
        <f t="shared" si="55"/>
        <v>0</v>
      </c>
      <c r="AGB64" s="857">
        <f t="shared" si="55"/>
        <v>0</v>
      </c>
      <c r="AGC64" s="857">
        <f t="shared" si="55"/>
        <v>0</v>
      </c>
      <c r="AGD64" s="857">
        <f t="shared" si="55"/>
        <v>0</v>
      </c>
      <c r="AGE64" s="857">
        <f t="shared" si="55"/>
        <v>0</v>
      </c>
      <c r="AGF64" s="857">
        <f t="shared" si="55"/>
        <v>0</v>
      </c>
      <c r="AGG64" s="857">
        <f t="shared" si="55"/>
        <v>0</v>
      </c>
      <c r="AGH64" s="857">
        <f t="shared" si="55"/>
        <v>0</v>
      </c>
      <c r="AGI64" s="857">
        <f t="shared" si="55"/>
        <v>0</v>
      </c>
      <c r="AGJ64" s="857">
        <f t="shared" si="55"/>
        <v>0</v>
      </c>
      <c r="AGK64" s="857">
        <f t="shared" si="55"/>
        <v>0</v>
      </c>
      <c r="AGL64" s="857">
        <f t="shared" si="55"/>
        <v>0</v>
      </c>
      <c r="AGM64" s="857">
        <f t="shared" si="55"/>
        <v>0</v>
      </c>
      <c r="AGN64" s="857">
        <f t="shared" si="55"/>
        <v>0</v>
      </c>
      <c r="AGO64" s="857">
        <f t="shared" si="55"/>
        <v>0</v>
      </c>
      <c r="AGP64" s="857">
        <f t="shared" si="55"/>
        <v>0</v>
      </c>
      <c r="AGQ64" s="857">
        <f t="shared" si="55"/>
        <v>0</v>
      </c>
      <c r="AGR64" s="857">
        <f t="shared" si="55"/>
        <v>0</v>
      </c>
      <c r="AGS64" s="857">
        <f t="shared" si="55"/>
        <v>0</v>
      </c>
      <c r="AGT64" s="857">
        <f t="shared" si="55"/>
        <v>0</v>
      </c>
      <c r="AGU64" s="857">
        <f t="shared" si="55"/>
        <v>0</v>
      </c>
      <c r="AGV64" s="857">
        <f t="shared" si="55"/>
        <v>0</v>
      </c>
      <c r="AGW64" s="857">
        <f t="shared" si="55"/>
        <v>0</v>
      </c>
      <c r="AGX64" s="857">
        <f t="shared" si="55"/>
        <v>0</v>
      </c>
      <c r="AGY64" s="857">
        <f t="shared" si="55"/>
        <v>0</v>
      </c>
      <c r="AGZ64" s="857">
        <f t="shared" si="55"/>
        <v>0</v>
      </c>
      <c r="AHA64" s="857">
        <f t="shared" si="55"/>
        <v>0</v>
      </c>
      <c r="AHB64" s="857">
        <f t="shared" si="55"/>
        <v>0</v>
      </c>
      <c r="AHC64" s="857">
        <f t="shared" si="55"/>
        <v>0</v>
      </c>
      <c r="AHD64" s="857">
        <f t="shared" si="55"/>
        <v>0</v>
      </c>
      <c r="AHE64" s="857">
        <f t="shared" si="55"/>
        <v>0</v>
      </c>
      <c r="AHF64" s="857">
        <f t="shared" si="55"/>
        <v>0</v>
      </c>
      <c r="AHG64" s="857">
        <f t="shared" si="55"/>
        <v>0</v>
      </c>
      <c r="AHH64" s="857">
        <f t="shared" si="55"/>
        <v>0</v>
      </c>
      <c r="AHI64" s="857">
        <f t="shared" si="55"/>
        <v>0</v>
      </c>
      <c r="AHJ64" s="857">
        <f t="shared" si="55"/>
        <v>0</v>
      </c>
      <c r="AHK64" s="857">
        <f t="shared" si="55"/>
        <v>0</v>
      </c>
      <c r="AHL64" s="857">
        <f t="shared" si="55"/>
        <v>0</v>
      </c>
      <c r="AHM64" s="857">
        <f t="shared" si="55"/>
        <v>0</v>
      </c>
      <c r="AHN64" s="857">
        <f t="shared" si="55"/>
        <v>0</v>
      </c>
      <c r="AHO64" s="857">
        <f t="shared" si="55"/>
        <v>0</v>
      </c>
      <c r="AHP64" s="857">
        <f t="shared" si="55"/>
        <v>0</v>
      </c>
      <c r="AHQ64" s="857">
        <f t="shared" si="55"/>
        <v>0</v>
      </c>
      <c r="AHR64" s="857">
        <f t="shared" ref="AHR64:AKC64" si="56">(AHR57-AHR59)*$C$64</f>
        <v>0</v>
      </c>
      <c r="AHS64" s="857">
        <f t="shared" si="56"/>
        <v>0</v>
      </c>
      <c r="AHT64" s="857">
        <f t="shared" si="56"/>
        <v>0</v>
      </c>
      <c r="AHU64" s="857">
        <f t="shared" si="56"/>
        <v>0</v>
      </c>
      <c r="AHV64" s="857">
        <f t="shared" si="56"/>
        <v>0</v>
      </c>
      <c r="AHW64" s="857">
        <f t="shared" si="56"/>
        <v>0</v>
      </c>
      <c r="AHX64" s="857">
        <f t="shared" si="56"/>
        <v>0</v>
      </c>
      <c r="AHY64" s="857">
        <f t="shared" si="56"/>
        <v>0</v>
      </c>
      <c r="AHZ64" s="857">
        <f t="shared" si="56"/>
        <v>0</v>
      </c>
      <c r="AIA64" s="857">
        <f t="shared" si="56"/>
        <v>0</v>
      </c>
      <c r="AIB64" s="857">
        <f t="shared" si="56"/>
        <v>0</v>
      </c>
      <c r="AIC64" s="857">
        <f t="shared" si="56"/>
        <v>0</v>
      </c>
      <c r="AID64" s="857">
        <f t="shared" si="56"/>
        <v>0</v>
      </c>
      <c r="AIE64" s="857">
        <f t="shared" si="56"/>
        <v>0</v>
      </c>
      <c r="AIF64" s="857">
        <f t="shared" si="56"/>
        <v>0</v>
      </c>
      <c r="AIG64" s="857">
        <f t="shared" si="56"/>
        <v>0</v>
      </c>
      <c r="AIH64" s="857">
        <f t="shared" si="56"/>
        <v>0</v>
      </c>
      <c r="AII64" s="857">
        <f t="shared" si="56"/>
        <v>0</v>
      </c>
      <c r="AIJ64" s="857">
        <f t="shared" si="56"/>
        <v>0</v>
      </c>
      <c r="AIK64" s="857">
        <f t="shared" si="56"/>
        <v>0</v>
      </c>
      <c r="AIL64" s="857">
        <f t="shared" si="56"/>
        <v>0</v>
      </c>
      <c r="AIM64" s="857">
        <f t="shared" si="56"/>
        <v>0</v>
      </c>
      <c r="AIN64" s="857">
        <f t="shared" si="56"/>
        <v>0</v>
      </c>
      <c r="AIO64" s="857">
        <f t="shared" si="56"/>
        <v>0</v>
      </c>
      <c r="AIP64" s="857">
        <f t="shared" si="56"/>
        <v>0</v>
      </c>
      <c r="AIQ64" s="857">
        <f t="shared" si="56"/>
        <v>0</v>
      </c>
      <c r="AIR64" s="857">
        <f t="shared" si="56"/>
        <v>0</v>
      </c>
      <c r="AIS64" s="857">
        <f t="shared" si="56"/>
        <v>0</v>
      </c>
      <c r="AIT64" s="857">
        <f t="shared" si="56"/>
        <v>0</v>
      </c>
      <c r="AIU64" s="857">
        <f t="shared" si="56"/>
        <v>0</v>
      </c>
      <c r="AIV64" s="857">
        <f t="shared" si="56"/>
        <v>0</v>
      </c>
      <c r="AIW64" s="857">
        <f t="shared" si="56"/>
        <v>0</v>
      </c>
      <c r="AIX64" s="857">
        <f t="shared" si="56"/>
        <v>0</v>
      </c>
      <c r="AIY64" s="857">
        <f t="shared" si="56"/>
        <v>0</v>
      </c>
      <c r="AIZ64" s="857">
        <f t="shared" si="56"/>
        <v>0</v>
      </c>
      <c r="AJA64" s="857">
        <f t="shared" si="56"/>
        <v>0</v>
      </c>
      <c r="AJB64" s="857">
        <f t="shared" si="56"/>
        <v>0</v>
      </c>
      <c r="AJC64" s="857">
        <f t="shared" si="56"/>
        <v>0</v>
      </c>
      <c r="AJD64" s="857">
        <f t="shared" si="56"/>
        <v>0</v>
      </c>
      <c r="AJE64" s="857">
        <f t="shared" si="56"/>
        <v>0</v>
      </c>
      <c r="AJF64" s="857">
        <f t="shared" si="56"/>
        <v>0</v>
      </c>
      <c r="AJG64" s="857">
        <f t="shared" si="56"/>
        <v>0</v>
      </c>
      <c r="AJH64" s="857">
        <f t="shared" si="56"/>
        <v>0</v>
      </c>
      <c r="AJI64" s="857">
        <f t="shared" si="56"/>
        <v>0</v>
      </c>
      <c r="AJJ64" s="857">
        <f t="shared" si="56"/>
        <v>0</v>
      </c>
      <c r="AJK64" s="857">
        <f t="shared" si="56"/>
        <v>0</v>
      </c>
      <c r="AJL64" s="857">
        <f t="shared" si="56"/>
        <v>0</v>
      </c>
      <c r="AJM64" s="857">
        <f t="shared" si="56"/>
        <v>0</v>
      </c>
      <c r="AJN64" s="857">
        <f t="shared" si="56"/>
        <v>0</v>
      </c>
      <c r="AJO64" s="857">
        <f t="shared" si="56"/>
        <v>0</v>
      </c>
      <c r="AJP64" s="857">
        <f t="shared" si="56"/>
        <v>0</v>
      </c>
      <c r="AJQ64" s="857">
        <f t="shared" si="56"/>
        <v>0</v>
      </c>
      <c r="AJR64" s="857">
        <f t="shared" si="56"/>
        <v>0</v>
      </c>
      <c r="AJS64" s="857">
        <f t="shared" si="56"/>
        <v>0</v>
      </c>
      <c r="AJT64" s="857">
        <f t="shared" si="56"/>
        <v>0</v>
      </c>
      <c r="AJU64" s="857">
        <f t="shared" si="56"/>
        <v>0</v>
      </c>
      <c r="AJV64" s="857">
        <f t="shared" si="56"/>
        <v>0</v>
      </c>
      <c r="AJW64" s="857">
        <f t="shared" si="56"/>
        <v>0</v>
      </c>
      <c r="AJX64" s="857">
        <f t="shared" si="56"/>
        <v>0</v>
      </c>
      <c r="AJY64" s="857">
        <f t="shared" si="56"/>
        <v>0</v>
      </c>
      <c r="AJZ64" s="857">
        <f t="shared" si="56"/>
        <v>0</v>
      </c>
      <c r="AKA64" s="857">
        <f t="shared" si="56"/>
        <v>0</v>
      </c>
      <c r="AKB64" s="857">
        <f t="shared" si="56"/>
        <v>0</v>
      </c>
      <c r="AKC64" s="857">
        <f t="shared" si="56"/>
        <v>0</v>
      </c>
      <c r="AKD64" s="857">
        <f t="shared" ref="AKD64:AMO64" si="57">(AKD57-AKD59)*$C$64</f>
        <v>0</v>
      </c>
      <c r="AKE64" s="857">
        <f t="shared" si="57"/>
        <v>0</v>
      </c>
      <c r="AKF64" s="857">
        <f t="shared" si="57"/>
        <v>0</v>
      </c>
      <c r="AKG64" s="857">
        <f t="shared" si="57"/>
        <v>0</v>
      </c>
      <c r="AKH64" s="857">
        <f t="shared" si="57"/>
        <v>0</v>
      </c>
      <c r="AKI64" s="857">
        <f t="shared" si="57"/>
        <v>0</v>
      </c>
      <c r="AKJ64" s="857">
        <f t="shared" si="57"/>
        <v>0</v>
      </c>
      <c r="AKK64" s="857">
        <f t="shared" si="57"/>
        <v>0</v>
      </c>
      <c r="AKL64" s="857">
        <f t="shared" si="57"/>
        <v>0</v>
      </c>
      <c r="AKM64" s="857">
        <f t="shared" si="57"/>
        <v>0</v>
      </c>
      <c r="AKN64" s="857">
        <f t="shared" si="57"/>
        <v>0</v>
      </c>
      <c r="AKO64" s="857">
        <f t="shared" si="57"/>
        <v>0</v>
      </c>
      <c r="AKP64" s="857">
        <f t="shared" si="57"/>
        <v>0</v>
      </c>
      <c r="AKQ64" s="857">
        <f t="shared" si="57"/>
        <v>0</v>
      </c>
      <c r="AKR64" s="857">
        <f t="shared" si="57"/>
        <v>0</v>
      </c>
      <c r="AKS64" s="857">
        <f t="shared" si="57"/>
        <v>0</v>
      </c>
      <c r="AKT64" s="857">
        <f t="shared" si="57"/>
        <v>0</v>
      </c>
      <c r="AKU64" s="857">
        <f t="shared" si="57"/>
        <v>0</v>
      </c>
      <c r="AKV64" s="857">
        <f t="shared" si="57"/>
        <v>0</v>
      </c>
      <c r="AKW64" s="857">
        <f t="shared" si="57"/>
        <v>0</v>
      </c>
      <c r="AKX64" s="857">
        <f t="shared" si="57"/>
        <v>0</v>
      </c>
      <c r="AKY64" s="857">
        <f t="shared" si="57"/>
        <v>0</v>
      </c>
      <c r="AKZ64" s="857">
        <f t="shared" si="57"/>
        <v>0</v>
      </c>
      <c r="ALA64" s="857">
        <f t="shared" si="57"/>
        <v>0</v>
      </c>
      <c r="ALB64" s="857">
        <f t="shared" si="57"/>
        <v>0</v>
      </c>
      <c r="ALC64" s="857">
        <f t="shared" si="57"/>
        <v>0</v>
      </c>
      <c r="ALD64" s="857">
        <f t="shared" si="57"/>
        <v>0</v>
      </c>
      <c r="ALE64" s="857">
        <f t="shared" si="57"/>
        <v>0</v>
      </c>
      <c r="ALF64" s="857">
        <f t="shared" si="57"/>
        <v>0</v>
      </c>
      <c r="ALG64" s="857">
        <f t="shared" si="57"/>
        <v>0</v>
      </c>
      <c r="ALH64" s="857">
        <f t="shared" si="57"/>
        <v>0</v>
      </c>
      <c r="ALI64" s="857">
        <f t="shared" si="57"/>
        <v>0</v>
      </c>
      <c r="ALJ64" s="857">
        <f t="shared" si="57"/>
        <v>0</v>
      </c>
      <c r="ALK64" s="857">
        <f t="shared" si="57"/>
        <v>0</v>
      </c>
      <c r="ALL64" s="857">
        <f t="shared" si="57"/>
        <v>0</v>
      </c>
      <c r="ALM64" s="857">
        <f t="shared" si="57"/>
        <v>0</v>
      </c>
      <c r="ALN64" s="857">
        <f t="shared" si="57"/>
        <v>0</v>
      </c>
      <c r="ALO64" s="857">
        <f t="shared" si="57"/>
        <v>0</v>
      </c>
      <c r="ALP64" s="857">
        <f t="shared" si="57"/>
        <v>0</v>
      </c>
      <c r="ALQ64" s="857">
        <f t="shared" si="57"/>
        <v>0</v>
      </c>
      <c r="ALR64" s="857">
        <f t="shared" si="57"/>
        <v>0</v>
      </c>
      <c r="ALS64" s="857">
        <f t="shared" si="57"/>
        <v>0</v>
      </c>
      <c r="ALT64" s="857">
        <f t="shared" si="57"/>
        <v>0</v>
      </c>
      <c r="ALU64" s="857">
        <f t="shared" si="57"/>
        <v>0</v>
      </c>
      <c r="ALV64" s="857">
        <f t="shared" si="57"/>
        <v>0</v>
      </c>
      <c r="ALW64" s="857">
        <f t="shared" si="57"/>
        <v>0</v>
      </c>
      <c r="ALX64" s="857">
        <f t="shared" si="57"/>
        <v>0</v>
      </c>
      <c r="ALY64" s="857">
        <f t="shared" si="57"/>
        <v>0</v>
      </c>
      <c r="ALZ64" s="857">
        <f t="shared" si="57"/>
        <v>0</v>
      </c>
      <c r="AMA64" s="857">
        <f t="shared" si="57"/>
        <v>0</v>
      </c>
      <c r="AMB64" s="857">
        <f t="shared" si="57"/>
        <v>0</v>
      </c>
      <c r="AMC64" s="857">
        <f t="shared" si="57"/>
        <v>0</v>
      </c>
      <c r="AMD64" s="857">
        <f t="shared" si="57"/>
        <v>0</v>
      </c>
      <c r="AME64" s="857">
        <f t="shared" si="57"/>
        <v>0</v>
      </c>
      <c r="AMF64" s="857">
        <f t="shared" si="57"/>
        <v>0</v>
      </c>
      <c r="AMG64" s="857">
        <f t="shared" si="57"/>
        <v>0</v>
      </c>
      <c r="AMH64" s="857">
        <f t="shared" si="57"/>
        <v>0</v>
      </c>
      <c r="AMI64" s="857">
        <f t="shared" si="57"/>
        <v>0</v>
      </c>
      <c r="AMJ64" s="857">
        <f t="shared" si="57"/>
        <v>0</v>
      </c>
      <c r="AMK64" s="857">
        <f t="shared" si="57"/>
        <v>0</v>
      </c>
      <c r="AML64" s="857">
        <f t="shared" si="57"/>
        <v>0</v>
      </c>
      <c r="AMM64" s="857">
        <f t="shared" si="57"/>
        <v>0</v>
      </c>
      <c r="AMN64" s="857">
        <f t="shared" si="57"/>
        <v>0</v>
      </c>
      <c r="AMO64" s="857">
        <f t="shared" si="57"/>
        <v>0</v>
      </c>
      <c r="AMP64" s="857">
        <f t="shared" ref="AMP64:APA64" si="58">(AMP57-AMP59)*$C$64</f>
        <v>0</v>
      </c>
      <c r="AMQ64" s="857">
        <f t="shared" si="58"/>
        <v>0</v>
      </c>
      <c r="AMR64" s="857">
        <f t="shared" si="58"/>
        <v>0</v>
      </c>
      <c r="AMS64" s="857">
        <f t="shared" si="58"/>
        <v>0</v>
      </c>
      <c r="AMT64" s="857">
        <f t="shared" si="58"/>
        <v>0</v>
      </c>
      <c r="AMU64" s="857">
        <f t="shared" si="58"/>
        <v>0</v>
      </c>
      <c r="AMV64" s="857">
        <f t="shared" si="58"/>
        <v>0</v>
      </c>
      <c r="AMW64" s="857">
        <f t="shared" si="58"/>
        <v>0</v>
      </c>
      <c r="AMX64" s="857">
        <f t="shared" si="58"/>
        <v>0</v>
      </c>
      <c r="AMY64" s="857">
        <f t="shared" si="58"/>
        <v>0</v>
      </c>
      <c r="AMZ64" s="857">
        <f t="shared" si="58"/>
        <v>0</v>
      </c>
      <c r="ANA64" s="857">
        <f t="shared" si="58"/>
        <v>0</v>
      </c>
      <c r="ANB64" s="857">
        <f t="shared" si="58"/>
        <v>0</v>
      </c>
      <c r="ANC64" s="857">
        <f t="shared" si="58"/>
        <v>0</v>
      </c>
      <c r="AND64" s="857">
        <f t="shared" si="58"/>
        <v>0</v>
      </c>
      <c r="ANE64" s="857">
        <f t="shared" si="58"/>
        <v>0</v>
      </c>
      <c r="ANF64" s="857">
        <f t="shared" si="58"/>
        <v>0</v>
      </c>
      <c r="ANG64" s="857">
        <f t="shared" si="58"/>
        <v>0</v>
      </c>
      <c r="ANH64" s="857">
        <f t="shared" si="58"/>
        <v>0</v>
      </c>
      <c r="ANI64" s="857">
        <f t="shared" si="58"/>
        <v>0</v>
      </c>
      <c r="ANJ64" s="857">
        <f t="shared" si="58"/>
        <v>0</v>
      </c>
      <c r="ANK64" s="857">
        <f t="shared" si="58"/>
        <v>0</v>
      </c>
      <c r="ANL64" s="857">
        <f t="shared" si="58"/>
        <v>0</v>
      </c>
      <c r="ANM64" s="857">
        <f t="shared" si="58"/>
        <v>0</v>
      </c>
      <c r="ANN64" s="857">
        <f t="shared" si="58"/>
        <v>0</v>
      </c>
      <c r="ANO64" s="857">
        <f t="shared" si="58"/>
        <v>0</v>
      </c>
      <c r="ANP64" s="857">
        <f t="shared" si="58"/>
        <v>0</v>
      </c>
      <c r="ANQ64" s="857">
        <f t="shared" si="58"/>
        <v>0</v>
      </c>
      <c r="ANR64" s="857">
        <f t="shared" si="58"/>
        <v>0</v>
      </c>
      <c r="ANS64" s="857">
        <f t="shared" si="58"/>
        <v>0</v>
      </c>
      <c r="ANT64" s="857">
        <f t="shared" si="58"/>
        <v>0</v>
      </c>
      <c r="ANU64" s="857">
        <f t="shared" si="58"/>
        <v>0</v>
      </c>
      <c r="ANV64" s="857">
        <f t="shared" si="58"/>
        <v>0</v>
      </c>
      <c r="ANW64" s="857">
        <f t="shared" si="58"/>
        <v>0</v>
      </c>
      <c r="ANX64" s="857">
        <f t="shared" si="58"/>
        <v>0</v>
      </c>
      <c r="ANY64" s="857">
        <f t="shared" si="58"/>
        <v>0</v>
      </c>
      <c r="ANZ64" s="857">
        <f t="shared" si="58"/>
        <v>0</v>
      </c>
      <c r="AOA64" s="857">
        <f t="shared" si="58"/>
        <v>0</v>
      </c>
      <c r="AOB64" s="857">
        <f t="shared" si="58"/>
        <v>0</v>
      </c>
      <c r="AOC64" s="857">
        <f t="shared" si="58"/>
        <v>0</v>
      </c>
      <c r="AOD64" s="857">
        <f t="shared" si="58"/>
        <v>0</v>
      </c>
      <c r="AOE64" s="857">
        <f t="shared" si="58"/>
        <v>0</v>
      </c>
      <c r="AOF64" s="857">
        <f t="shared" si="58"/>
        <v>0</v>
      </c>
      <c r="AOG64" s="857">
        <f t="shared" si="58"/>
        <v>0</v>
      </c>
      <c r="AOH64" s="857">
        <f t="shared" si="58"/>
        <v>0</v>
      </c>
      <c r="AOI64" s="857">
        <f t="shared" si="58"/>
        <v>0</v>
      </c>
      <c r="AOJ64" s="857">
        <f t="shared" si="58"/>
        <v>0</v>
      </c>
      <c r="AOK64" s="857">
        <f t="shared" si="58"/>
        <v>0</v>
      </c>
      <c r="AOL64" s="857">
        <f t="shared" si="58"/>
        <v>0</v>
      </c>
      <c r="AOM64" s="857">
        <f t="shared" si="58"/>
        <v>0</v>
      </c>
      <c r="AON64" s="857">
        <f t="shared" si="58"/>
        <v>0</v>
      </c>
      <c r="AOO64" s="857">
        <f t="shared" si="58"/>
        <v>0</v>
      </c>
      <c r="AOP64" s="857">
        <f t="shared" si="58"/>
        <v>0</v>
      </c>
      <c r="AOQ64" s="857">
        <f t="shared" si="58"/>
        <v>0</v>
      </c>
      <c r="AOR64" s="857">
        <f t="shared" si="58"/>
        <v>0</v>
      </c>
      <c r="AOS64" s="857">
        <f t="shared" si="58"/>
        <v>0</v>
      </c>
      <c r="AOT64" s="857">
        <f t="shared" si="58"/>
        <v>0</v>
      </c>
      <c r="AOU64" s="857">
        <f t="shared" si="58"/>
        <v>0</v>
      </c>
      <c r="AOV64" s="857">
        <f t="shared" si="58"/>
        <v>0</v>
      </c>
      <c r="AOW64" s="857">
        <f t="shared" si="58"/>
        <v>0</v>
      </c>
      <c r="AOX64" s="857">
        <f t="shared" si="58"/>
        <v>0</v>
      </c>
      <c r="AOY64" s="857">
        <f t="shared" si="58"/>
        <v>0</v>
      </c>
      <c r="AOZ64" s="857">
        <f t="shared" si="58"/>
        <v>0</v>
      </c>
      <c r="APA64" s="857">
        <f t="shared" si="58"/>
        <v>0</v>
      </c>
      <c r="APB64" s="857">
        <f t="shared" ref="APB64:ARM64" si="59">(APB57-APB59)*$C$64</f>
        <v>0</v>
      </c>
      <c r="APC64" s="857">
        <f t="shared" si="59"/>
        <v>0</v>
      </c>
      <c r="APD64" s="857">
        <f t="shared" si="59"/>
        <v>0</v>
      </c>
      <c r="APE64" s="857">
        <f t="shared" si="59"/>
        <v>0</v>
      </c>
      <c r="APF64" s="857">
        <f t="shared" si="59"/>
        <v>0</v>
      </c>
      <c r="APG64" s="857">
        <f t="shared" si="59"/>
        <v>0</v>
      </c>
      <c r="APH64" s="857">
        <f t="shared" si="59"/>
        <v>0</v>
      </c>
      <c r="API64" s="857">
        <f t="shared" si="59"/>
        <v>0</v>
      </c>
      <c r="APJ64" s="857">
        <f t="shared" si="59"/>
        <v>0</v>
      </c>
      <c r="APK64" s="857">
        <f t="shared" si="59"/>
        <v>0</v>
      </c>
      <c r="APL64" s="857">
        <f t="shared" si="59"/>
        <v>0</v>
      </c>
      <c r="APM64" s="857">
        <f t="shared" si="59"/>
        <v>0</v>
      </c>
      <c r="APN64" s="857">
        <f t="shared" si="59"/>
        <v>0</v>
      </c>
      <c r="APO64" s="857">
        <f t="shared" si="59"/>
        <v>0</v>
      </c>
      <c r="APP64" s="857">
        <f t="shared" si="59"/>
        <v>0</v>
      </c>
      <c r="APQ64" s="857">
        <f t="shared" si="59"/>
        <v>0</v>
      </c>
      <c r="APR64" s="857">
        <f t="shared" si="59"/>
        <v>0</v>
      </c>
      <c r="APS64" s="857">
        <f t="shared" si="59"/>
        <v>0</v>
      </c>
      <c r="APT64" s="857">
        <f t="shared" si="59"/>
        <v>0</v>
      </c>
      <c r="APU64" s="857">
        <f t="shared" si="59"/>
        <v>0</v>
      </c>
      <c r="APV64" s="857">
        <f t="shared" si="59"/>
        <v>0</v>
      </c>
      <c r="APW64" s="857">
        <f t="shared" si="59"/>
        <v>0</v>
      </c>
      <c r="APX64" s="857">
        <f t="shared" si="59"/>
        <v>0</v>
      </c>
      <c r="APY64" s="857">
        <f t="shared" si="59"/>
        <v>0</v>
      </c>
      <c r="APZ64" s="857">
        <f t="shared" si="59"/>
        <v>0</v>
      </c>
      <c r="AQA64" s="857">
        <f t="shared" si="59"/>
        <v>0</v>
      </c>
      <c r="AQB64" s="857">
        <f t="shared" si="59"/>
        <v>0</v>
      </c>
      <c r="AQC64" s="857">
        <f t="shared" si="59"/>
        <v>0</v>
      </c>
      <c r="AQD64" s="857">
        <f t="shared" si="59"/>
        <v>0</v>
      </c>
      <c r="AQE64" s="857">
        <f t="shared" si="59"/>
        <v>0</v>
      </c>
      <c r="AQF64" s="857">
        <f t="shared" si="59"/>
        <v>0</v>
      </c>
      <c r="AQG64" s="857">
        <f t="shared" si="59"/>
        <v>0</v>
      </c>
      <c r="AQH64" s="857">
        <f t="shared" si="59"/>
        <v>0</v>
      </c>
      <c r="AQI64" s="857">
        <f t="shared" si="59"/>
        <v>0</v>
      </c>
      <c r="AQJ64" s="857">
        <f t="shared" si="59"/>
        <v>0</v>
      </c>
      <c r="AQK64" s="857">
        <f t="shared" si="59"/>
        <v>0</v>
      </c>
      <c r="AQL64" s="857">
        <f t="shared" si="59"/>
        <v>0</v>
      </c>
      <c r="AQM64" s="857">
        <f t="shared" si="59"/>
        <v>0</v>
      </c>
      <c r="AQN64" s="857">
        <f t="shared" si="59"/>
        <v>0</v>
      </c>
      <c r="AQO64" s="857">
        <f t="shared" si="59"/>
        <v>0</v>
      </c>
      <c r="AQP64" s="857">
        <f t="shared" si="59"/>
        <v>0</v>
      </c>
      <c r="AQQ64" s="857">
        <f t="shared" si="59"/>
        <v>0</v>
      </c>
      <c r="AQR64" s="857">
        <f t="shared" si="59"/>
        <v>0</v>
      </c>
      <c r="AQS64" s="857">
        <f t="shared" si="59"/>
        <v>0</v>
      </c>
      <c r="AQT64" s="857">
        <f t="shared" si="59"/>
        <v>0</v>
      </c>
      <c r="AQU64" s="857">
        <f t="shared" si="59"/>
        <v>0</v>
      </c>
      <c r="AQV64" s="857">
        <f t="shared" si="59"/>
        <v>0</v>
      </c>
      <c r="AQW64" s="857">
        <f t="shared" si="59"/>
        <v>0</v>
      </c>
      <c r="AQX64" s="857">
        <f t="shared" si="59"/>
        <v>0</v>
      </c>
      <c r="AQY64" s="857">
        <f t="shared" si="59"/>
        <v>0</v>
      </c>
      <c r="AQZ64" s="857">
        <f t="shared" si="59"/>
        <v>0</v>
      </c>
      <c r="ARA64" s="857">
        <f t="shared" si="59"/>
        <v>0</v>
      </c>
      <c r="ARB64" s="857">
        <f t="shared" si="59"/>
        <v>0</v>
      </c>
      <c r="ARC64" s="857">
        <f t="shared" si="59"/>
        <v>0</v>
      </c>
      <c r="ARD64" s="857">
        <f t="shared" si="59"/>
        <v>0</v>
      </c>
      <c r="ARE64" s="857">
        <f t="shared" si="59"/>
        <v>0</v>
      </c>
      <c r="ARF64" s="857">
        <f t="shared" si="59"/>
        <v>0</v>
      </c>
      <c r="ARG64" s="857">
        <f t="shared" si="59"/>
        <v>0</v>
      </c>
      <c r="ARH64" s="857">
        <f t="shared" si="59"/>
        <v>0</v>
      </c>
      <c r="ARI64" s="857">
        <f t="shared" si="59"/>
        <v>0</v>
      </c>
      <c r="ARJ64" s="857">
        <f t="shared" si="59"/>
        <v>0</v>
      </c>
      <c r="ARK64" s="857">
        <f t="shared" si="59"/>
        <v>0</v>
      </c>
      <c r="ARL64" s="857">
        <f t="shared" si="59"/>
        <v>0</v>
      </c>
      <c r="ARM64" s="857">
        <f t="shared" si="59"/>
        <v>0</v>
      </c>
      <c r="ARN64" s="857">
        <f t="shared" ref="ARN64:ATY64" si="60">(ARN57-ARN59)*$C$64</f>
        <v>0</v>
      </c>
      <c r="ARO64" s="857">
        <f t="shared" si="60"/>
        <v>0</v>
      </c>
      <c r="ARP64" s="857">
        <f t="shared" si="60"/>
        <v>0</v>
      </c>
      <c r="ARQ64" s="857">
        <f t="shared" si="60"/>
        <v>0</v>
      </c>
      <c r="ARR64" s="857">
        <f t="shared" si="60"/>
        <v>0</v>
      </c>
      <c r="ARS64" s="857">
        <f t="shared" si="60"/>
        <v>0</v>
      </c>
      <c r="ART64" s="857">
        <f t="shared" si="60"/>
        <v>0</v>
      </c>
      <c r="ARU64" s="857">
        <f t="shared" si="60"/>
        <v>0</v>
      </c>
      <c r="ARV64" s="857">
        <f t="shared" si="60"/>
        <v>0</v>
      </c>
      <c r="ARW64" s="857">
        <f t="shared" si="60"/>
        <v>0</v>
      </c>
      <c r="ARX64" s="857">
        <f t="shared" si="60"/>
        <v>0</v>
      </c>
      <c r="ARY64" s="857">
        <f t="shared" si="60"/>
        <v>0</v>
      </c>
      <c r="ARZ64" s="857">
        <f t="shared" si="60"/>
        <v>0</v>
      </c>
      <c r="ASA64" s="857">
        <f t="shared" si="60"/>
        <v>0</v>
      </c>
      <c r="ASB64" s="857">
        <f t="shared" si="60"/>
        <v>0</v>
      </c>
      <c r="ASC64" s="857">
        <f t="shared" si="60"/>
        <v>0</v>
      </c>
      <c r="ASD64" s="857">
        <f t="shared" si="60"/>
        <v>0</v>
      </c>
      <c r="ASE64" s="857">
        <f t="shared" si="60"/>
        <v>0</v>
      </c>
      <c r="ASF64" s="857">
        <f t="shared" si="60"/>
        <v>0</v>
      </c>
      <c r="ASG64" s="857">
        <f t="shared" si="60"/>
        <v>0</v>
      </c>
      <c r="ASH64" s="857">
        <f t="shared" si="60"/>
        <v>0</v>
      </c>
      <c r="ASI64" s="857">
        <f t="shared" si="60"/>
        <v>0</v>
      </c>
      <c r="ASJ64" s="857">
        <f t="shared" si="60"/>
        <v>0</v>
      </c>
      <c r="ASK64" s="857">
        <f t="shared" si="60"/>
        <v>0</v>
      </c>
      <c r="ASL64" s="857">
        <f t="shared" si="60"/>
        <v>0</v>
      </c>
      <c r="ASM64" s="857">
        <f t="shared" si="60"/>
        <v>0</v>
      </c>
      <c r="ASN64" s="857">
        <f t="shared" si="60"/>
        <v>0</v>
      </c>
      <c r="ASO64" s="857">
        <f t="shared" si="60"/>
        <v>0</v>
      </c>
      <c r="ASP64" s="857">
        <f t="shared" si="60"/>
        <v>0</v>
      </c>
      <c r="ASQ64" s="857">
        <f t="shared" si="60"/>
        <v>0</v>
      </c>
      <c r="ASR64" s="857">
        <f t="shared" si="60"/>
        <v>0</v>
      </c>
      <c r="ASS64" s="857">
        <f t="shared" si="60"/>
        <v>0</v>
      </c>
      <c r="AST64" s="857">
        <f t="shared" si="60"/>
        <v>0</v>
      </c>
      <c r="ASU64" s="857">
        <f t="shared" si="60"/>
        <v>0</v>
      </c>
      <c r="ASV64" s="857">
        <f t="shared" si="60"/>
        <v>0</v>
      </c>
      <c r="ASW64" s="857">
        <f t="shared" si="60"/>
        <v>0</v>
      </c>
      <c r="ASX64" s="857">
        <f t="shared" si="60"/>
        <v>0</v>
      </c>
      <c r="ASY64" s="857">
        <f t="shared" si="60"/>
        <v>0</v>
      </c>
      <c r="ASZ64" s="857">
        <f t="shared" si="60"/>
        <v>0</v>
      </c>
      <c r="ATA64" s="857">
        <f t="shared" si="60"/>
        <v>0</v>
      </c>
      <c r="ATB64" s="857">
        <f t="shared" si="60"/>
        <v>0</v>
      </c>
      <c r="ATC64" s="857">
        <f t="shared" si="60"/>
        <v>0</v>
      </c>
      <c r="ATD64" s="857">
        <f t="shared" si="60"/>
        <v>0</v>
      </c>
      <c r="ATE64" s="857">
        <f t="shared" si="60"/>
        <v>0</v>
      </c>
      <c r="ATF64" s="857">
        <f t="shared" si="60"/>
        <v>0</v>
      </c>
      <c r="ATG64" s="857">
        <f t="shared" si="60"/>
        <v>0</v>
      </c>
      <c r="ATH64" s="857">
        <f t="shared" si="60"/>
        <v>0</v>
      </c>
      <c r="ATI64" s="857">
        <f t="shared" si="60"/>
        <v>0</v>
      </c>
      <c r="ATJ64" s="857">
        <f t="shared" si="60"/>
        <v>0</v>
      </c>
      <c r="ATK64" s="857">
        <f t="shared" si="60"/>
        <v>0</v>
      </c>
      <c r="ATL64" s="857">
        <f t="shared" si="60"/>
        <v>0</v>
      </c>
      <c r="ATM64" s="857">
        <f t="shared" si="60"/>
        <v>0</v>
      </c>
      <c r="ATN64" s="857">
        <f t="shared" si="60"/>
        <v>0</v>
      </c>
      <c r="ATO64" s="857">
        <f t="shared" si="60"/>
        <v>0</v>
      </c>
      <c r="ATP64" s="857">
        <f t="shared" si="60"/>
        <v>0</v>
      </c>
      <c r="ATQ64" s="857">
        <f t="shared" si="60"/>
        <v>0</v>
      </c>
      <c r="ATR64" s="857">
        <f t="shared" si="60"/>
        <v>0</v>
      </c>
      <c r="ATS64" s="857">
        <f t="shared" si="60"/>
        <v>0</v>
      </c>
      <c r="ATT64" s="857">
        <f t="shared" si="60"/>
        <v>0</v>
      </c>
      <c r="ATU64" s="857">
        <f t="shared" si="60"/>
        <v>0</v>
      </c>
      <c r="ATV64" s="857">
        <f t="shared" si="60"/>
        <v>0</v>
      </c>
      <c r="ATW64" s="857">
        <f t="shared" si="60"/>
        <v>0</v>
      </c>
      <c r="ATX64" s="857">
        <f t="shared" si="60"/>
        <v>0</v>
      </c>
      <c r="ATY64" s="857">
        <f t="shared" si="60"/>
        <v>0</v>
      </c>
      <c r="ATZ64" s="857">
        <f t="shared" ref="ATZ64:AWK64" si="61">(ATZ57-ATZ59)*$C$64</f>
        <v>0</v>
      </c>
      <c r="AUA64" s="857">
        <f t="shared" si="61"/>
        <v>0</v>
      </c>
      <c r="AUB64" s="857">
        <f t="shared" si="61"/>
        <v>0</v>
      </c>
      <c r="AUC64" s="857">
        <f t="shared" si="61"/>
        <v>0</v>
      </c>
      <c r="AUD64" s="857">
        <f t="shared" si="61"/>
        <v>0</v>
      </c>
      <c r="AUE64" s="857">
        <f t="shared" si="61"/>
        <v>0</v>
      </c>
      <c r="AUF64" s="857">
        <f t="shared" si="61"/>
        <v>0</v>
      </c>
      <c r="AUG64" s="857">
        <f t="shared" si="61"/>
        <v>0</v>
      </c>
      <c r="AUH64" s="857">
        <f t="shared" si="61"/>
        <v>0</v>
      </c>
      <c r="AUI64" s="857">
        <f t="shared" si="61"/>
        <v>0</v>
      </c>
      <c r="AUJ64" s="857">
        <f t="shared" si="61"/>
        <v>0</v>
      </c>
      <c r="AUK64" s="857">
        <f t="shared" si="61"/>
        <v>0</v>
      </c>
      <c r="AUL64" s="857">
        <f t="shared" si="61"/>
        <v>0</v>
      </c>
      <c r="AUM64" s="857">
        <f t="shared" si="61"/>
        <v>0</v>
      </c>
      <c r="AUN64" s="857">
        <f t="shared" si="61"/>
        <v>0</v>
      </c>
      <c r="AUO64" s="857">
        <f t="shared" si="61"/>
        <v>0</v>
      </c>
      <c r="AUP64" s="857">
        <f t="shared" si="61"/>
        <v>0</v>
      </c>
      <c r="AUQ64" s="857">
        <f t="shared" si="61"/>
        <v>0</v>
      </c>
      <c r="AUR64" s="857">
        <f t="shared" si="61"/>
        <v>0</v>
      </c>
      <c r="AUS64" s="857">
        <f t="shared" si="61"/>
        <v>0</v>
      </c>
      <c r="AUT64" s="857">
        <f t="shared" si="61"/>
        <v>0</v>
      </c>
      <c r="AUU64" s="857">
        <f t="shared" si="61"/>
        <v>0</v>
      </c>
      <c r="AUV64" s="857">
        <f t="shared" si="61"/>
        <v>0</v>
      </c>
      <c r="AUW64" s="857">
        <f t="shared" si="61"/>
        <v>0</v>
      </c>
      <c r="AUX64" s="857">
        <f t="shared" si="61"/>
        <v>0</v>
      </c>
      <c r="AUY64" s="857">
        <f t="shared" si="61"/>
        <v>0</v>
      </c>
      <c r="AUZ64" s="857">
        <f t="shared" si="61"/>
        <v>0</v>
      </c>
      <c r="AVA64" s="857">
        <f t="shared" si="61"/>
        <v>0</v>
      </c>
      <c r="AVB64" s="857">
        <f t="shared" si="61"/>
        <v>0</v>
      </c>
      <c r="AVC64" s="857">
        <f t="shared" si="61"/>
        <v>0</v>
      </c>
      <c r="AVD64" s="857">
        <f t="shared" si="61"/>
        <v>0</v>
      </c>
      <c r="AVE64" s="857">
        <f t="shared" si="61"/>
        <v>0</v>
      </c>
      <c r="AVF64" s="857">
        <f t="shared" si="61"/>
        <v>0</v>
      </c>
      <c r="AVG64" s="857">
        <f t="shared" si="61"/>
        <v>0</v>
      </c>
      <c r="AVH64" s="857">
        <f t="shared" si="61"/>
        <v>0</v>
      </c>
      <c r="AVI64" s="857">
        <f t="shared" si="61"/>
        <v>0</v>
      </c>
      <c r="AVJ64" s="857">
        <f t="shared" si="61"/>
        <v>0</v>
      </c>
      <c r="AVK64" s="857">
        <f t="shared" si="61"/>
        <v>0</v>
      </c>
      <c r="AVL64" s="857">
        <f t="shared" si="61"/>
        <v>0</v>
      </c>
      <c r="AVM64" s="857">
        <f t="shared" si="61"/>
        <v>0</v>
      </c>
      <c r="AVN64" s="857">
        <f t="shared" si="61"/>
        <v>0</v>
      </c>
      <c r="AVO64" s="857">
        <f t="shared" si="61"/>
        <v>0</v>
      </c>
      <c r="AVP64" s="857">
        <f t="shared" si="61"/>
        <v>0</v>
      </c>
      <c r="AVQ64" s="857">
        <f t="shared" si="61"/>
        <v>0</v>
      </c>
      <c r="AVR64" s="857">
        <f t="shared" si="61"/>
        <v>0</v>
      </c>
      <c r="AVS64" s="857">
        <f t="shared" si="61"/>
        <v>0</v>
      </c>
      <c r="AVT64" s="857">
        <f t="shared" si="61"/>
        <v>0</v>
      </c>
      <c r="AVU64" s="857">
        <f t="shared" si="61"/>
        <v>0</v>
      </c>
      <c r="AVV64" s="857">
        <f t="shared" si="61"/>
        <v>0</v>
      </c>
      <c r="AVW64" s="857">
        <f t="shared" si="61"/>
        <v>0</v>
      </c>
      <c r="AVX64" s="857">
        <f t="shared" si="61"/>
        <v>0</v>
      </c>
      <c r="AVY64" s="857">
        <f t="shared" si="61"/>
        <v>0</v>
      </c>
      <c r="AVZ64" s="857">
        <f t="shared" si="61"/>
        <v>0</v>
      </c>
      <c r="AWA64" s="857">
        <f t="shared" si="61"/>
        <v>0</v>
      </c>
      <c r="AWB64" s="857">
        <f t="shared" si="61"/>
        <v>0</v>
      </c>
      <c r="AWC64" s="857">
        <f t="shared" si="61"/>
        <v>0</v>
      </c>
      <c r="AWD64" s="857">
        <f t="shared" si="61"/>
        <v>0</v>
      </c>
      <c r="AWE64" s="857">
        <f t="shared" si="61"/>
        <v>0</v>
      </c>
      <c r="AWF64" s="857">
        <f t="shared" si="61"/>
        <v>0</v>
      </c>
      <c r="AWG64" s="857">
        <f t="shared" si="61"/>
        <v>0</v>
      </c>
      <c r="AWH64" s="857">
        <f t="shared" si="61"/>
        <v>0</v>
      </c>
      <c r="AWI64" s="857">
        <f t="shared" si="61"/>
        <v>0</v>
      </c>
      <c r="AWJ64" s="857">
        <f t="shared" si="61"/>
        <v>0</v>
      </c>
      <c r="AWK64" s="857">
        <f t="shared" si="61"/>
        <v>0</v>
      </c>
      <c r="AWL64" s="857">
        <f t="shared" ref="AWL64:AYW64" si="62">(AWL57-AWL59)*$C$64</f>
        <v>0</v>
      </c>
      <c r="AWM64" s="857">
        <f t="shared" si="62"/>
        <v>0</v>
      </c>
      <c r="AWN64" s="857">
        <f t="shared" si="62"/>
        <v>0</v>
      </c>
      <c r="AWO64" s="857">
        <f t="shared" si="62"/>
        <v>0</v>
      </c>
      <c r="AWP64" s="857">
        <f t="shared" si="62"/>
        <v>0</v>
      </c>
      <c r="AWQ64" s="857">
        <f t="shared" si="62"/>
        <v>0</v>
      </c>
      <c r="AWR64" s="857">
        <f t="shared" si="62"/>
        <v>0</v>
      </c>
      <c r="AWS64" s="857">
        <f t="shared" si="62"/>
        <v>0</v>
      </c>
      <c r="AWT64" s="857">
        <f t="shared" si="62"/>
        <v>0</v>
      </c>
      <c r="AWU64" s="857">
        <f t="shared" si="62"/>
        <v>0</v>
      </c>
      <c r="AWV64" s="857">
        <f t="shared" si="62"/>
        <v>0</v>
      </c>
      <c r="AWW64" s="857">
        <f t="shared" si="62"/>
        <v>0</v>
      </c>
      <c r="AWX64" s="857">
        <f t="shared" si="62"/>
        <v>0</v>
      </c>
      <c r="AWY64" s="857">
        <f t="shared" si="62"/>
        <v>0</v>
      </c>
      <c r="AWZ64" s="857">
        <f t="shared" si="62"/>
        <v>0</v>
      </c>
      <c r="AXA64" s="857">
        <f t="shared" si="62"/>
        <v>0</v>
      </c>
      <c r="AXB64" s="857">
        <f t="shared" si="62"/>
        <v>0</v>
      </c>
      <c r="AXC64" s="857">
        <f t="shared" si="62"/>
        <v>0</v>
      </c>
      <c r="AXD64" s="857">
        <f t="shared" si="62"/>
        <v>0</v>
      </c>
      <c r="AXE64" s="857">
        <f t="shared" si="62"/>
        <v>0</v>
      </c>
      <c r="AXF64" s="857">
        <f t="shared" si="62"/>
        <v>0</v>
      </c>
      <c r="AXG64" s="857">
        <f t="shared" si="62"/>
        <v>0</v>
      </c>
      <c r="AXH64" s="857">
        <f t="shared" si="62"/>
        <v>0</v>
      </c>
      <c r="AXI64" s="857">
        <f t="shared" si="62"/>
        <v>0</v>
      </c>
      <c r="AXJ64" s="857">
        <f t="shared" si="62"/>
        <v>0</v>
      </c>
      <c r="AXK64" s="857">
        <f t="shared" si="62"/>
        <v>0</v>
      </c>
      <c r="AXL64" s="857">
        <f t="shared" si="62"/>
        <v>0</v>
      </c>
      <c r="AXM64" s="857">
        <f t="shared" si="62"/>
        <v>0</v>
      </c>
      <c r="AXN64" s="857">
        <f t="shared" si="62"/>
        <v>0</v>
      </c>
      <c r="AXO64" s="857">
        <f t="shared" si="62"/>
        <v>0</v>
      </c>
      <c r="AXP64" s="857">
        <f t="shared" si="62"/>
        <v>0</v>
      </c>
      <c r="AXQ64" s="857">
        <f t="shared" si="62"/>
        <v>0</v>
      </c>
      <c r="AXR64" s="857">
        <f t="shared" si="62"/>
        <v>0</v>
      </c>
      <c r="AXS64" s="857">
        <f t="shared" si="62"/>
        <v>0</v>
      </c>
      <c r="AXT64" s="857">
        <f t="shared" si="62"/>
        <v>0</v>
      </c>
      <c r="AXU64" s="857">
        <f t="shared" si="62"/>
        <v>0</v>
      </c>
      <c r="AXV64" s="857">
        <f t="shared" si="62"/>
        <v>0</v>
      </c>
      <c r="AXW64" s="857">
        <f t="shared" si="62"/>
        <v>0</v>
      </c>
      <c r="AXX64" s="857">
        <f t="shared" si="62"/>
        <v>0</v>
      </c>
      <c r="AXY64" s="857">
        <f t="shared" si="62"/>
        <v>0</v>
      </c>
      <c r="AXZ64" s="857">
        <f t="shared" si="62"/>
        <v>0</v>
      </c>
      <c r="AYA64" s="857">
        <f t="shared" si="62"/>
        <v>0</v>
      </c>
      <c r="AYB64" s="857">
        <f t="shared" si="62"/>
        <v>0</v>
      </c>
      <c r="AYC64" s="857">
        <f t="shared" si="62"/>
        <v>0</v>
      </c>
      <c r="AYD64" s="857">
        <f t="shared" si="62"/>
        <v>0</v>
      </c>
      <c r="AYE64" s="857">
        <f t="shared" si="62"/>
        <v>0</v>
      </c>
      <c r="AYF64" s="857">
        <f t="shared" si="62"/>
        <v>0</v>
      </c>
      <c r="AYG64" s="857">
        <f t="shared" si="62"/>
        <v>0</v>
      </c>
      <c r="AYH64" s="857">
        <f t="shared" si="62"/>
        <v>0</v>
      </c>
      <c r="AYI64" s="857">
        <f t="shared" si="62"/>
        <v>0</v>
      </c>
      <c r="AYJ64" s="857">
        <f t="shared" si="62"/>
        <v>0</v>
      </c>
      <c r="AYK64" s="857">
        <f t="shared" si="62"/>
        <v>0</v>
      </c>
      <c r="AYL64" s="857">
        <f t="shared" si="62"/>
        <v>0</v>
      </c>
      <c r="AYM64" s="857">
        <f t="shared" si="62"/>
        <v>0</v>
      </c>
      <c r="AYN64" s="857">
        <f t="shared" si="62"/>
        <v>0</v>
      </c>
      <c r="AYO64" s="857">
        <f t="shared" si="62"/>
        <v>0</v>
      </c>
      <c r="AYP64" s="857">
        <f t="shared" si="62"/>
        <v>0</v>
      </c>
      <c r="AYQ64" s="857">
        <f t="shared" si="62"/>
        <v>0</v>
      </c>
      <c r="AYR64" s="857">
        <f t="shared" si="62"/>
        <v>0</v>
      </c>
      <c r="AYS64" s="857">
        <f t="shared" si="62"/>
        <v>0</v>
      </c>
      <c r="AYT64" s="857">
        <f t="shared" si="62"/>
        <v>0</v>
      </c>
      <c r="AYU64" s="857">
        <f t="shared" si="62"/>
        <v>0</v>
      </c>
      <c r="AYV64" s="857">
        <f t="shared" si="62"/>
        <v>0</v>
      </c>
      <c r="AYW64" s="857">
        <f t="shared" si="62"/>
        <v>0</v>
      </c>
      <c r="AYX64" s="857">
        <f t="shared" ref="AYX64:BBI64" si="63">(AYX57-AYX59)*$C$64</f>
        <v>0</v>
      </c>
      <c r="AYY64" s="857">
        <f t="shared" si="63"/>
        <v>0</v>
      </c>
      <c r="AYZ64" s="857">
        <f t="shared" si="63"/>
        <v>0</v>
      </c>
      <c r="AZA64" s="857">
        <f t="shared" si="63"/>
        <v>0</v>
      </c>
      <c r="AZB64" s="857">
        <f t="shared" si="63"/>
        <v>0</v>
      </c>
      <c r="AZC64" s="857">
        <f t="shared" si="63"/>
        <v>0</v>
      </c>
      <c r="AZD64" s="857">
        <f t="shared" si="63"/>
        <v>0</v>
      </c>
      <c r="AZE64" s="857">
        <f t="shared" si="63"/>
        <v>0</v>
      </c>
      <c r="AZF64" s="857">
        <f t="shared" si="63"/>
        <v>0</v>
      </c>
      <c r="AZG64" s="857">
        <f t="shared" si="63"/>
        <v>0</v>
      </c>
      <c r="AZH64" s="857">
        <f t="shared" si="63"/>
        <v>0</v>
      </c>
      <c r="AZI64" s="857">
        <f t="shared" si="63"/>
        <v>0</v>
      </c>
      <c r="AZJ64" s="857">
        <f t="shared" si="63"/>
        <v>0</v>
      </c>
      <c r="AZK64" s="857">
        <f t="shared" si="63"/>
        <v>0</v>
      </c>
      <c r="AZL64" s="857">
        <f t="shared" si="63"/>
        <v>0</v>
      </c>
      <c r="AZM64" s="857">
        <f t="shared" si="63"/>
        <v>0</v>
      </c>
      <c r="AZN64" s="857">
        <f t="shared" si="63"/>
        <v>0</v>
      </c>
      <c r="AZO64" s="857">
        <f t="shared" si="63"/>
        <v>0</v>
      </c>
      <c r="AZP64" s="857">
        <f t="shared" si="63"/>
        <v>0</v>
      </c>
      <c r="AZQ64" s="857">
        <f t="shared" si="63"/>
        <v>0</v>
      </c>
      <c r="AZR64" s="857">
        <f t="shared" si="63"/>
        <v>0</v>
      </c>
      <c r="AZS64" s="857">
        <f t="shared" si="63"/>
        <v>0</v>
      </c>
      <c r="AZT64" s="857">
        <f t="shared" si="63"/>
        <v>0</v>
      </c>
      <c r="AZU64" s="857">
        <f t="shared" si="63"/>
        <v>0</v>
      </c>
      <c r="AZV64" s="857">
        <f t="shared" si="63"/>
        <v>0</v>
      </c>
      <c r="AZW64" s="857">
        <f t="shared" si="63"/>
        <v>0</v>
      </c>
      <c r="AZX64" s="857">
        <f t="shared" si="63"/>
        <v>0</v>
      </c>
      <c r="AZY64" s="857">
        <f t="shared" si="63"/>
        <v>0</v>
      </c>
      <c r="AZZ64" s="857">
        <f t="shared" si="63"/>
        <v>0</v>
      </c>
      <c r="BAA64" s="857">
        <f t="shared" si="63"/>
        <v>0</v>
      </c>
      <c r="BAB64" s="857">
        <f t="shared" si="63"/>
        <v>0</v>
      </c>
      <c r="BAC64" s="857">
        <f t="shared" si="63"/>
        <v>0</v>
      </c>
      <c r="BAD64" s="857">
        <f t="shared" si="63"/>
        <v>0</v>
      </c>
      <c r="BAE64" s="857">
        <f t="shared" si="63"/>
        <v>0</v>
      </c>
      <c r="BAF64" s="857">
        <f t="shared" si="63"/>
        <v>0</v>
      </c>
      <c r="BAG64" s="857">
        <f t="shared" si="63"/>
        <v>0</v>
      </c>
      <c r="BAH64" s="857">
        <f t="shared" si="63"/>
        <v>0</v>
      </c>
      <c r="BAI64" s="857">
        <f t="shared" si="63"/>
        <v>0</v>
      </c>
      <c r="BAJ64" s="857">
        <f t="shared" si="63"/>
        <v>0</v>
      </c>
      <c r="BAK64" s="857">
        <f t="shared" si="63"/>
        <v>0</v>
      </c>
      <c r="BAL64" s="857">
        <f t="shared" si="63"/>
        <v>0</v>
      </c>
      <c r="BAM64" s="857">
        <f t="shared" si="63"/>
        <v>0</v>
      </c>
      <c r="BAN64" s="857">
        <f t="shared" si="63"/>
        <v>0</v>
      </c>
      <c r="BAO64" s="857">
        <f t="shared" si="63"/>
        <v>0</v>
      </c>
      <c r="BAP64" s="857">
        <f t="shared" si="63"/>
        <v>0</v>
      </c>
      <c r="BAQ64" s="857">
        <f t="shared" si="63"/>
        <v>0</v>
      </c>
      <c r="BAR64" s="857">
        <f t="shared" si="63"/>
        <v>0</v>
      </c>
      <c r="BAS64" s="857">
        <f t="shared" si="63"/>
        <v>0</v>
      </c>
      <c r="BAT64" s="857">
        <f t="shared" si="63"/>
        <v>0</v>
      </c>
      <c r="BAU64" s="857">
        <f t="shared" si="63"/>
        <v>0</v>
      </c>
      <c r="BAV64" s="857">
        <f t="shared" si="63"/>
        <v>0</v>
      </c>
      <c r="BAW64" s="857">
        <f t="shared" si="63"/>
        <v>0</v>
      </c>
      <c r="BAX64" s="857">
        <f t="shared" si="63"/>
        <v>0</v>
      </c>
      <c r="BAY64" s="857">
        <f t="shared" si="63"/>
        <v>0</v>
      </c>
      <c r="BAZ64" s="857">
        <f t="shared" si="63"/>
        <v>0</v>
      </c>
      <c r="BBA64" s="857">
        <f t="shared" si="63"/>
        <v>0</v>
      </c>
      <c r="BBB64" s="857">
        <f t="shared" si="63"/>
        <v>0</v>
      </c>
      <c r="BBC64" s="857">
        <f t="shared" si="63"/>
        <v>0</v>
      </c>
      <c r="BBD64" s="857">
        <f t="shared" si="63"/>
        <v>0</v>
      </c>
      <c r="BBE64" s="857">
        <f t="shared" si="63"/>
        <v>0</v>
      </c>
      <c r="BBF64" s="857">
        <f t="shared" si="63"/>
        <v>0</v>
      </c>
      <c r="BBG64" s="857">
        <f t="shared" si="63"/>
        <v>0</v>
      </c>
      <c r="BBH64" s="857">
        <f t="shared" si="63"/>
        <v>0</v>
      </c>
      <c r="BBI64" s="857">
        <f t="shared" si="63"/>
        <v>0</v>
      </c>
      <c r="BBJ64" s="857">
        <f t="shared" ref="BBJ64:BDU64" si="64">(BBJ57-BBJ59)*$C$64</f>
        <v>0</v>
      </c>
      <c r="BBK64" s="857">
        <f t="shared" si="64"/>
        <v>0</v>
      </c>
      <c r="BBL64" s="857">
        <f t="shared" si="64"/>
        <v>0</v>
      </c>
      <c r="BBM64" s="857">
        <f t="shared" si="64"/>
        <v>0</v>
      </c>
      <c r="BBN64" s="857">
        <f t="shared" si="64"/>
        <v>0</v>
      </c>
      <c r="BBO64" s="857">
        <f t="shared" si="64"/>
        <v>0</v>
      </c>
      <c r="BBP64" s="857">
        <f t="shared" si="64"/>
        <v>0</v>
      </c>
      <c r="BBQ64" s="857">
        <f t="shared" si="64"/>
        <v>0</v>
      </c>
      <c r="BBR64" s="857">
        <f t="shared" si="64"/>
        <v>0</v>
      </c>
      <c r="BBS64" s="857">
        <f t="shared" si="64"/>
        <v>0</v>
      </c>
      <c r="BBT64" s="857">
        <f t="shared" si="64"/>
        <v>0</v>
      </c>
      <c r="BBU64" s="857">
        <f t="shared" si="64"/>
        <v>0</v>
      </c>
      <c r="BBV64" s="857">
        <f t="shared" si="64"/>
        <v>0</v>
      </c>
      <c r="BBW64" s="857">
        <f t="shared" si="64"/>
        <v>0</v>
      </c>
      <c r="BBX64" s="857">
        <f t="shared" si="64"/>
        <v>0</v>
      </c>
      <c r="BBY64" s="857">
        <f t="shared" si="64"/>
        <v>0</v>
      </c>
      <c r="BBZ64" s="857">
        <f t="shared" si="64"/>
        <v>0</v>
      </c>
      <c r="BCA64" s="857">
        <f t="shared" si="64"/>
        <v>0</v>
      </c>
      <c r="BCB64" s="857">
        <f t="shared" si="64"/>
        <v>0</v>
      </c>
      <c r="BCC64" s="857">
        <f t="shared" si="64"/>
        <v>0</v>
      </c>
      <c r="BCD64" s="857">
        <f t="shared" si="64"/>
        <v>0</v>
      </c>
      <c r="BCE64" s="857">
        <f t="shared" si="64"/>
        <v>0</v>
      </c>
      <c r="BCF64" s="857">
        <f t="shared" si="64"/>
        <v>0</v>
      </c>
      <c r="BCG64" s="857">
        <f t="shared" si="64"/>
        <v>0</v>
      </c>
      <c r="BCH64" s="857">
        <f t="shared" si="64"/>
        <v>0</v>
      </c>
      <c r="BCI64" s="857">
        <f t="shared" si="64"/>
        <v>0</v>
      </c>
      <c r="BCJ64" s="857">
        <f t="shared" si="64"/>
        <v>0</v>
      </c>
      <c r="BCK64" s="857">
        <f t="shared" si="64"/>
        <v>0</v>
      </c>
      <c r="BCL64" s="857">
        <f t="shared" si="64"/>
        <v>0</v>
      </c>
      <c r="BCM64" s="857">
        <f t="shared" si="64"/>
        <v>0</v>
      </c>
      <c r="BCN64" s="857">
        <f t="shared" si="64"/>
        <v>0</v>
      </c>
      <c r="BCO64" s="857">
        <f t="shared" si="64"/>
        <v>0</v>
      </c>
      <c r="BCP64" s="857">
        <f t="shared" si="64"/>
        <v>0</v>
      </c>
      <c r="BCQ64" s="857">
        <f t="shared" si="64"/>
        <v>0</v>
      </c>
      <c r="BCR64" s="857">
        <f t="shared" si="64"/>
        <v>0</v>
      </c>
      <c r="BCS64" s="857">
        <f t="shared" si="64"/>
        <v>0</v>
      </c>
      <c r="BCT64" s="857">
        <f t="shared" si="64"/>
        <v>0</v>
      </c>
      <c r="BCU64" s="857">
        <f t="shared" si="64"/>
        <v>0</v>
      </c>
      <c r="BCV64" s="857">
        <f t="shared" si="64"/>
        <v>0</v>
      </c>
      <c r="BCW64" s="857">
        <f t="shared" si="64"/>
        <v>0</v>
      </c>
      <c r="BCX64" s="857">
        <f t="shared" si="64"/>
        <v>0</v>
      </c>
      <c r="BCY64" s="857">
        <f t="shared" si="64"/>
        <v>0</v>
      </c>
      <c r="BCZ64" s="857">
        <f t="shared" si="64"/>
        <v>0</v>
      </c>
      <c r="BDA64" s="857">
        <f t="shared" si="64"/>
        <v>0</v>
      </c>
      <c r="BDB64" s="857">
        <f t="shared" si="64"/>
        <v>0</v>
      </c>
      <c r="BDC64" s="857">
        <f t="shared" si="64"/>
        <v>0</v>
      </c>
      <c r="BDD64" s="857">
        <f t="shared" si="64"/>
        <v>0</v>
      </c>
      <c r="BDE64" s="857">
        <f t="shared" si="64"/>
        <v>0</v>
      </c>
      <c r="BDF64" s="857">
        <f t="shared" si="64"/>
        <v>0</v>
      </c>
      <c r="BDG64" s="857">
        <f t="shared" si="64"/>
        <v>0</v>
      </c>
      <c r="BDH64" s="857">
        <f t="shared" si="64"/>
        <v>0</v>
      </c>
      <c r="BDI64" s="857">
        <f t="shared" si="64"/>
        <v>0</v>
      </c>
      <c r="BDJ64" s="857">
        <f t="shared" si="64"/>
        <v>0</v>
      </c>
      <c r="BDK64" s="857">
        <f t="shared" si="64"/>
        <v>0</v>
      </c>
      <c r="BDL64" s="857">
        <f t="shared" si="64"/>
        <v>0</v>
      </c>
      <c r="BDM64" s="857">
        <f t="shared" si="64"/>
        <v>0</v>
      </c>
      <c r="BDN64" s="857">
        <f t="shared" si="64"/>
        <v>0</v>
      </c>
      <c r="BDO64" s="857">
        <f t="shared" si="64"/>
        <v>0</v>
      </c>
      <c r="BDP64" s="857">
        <f t="shared" si="64"/>
        <v>0</v>
      </c>
      <c r="BDQ64" s="857">
        <f t="shared" si="64"/>
        <v>0</v>
      </c>
      <c r="BDR64" s="857">
        <f t="shared" si="64"/>
        <v>0</v>
      </c>
      <c r="BDS64" s="857">
        <f t="shared" si="64"/>
        <v>0</v>
      </c>
      <c r="BDT64" s="857">
        <f t="shared" si="64"/>
        <v>0</v>
      </c>
      <c r="BDU64" s="857">
        <f t="shared" si="64"/>
        <v>0</v>
      </c>
      <c r="BDV64" s="857">
        <f t="shared" ref="BDV64:BGG64" si="65">(BDV57-BDV59)*$C$64</f>
        <v>0</v>
      </c>
      <c r="BDW64" s="857">
        <f t="shared" si="65"/>
        <v>0</v>
      </c>
      <c r="BDX64" s="857">
        <f t="shared" si="65"/>
        <v>0</v>
      </c>
      <c r="BDY64" s="857">
        <f t="shared" si="65"/>
        <v>0</v>
      </c>
      <c r="BDZ64" s="857">
        <f t="shared" si="65"/>
        <v>0</v>
      </c>
      <c r="BEA64" s="857">
        <f t="shared" si="65"/>
        <v>0</v>
      </c>
      <c r="BEB64" s="857">
        <f t="shared" si="65"/>
        <v>0</v>
      </c>
      <c r="BEC64" s="857">
        <f t="shared" si="65"/>
        <v>0</v>
      </c>
      <c r="BED64" s="857">
        <f t="shared" si="65"/>
        <v>0</v>
      </c>
      <c r="BEE64" s="857">
        <f t="shared" si="65"/>
        <v>0</v>
      </c>
      <c r="BEF64" s="857">
        <f t="shared" si="65"/>
        <v>0</v>
      </c>
      <c r="BEG64" s="857">
        <f t="shared" si="65"/>
        <v>0</v>
      </c>
      <c r="BEH64" s="857">
        <f t="shared" si="65"/>
        <v>0</v>
      </c>
      <c r="BEI64" s="857">
        <f t="shared" si="65"/>
        <v>0</v>
      </c>
      <c r="BEJ64" s="857">
        <f t="shared" si="65"/>
        <v>0</v>
      </c>
      <c r="BEK64" s="857">
        <f t="shared" si="65"/>
        <v>0</v>
      </c>
      <c r="BEL64" s="857">
        <f t="shared" si="65"/>
        <v>0</v>
      </c>
      <c r="BEM64" s="857">
        <f t="shared" si="65"/>
        <v>0</v>
      </c>
      <c r="BEN64" s="857">
        <f t="shared" si="65"/>
        <v>0</v>
      </c>
      <c r="BEO64" s="857">
        <f t="shared" si="65"/>
        <v>0</v>
      </c>
      <c r="BEP64" s="857">
        <f t="shared" si="65"/>
        <v>0</v>
      </c>
      <c r="BEQ64" s="857">
        <f t="shared" si="65"/>
        <v>0</v>
      </c>
      <c r="BER64" s="857">
        <f t="shared" si="65"/>
        <v>0</v>
      </c>
      <c r="BES64" s="857">
        <f t="shared" si="65"/>
        <v>0</v>
      </c>
      <c r="BET64" s="857">
        <f t="shared" si="65"/>
        <v>0</v>
      </c>
      <c r="BEU64" s="857">
        <f t="shared" si="65"/>
        <v>0</v>
      </c>
      <c r="BEV64" s="857">
        <f t="shared" si="65"/>
        <v>0</v>
      </c>
      <c r="BEW64" s="857">
        <f t="shared" si="65"/>
        <v>0</v>
      </c>
      <c r="BEX64" s="857">
        <f t="shared" si="65"/>
        <v>0</v>
      </c>
      <c r="BEY64" s="857">
        <f t="shared" si="65"/>
        <v>0</v>
      </c>
      <c r="BEZ64" s="857">
        <f t="shared" si="65"/>
        <v>0</v>
      </c>
      <c r="BFA64" s="857">
        <f t="shared" si="65"/>
        <v>0</v>
      </c>
      <c r="BFB64" s="857">
        <f t="shared" si="65"/>
        <v>0</v>
      </c>
      <c r="BFC64" s="857">
        <f t="shared" si="65"/>
        <v>0</v>
      </c>
      <c r="BFD64" s="857">
        <f t="shared" si="65"/>
        <v>0</v>
      </c>
      <c r="BFE64" s="857">
        <f t="shared" si="65"/>
        <v>0</v>
      </c>
      <c r="BFF64" s="857">
        <f t="shared" si="65"/>
        <v>0</v>
      </c>
      <c r="BFG64" s="857">
        <f t="shared" si="65"/>
        <v>0</v>
      </c>
      <c r="BFH64" s="857">
        <f t="shared" si="65"/>
        <v>0</v>
      </c>
      <c r="BFI64" s="857">
        <f t="shared" si="65"/>
        <v>0</v>
      </c>
      <c r="BFJ64" s="857">
        <f t="shared" si="65"/>
        <v>0</v>
      </c>
      <c r="BFK64" s="857">
        <f t="shared" si="65"/>
        <v>0</v>
      </c>
      <c r="BFL64" s="857">
        <f t="shared" si="65"/>
        <v>0</v>
      </c>
      <c r="BFM64" s="857">
        <f t="shared" si="65"/>
        <v>0</v>
      </c>
      <c r="BFN64" s="857">
        <f t="shared" si="65"/>
        <v>0</v>
      </c>
      <c r="BFO64" s="857">
        <f t="shared" si="65"/>
        <v>0</v>
      </c>
      <c r="BFP64" s="857">
        <f t="shared" si="65"/>
        <v>0</v>
      </c>
      <c r="BFQ64" s="857">
        <f t="shared" si="65"/>
        <v>0</v>
      </c>
      <c r="BFR64" s="857">
        <f t="shared" si="65"/>
        <v>0</v>
      </c>
      <c r="BFS64" s="857">
        <f t="shared" si="65"/>
        <v>0</v>
      </c>
      <c r="BFT64" s="857">
        <f t="shared" si="65"/>
        <v>0</v>
      </c>
      <c r="BFU64" s="857">
        <f t="shared" si="65"/>
        <v>0</v>
      </c>
      <c r="BFV64" s="857">
        <f t="shared" si="65"/>
        <v>0</v>
      </c>
      <c r="BFW64" s="857">
        <f t="shared" si="65"/>
        <v>0</v>
      </c>
      <c r="BFX64" s="857">
        <f t="shared" si="65"/>
        <v>0</v>
      </c>
      <c r="BFY64" s="857">
        <f t="shared" si="65"/>
        <v>0</v>
      </c>
      <c r="BFZ64" s="857">
        <f t="shared" si="65"/>
        <v>0</v>
      </c>
      <c r="BGA64" s="857">
        <f t="shared" si="65"/>
        <v>0</v>
      </c>
      <c r="BGB64" s="857">
        <f t="shared" si="65"/>
        <v>0</v>
      </c>
      <c r="BGC64" s="857">
        <f t="shared" si="65"/>
        <v>0</v>
      </c>
      <c r="BGD64" s="857">
        <f t="shared" si="65"/>
        <v>0</v>
      </c>
      <c r="BGE64" s="857">
        <f t="shared" si="65"/>
        <v>0</v>
      </c>
      <c r="BGF64" s="857">
        <f t="shared" si="65"/>
        <v>0</v>
      </c>
      <c r="BGG64" s="857">
        <f t="shared" si="65"/>
        <v>0</v>
      </c>
      <c r="BGH64" s="857">
        <f t="shared" ref="BGH64:BIS64" si="66">(BGH57-BGH59)*$C$64</f>
        <v>0</v>
      </c>
      <c r="BGI64" s="857">
        <f t="shared" si="66"/>
        <v>0</v>
      </c>
      <c r="BGJ64" s="857">
        <f t="shared" si="66"/>
        <v>0</v>
      </c>
      <c r="BGK64" s="857">
        <f t="shared" si="66"/>
        <v>0</v>
      </c>
      <c r="BGL64" s="857">
        <f t="shared" si="66"/>
        <v>0</v>
      </c>
      <c r="BGM64" s="857">
        <f t="shared" si="66"/>
        <v>0</v>
      </c>
      <c r="BGN64" s="857">
        <f t="shared" si="66"/>
        <v>0</v>
      </c>
      <c r="BGO64" s="857">
        <f t="shared" si="66"/>
        <v>0</v>
      </c>
      <c r="BGP64" s="857">
        <f t="shared" si="66"/>
        <v>0</v>
      </c>
      <c r="BGQ64" s="857">
        <f t="shared" si="66"/>
        <v>0</v>
      </c>
      <c r="BGR64" s="857">
        <f t="shared" si="66"/>
        <v>0</v>
      </c>
      <c r="BGS64" s="857">
        <f t="shared" si="66"/>
        <v>0</v>
      </c>
      <c r="BGT64" s="857">
        <f t="shared" si="66"/>
        <v>0</v>
      </c>
      <c r="BGU64" s="857">
        <f t="shared" si="66"/>
        <v>0</v>
      </c>
      <c r="BGV64" s="857">
        <f t="shared" si="66"/>
        <v>0</v>
      </c>
      <c r="BGW64" s="857">
        <f t="shared" si="66"/>
        <v>0</v>
      </c>
      <c r="BGX64" s="857">
        <f t="shared" si="66"/>
        <v>0</v>
      </c>
      <c r="BGY64" s="857">
        <f t="shared" si="66"/>
        <v>0</v>
      </c>
      <c r="BGZ64" s="857">
        <f t="shared" si="66"/>
        <v>0</v>
      </c>
      <c r="BHA64" s="857">
        <f t="shared" si="66"/>
        <v>0</v>
      </c>
      <c r="BHB64" s="857">
        <f t="shared" si="66"/>
        <v>0</v>
      </c>
      <c r="BHC64" s="857">
        <f t="shared" si="66"/>
        <v>0</v>
      </c>
      <c r="BHD64" s="857">
        <f t="shared" si="66"/>
        <v>0</v>
      </c>
      <c r="BHE64" s="857">
        <f t="shared" si="66"/>
        <v>0</v>
      </c>
      <c r="BHF64" s="857">
        <f t="shared" si="66"/>
        <v>0</v>
      </c>
      <c r="BHG64" s="857">
        <f t="shared" si="66"/>
        <v>0</v>
      </c>
      <c r="BHH64" s="857">
        <f t="shared" si="66"/>
        <v>0</v>
      </c>
      <c r="BHI64" s="857">
        <f t="shared" si="66"/>
        <v>0</v>
      </c>
      <c r="BHJ64" s="857">
        <f t="shared" si="66"/>
        <v>0</v>
      </c>
      <c r="BHK64" s="857">
        <f t="shared" si="66"/>
        <v>0</v>
      </c>
      <c r="BHL64" s="857">
        <f t="shared" si="66"/>
        <v>0</v>
      </c>
      <c r="BHM64" s="857">
        <f t="shared" si="66"/>
        <v>0</v>
      </c>
      <c r="BHN64" s="857">
        <f t="shared" si="66"/>
        <v>0</v>
      </c>
      <c r="BHO64" s="857">
        <f t="shared" si="66"/>
        <v>0</v>
      </c>
      <c r="BHP64" s="857">
        <f t="shared" si="66"/>
        <v>0</v>
      </c>
      <c r="BHQ64" s="857">
        <f t="shared" si="66"/>
        <v>0</v>
      </c>
      <c r="BHR64" s="857">
        <f t="shared" si="66"/>
        <v>0</v>
      </c>
      <c r="BHS64" s="857">
        <f t="shared" si="66"/>
        <v>0</v>
      </c>
      <c r="BHT64" s="857">
        <f t="shared" si="66"/>
        <v>0</v>
      </c>
      <c r="BHU64" s="857">
        <f t="shared" si="66"/>
        <v>0</v>
      </c>
      <c r="BHV64" s="857">
        <f t="shared" si="66"/>
        <v>0</v>
      </c>
      <c r="BHW64" s="857">
        <f t="shared" si="66"/>
        <v>0</v>
      </c>
      <c r="BHX64" s="857">
        <f t="shared" si="66"/>
        <v>0</v>
      </c>
      <c r="BHY64" s="857">
        <f t="shared" si="66"/>
        <v>0</v>
      </c>
      <c r="BHZ64" s="857">
        <f t="shared" si="66"/>
        <v>0</v>
      </c>
      <c r="BIA64" s="857">
        <f t="shared" si="66"/>
        <v>0</v>
      </c>
      <c r="BIB64" s="857">
        <f t="shared" si="66"/>
        <v>0</v>
      </c>
      <c r="BIC64" s="857">
        <f t="shared" si="66"/>
        <v>0</v>
      </c>
      <c r="BID64" s="857">
        <f t="shared" si="66"/>
        <v>0</v>
      </c>
      <c r="BIE64" s="857">
        <f t="shared" si="66"/>
        <v>0</v>
      </c>
      <c r="BIF64" s="857">
        <f t="shared" si="66"/>
        <v>0</v>
      </c>
      <c r="BIG64" s="857">
        <f t="shared" si="66"/>
        <v>0</v>
      </c>
      <c r="BIH64" s="857">
        <f t="shared" si="66"/>
        <v>0</v>
      </c>
      <c r="BII64" s="857">
        <f t="shared" si="66"/>
        <v>0</v>
      </c>
      <c r="BIJ64" s="857">
        <f t="shared" si="66"/>
        <v>0</v>
      </c>
      <c r="BIK64" s="857">
        <f t="shared" si="66"/>
        <v>0</v>
      </c>
      <c r="BIL64" s="857">
        <f t="shared" si="66"/>
        <v>0</v>
      </c>
      <c r="BIM64" s="857">
        <f t="shared" si="66"/>
        <v>0</v>
      </c>
      <c r="BIN64" s="857">
        <f t="shared" si="66"/>
        <v>0</v>
      </c>
      <c r="BIO64" s="857">
        <f t="shared" si="66"/>
        <v>0</v>
      </c>
      <c r="BIP64" s="857">
        <f t="shared" si="66"/>
        <v>0</v>
      </c>
      <c r="BIQ64" s="857">
        <f t="shared" si="66"/>
        <v>0</v>
      </c>
      <c r="BIR64" s="857">
        <f t="shared" si="66"/>
        <v>0</v>
      </c>
      <c r="BIS64" s="857">
        <f t="shared" si="66"/>
        <v>0</v>
      </c>
      <c r="BIT64" s="857">
        <f t="shared" ref="BIT64:BLE64" si="67">(BIT57-BIT59)*$C$64</f>
        <v>0</v>
      </c>
      <c r="BIU64" s="857">
        <f t="shared" si="67"/>
        <v>0</v>
      </c>
      <c r="BIV64" s="857">
        <f t="shared" si="67"/>
        <v>0</v>
      </c>
      <c r="BIW64" s="857">
        <f t="shared" si="67"/>
        <v>0</v>
      </c>
      <c r="BIX64" s="857">
        <f t="shared" si="67"/>
        <v>0</v>
      </c>
      <c r="BIY64" s="857">
        <f t="shared" si="67"/>
        <v>0</v>
      </c>
      <c r="BIZ64" s="857">
        <f t="shared" si="67"/>
        <v>0</v>
      </c>
      <c r="BJA64" s="857">
        <f t="shared" si="67"/>
        <v>0</v>
      </c>
      <c r="BJB64" s="857">
        <f t="shared" si="67"/>
        <v>0</v>
      </c>
      <c r="BJC64" s="857">
        <f t="shared" si="67"/>
        <v>0</v>
      </c>
      <c r="BJD64" s="857">
        <f t="shared" si="67"/>
        <v>0</v>
      </c>
      <c r="BJE64" s="857">
        <f t="shared" si="67"/>
        <v>0</v>
      </c>
      <c r="BJF64" s="857">
        <f t="shared" si="67"/>
        <v>0</v>
      </c>
      <c r="BJG64" s="857">
        <f t="shared" si="67"/>
        <v>0</v>
      </c>
      <c r="BJH64" s="857">
        <f t="shared" si="67"/>
        <v>0</v>
      </c>
      <c r="BJI64" s="857">
        <f t="shared" si="67"/>
        <v>0</v>
      </c>
      <c r="BJJ64" s="857">
        <f t="shared" si="67"/>
        <v>0</v>
      </c>
      <c r="BJK64" s="857">
        <f t="shared" si="67"/>
        <v>0</v>
      </c>
      <c r="BJL64" s="857">
        <f t="shared" si="67"/>
        <v>0</v>
      </c>
      <c r="BJM64" s="857">
        <f t="shared" si="67"/>
        <v>0</v>
      </c>
      <c r="BJN64" s="857">
        <f t="shared" si="67"/>
        <v>0</v>
      </c>
      <c r="BJO64" s="857">
        <f t="shared" si="67"/>
        <v>0</v>
      </c>
      <c r="BJP64" s="857">
        <f t="shared" si="67"/>
        <v>0</v>
      </c>
      <c r="BJQ64" s="857">
        <f t="shared" si="67"/>
        <v>0</v>
      </c>
      <c r="BJR64" s="857">
        <f t="shared" si="67"/>
        <v>0</v>
      </c>
      <c r="BJS64" s="857">
        <f t="shared" si="67"/>
        <v>0</v>
      </c>
      <c r="BJT64" s="857">
        <f t="shared" si="67"/>
        <v>0</v>
      </c>
      <c r="BJU64" s="857">
        <f t="shared" si="67"/>
        <v>0</v>
      </c>
      <c r="BJV64" s="857">
        <f t="shared" si="67"/>
        <v>0</v>
      </c>
      <c r="BJW64" s="857">
        <f t="shared" si="67"/>
        <v>0</v>
      </c>
      <c r="BJX64" s="857">
        <f t="shared" si="67"/>
        <v>0</v>
      </c>
      <c r="BJY64" s="857">
        <f t="shared" si="67"/>
        <v>0</v>
      </c>
      <c r="BJZ64" s="857">
        <f t="shared" si="67"/>
        <v>0</v>
      </c>
      <c r="BKA64" s="857">
        <f t="shared" si="67"/>
        <v>0</v>
      </c>
      <c r="BKB64" s="857">
        <f t="shared" si="67"/>
        <v>0</v>
      </c>
      <c r="BKC64" s="857">
        <f t="shared" si="67"/>
        <v>0</v>
      </c>
      <c r="BKD64" s="857">
        <f t="shared" si="67"/>
        <v>0</v>
      </c>
      <c r="BKE64" s="857">
        <f t="shared" si="67"/>
        <v>0</v>
      </c>
      <c r="BKF64" s="857">
        <f t="shared" si="67"/>
        <v>0</v>
      </c>
      <c r="BKG64" s="857">
        <f t="shared" si="67"/>
        <v>0</v>
      </c>
      <c r="BKH64" s="857">
        <f t="shared" si="67"/>
        <v>0</v>
      </c>
      <c r="BKI64" s="857">
        <f t="shared" si="67"/>
        <v>0</v>
      </c>
      <c r="BKJ64" s="857">
        <f t="shared" si="67"/>
        <v>0</v>
      </c>
      <c r="BKK64" s="857">
        <f t="shared" si="67"/>
        <v>0</v>
      </c>
      <c r="BKL64" s="857">
        <f t="shared" si="67"/>
        <v>0</v>
      </c>
      <c r="BKM64" s="857">
        <f t="shared" si="67"/>
        <v>0</v>
      </c>
      <c r="BKN64" s="857">
        <f t="shared" si="67"/>
        <v>0</v>
      </c>
      <c r="BKO64" s="857">
        <f t="shared" si="67"/>
        <v>0</v>
      </c>
      <c r="BKP64" s="857">
        <f t="shared" si="67"/>
        <v>0</v>
      </c>
      <c r="BKQ64" s="857">
        <f t="shared" si="67"/>
        <v>0</v>
      </c>
      <c r="BKR64" s="857">
        <f t="shared" si="67"/>
        <v>0</v>
      </c>
      <c r="BKS64" s="857">
        <f t="shared" si="67"/>
        <v>0</v>
      </c>
      <c r="BKT64" s="857">
        <f t="shared" si="67"/>
        <v>0</v>
      </c>
      <c r="BKU64" s="857">
        <f t="shared" si="67"/>
        <v>0</v>
      </c>
      <c r="BKV64" s="857">
        <f t="shared" si="67"/>
        <v>0</v>
      </c>
      <c r="BKW64" s="857">
        <f t="shared" si="67"/>
        <v>0</v>
      </c>
      <c r="BKX64" s="857">
        <f t="shared" si="67"/>
        <v>0</v>
      </c>
      <c r="BKY64" s="857">
        <f t="shared" si="67"/>
        <v>0</v>
      </c>
      <c r="BKZ64" s="857">
        <f t="shared" si="67"/>
        <v>0</v>
      </c>
      <c r="BLA64" s="857">
        <f t="shared" si="67"/>
        <v>0</v>
      </c>
      <c r="BLB64" s="857">
        <f t="shared" si="67"/>
        <v>0</v>
      </c>
      <c r="BLC64" s="857">
        <f t="shared" si="67"/>
        <v>0</v>
      </c>
      <c r="BLD64" s="857">
        <f t="shared" si="67"/>
        <v>0</v>
      </c>
      <c r="BLE64" s="857">
        <f t="shared" si="67"/>
        <v>0</v>
      </c>
      <c r="BLF64" s="857">
        <f t="shared" ref="BLF64:BNQ64" si="68">(BLF57-BLF59)*$C$64</f>
        <v>0</v>
      </c>
      <c r="BLG64" s="857">
        <f t="shared" si="68"/>
        <v>0</v>
      </c>
      <c r="BLH64" s="857">
        <f t="shared" si="68"/>
        <v>0</v>
      </c>
      <c r="BLI64" s="857">
        <f t="shared" si="68"/>
        <v>0</v>
      </c>
      <c r="BLJ64" s="857">
        <f t="shared" si="68"/>
        <v>0</v>
      </c>
      <c r="BLK64" s="857">
        <f t="shared" si="68"/>
        <v>0</v>
      </c>
      <c r="BLL64" s="857">
        <f t="shared" si="68"/>
        <v>0</v>
      </c>
      <c r="BLM64" s="857">
        <f t="shared" si="68"/>
        <v>0</v>
      </c>
      <c r="BLN64" s="857">
        <f t="shared" si="68"/>
        <v>0</v>
      </c>
      <c r="BLO64" s="857">
        <f t="shared" si="68"/>
        <v>0</v>
      </c>
      <c r="BLP64" s="857">
        <f t="shared" si="68"/>
        <v>0</v>
      </c>
      <c r="BLQ64" s="857">
        <f t="shared" si="68"/>
        <v>0</v>
      </c>
      <c r="BLR64" s="857">
        <f t="shared" si="68"/>
        <v>0</v>
      </c>
      <c r="BLS64" s="857">
        <f t="shared" si="68"/>
        <v>0</v>
      </c>
      <c r="BLT64" s="857">
        <f t="shared" si="68"/>
        <v>0</v>
      </c>
      <c r="BLU64" s="857">
        <f t="shared" si="68"/>
        <v>0</v>
      </c>
      <c r="BLV64" s="857">
        <f t="shared" si="68"/>
        <v>0</v>
      </c>
      <c r="BLW64" s="857">
        <f t="shared" si="68"/>
        <v>0</v>
      </c>
      <c r="BLX64" s="857">
        <f t="shared" si="68"/>
        <v>0</v>
      </c>
      <c r="BLY64" s="857">
        <f t="shared" si="68"/>
        <v>0</v>
      </c>
      <c r="BLZ64" s="857">
        <f t="shared" si="68"/>
        <v>0</v>
      </c>
      <c r="BMA64" s="857">
        <f t="shared" si="68"/>
        <v>0</v>
      </c>
      <c r="BMB64" s="857">
        <f t="shared" si="68"/>
        <v>0</v>
      </c>
      <c r="BMC64" s="857">
        <f t="shared" si="68"/>
        <v>0</v>
      </c>
      <c r="BMD64" s="857">
        <f t="shared" si="68"/>
        <v>0</v>
      </c>
      <c r="BME64" s="857">
        <f t="shared" si="68"/>
        <v>0</v>
      </c>
      <c r="BMF64" s="857">
        <f t="shared" si="68"/>
        <v>0</v>
      </c>
      <c r="BMG64" s="857">
        <f t="shared" si="68"/>
        <v>0</v>
      </c>
      <c r="BMH64" s="857">
        <f t="shared" si="68"/>
        <v>0</v>
      </c>
      <c r="BMI64" s="857">
        <f t="shared" si="68"/>
        <v>0</v>
      </c>
      <c r="BMJ64" s="857">
        <f t="shared" si="68"/>
        <v>0</v>
      </c>
      <c r="BMK64" s="857">
        <f t="shared" si="68"/>
        <v>0</v>
      </c>
      <c r="BML64" s="857">
        <f t="shared" si="68"/>
        <v>0</v>
      </c>
      <c r="BMM64" s="857">
        <f t="shared" si="68"/>
        <v>0</v>
      </c>
      <c r="BMN64" s="857">
        <f t="shared" si="68"/>
        <v>0</v>
      </c>
      <c r="BMO64" s="857">
        <f t="shared" si="68"/>
        <v>0</v>
      </c>
      <c r="BMP64" s="857">
        <f t="shared" si="68"/>
        <v>0</v>
      </c>
      <c r="BMQ64" s="857">
        <f t="shared" si="68"/>
        <v>0</v>
      </c>
      <c r="BMR64" s="857">
        <f t="shared" si="68"/>
        <v>0</v>
      </c>
      <c r="BMS64" s="857">
        <f t="shared" si="68"/>
        <v>0</v>
      </c>
      <c r="BMT64" s="857">
        <f t="shared" si="68"/>
        <v>0</v>
      </c>
      <c r="BMU64" s="857">
        <f t="shared" si="68"/>
        <v>0</v>
      </c>
      <c r="BMV64" s="857">
        <f t="shared" si="68"/>
        <v>0</v>
      </c>
      <c r="BMW64" s="857">
        <f t="shared" si="68"/>
        <v>0</v>
      </c>
      <c r="BMX64" s="857">
        <f t="shared" si="68"/>
        <v>0</v>
      </c>
      <c r="BMY64" s="857">
        <f t="shared" si="68"/>
        <v>0</v>
      </c>
      <c r="BMZ64" s="857">
        <f t="shared" si="68"/>
        <v>0</v>
      </c>
      <c r="BNA64" s="857">
        <f t="shared" si="68"/>
        <v>0</v>
      </c>
      <c r="BNB64" s="857">
        <f t="shared" si="68"/>
        <v>0</v>
      </c>
      <c r="BNC64" s="857">
        <f t="shared" si="68"/>
        <v>0</v>
      </c>
      <c r="BND64" s="857">
        <f t="shared" si="68"/>
        <v>0</v>
      </c>
      <c r="BNE64" s="857">
        <f t="shared" si="68"/>
        <v>0</v>
      </c>
      <c r="BNF64" s="857">
        <f t="shared" si="68"/>
        <v>0</v>
      </c>
      <c r="BNG64" s="857">
        <f t="shared" si="68"/>
        <v>0</v>
      </c>
      <c r="BNH64" s="857">
        <f t="shared" si="68"/>
        <v>0</v>
      </c>
      <c r="BNI64" s="857">
        <f t="shared" si="68"/>
        <v>0</v>
      </c>
      <c r="BNJ64" s="857">
        <f t="shared" si="68"/>
        <v>0</v>
      </c>
      <c r="BNK64" s="857">
        <f t="shared" si="68"/>
        <v>0</v>
      </c>
      <c r="BNL64" s="857">
        <f t="shared" si="68"/>
        <v>0</v>
      </c>
      <c r="BNM64" s="857">
        <f t="shared" si="68"/>
        <v>0</v>
      </c>
      <c r="BNN64" s="857">
        <f t="shared" si="68"/>
        <v>0</v>
      </c>
      <c r="BNO64" s="857">
        <f t="shared" si="68"/>
        <v>0</v>
      </c>
      <c r="BNP64" s="857">
        <f t="shared" si="68"/>
        <v>0</v>
      </c>
      <c r="BNQ64" s="857">
        <f t="shared" si="68"/>
        <v>0</v>
      </c>
      <c r="BNR64" s="857">
        <f t="shared" ref="BNR64:BQC64" si="69">(BNR57-BNR59)*$C$64</f>
        <v>0</v>
      </c>
      <c r="BNS64" s="857">
        <f t="shared" si="69"/>
        <v>0</v>
      </c>
      <c r="BNT64" s="857">
        <f t="shared" si="69"/>
        <v>0</v>
      </c>
      <c r="BNU64" s="857">
        <f t="shared" si="69"/>
        <v>0</v>
      </c>
      <c r="BNV64" s="857">
        <f t="shared" si="69"/>
        <v>0</v>
      </c>
      <c r="BNW64" s="857">
        <f t="shared" si="69"/>
        <v>0</v>
      </c>
      <c r="BNX64" s="857">
        <f t="shared" si="69"/>
        <v>0</v>
      </c>
      <c r="BNY64" s="857">
        <f t="shared" si="69"/>
        <v>0</v>
      </c>
      <c r="BNZ64" s="857">
        <f t="shared" si="69"/>
        <v>0</v>
      </c>
      <c r="BOA64" s="857">
        <f t="shared" si="69"/>
        <v>0</v>
      </c>
      <c r="BOB64" s="857">
        <f t="shared" si="69"/>
        <v>0</v>
      </c>
      <c r="BOC64" s="857">
        <f t="shared" si="69"/>
        <v>0</v>
      </c>
      <c r="BOD64" s="857">
        <f t="shared" si="69"/>
        <v>0</v>
      </c>
      <c r="BOE64" s="857">
        <f t="shared" si="69"/>
        <v>0</v>
      </c>
      <c r="BOF64" s="857">
        <f t="shared" si="69"/>
        <v>0</v>
      </c>
      <c r="BOG64" s="857">
        <f t="shared" si="69"/>
        <v>0</v>
      </c>
      <c r="BOH64" s="857">
        <f t="shared" si="69"/>
        <v>0</v>
      </c>
      <c r="BOI64" s="857">
        <f t="shared" si="69"/>
        <v>0</v>
      </c>
      <c r="BOJ64" s="857">
        <f t="shared" si="69"/>
        <v>0</v>
      </c>
      <c r="BOK64" s="857">
        <f t="shared" si="69"/>
        <v>0</v>
      </c>
      <c r="BOL64" s="857">
        <f t="shared" si="69"/>
        <v>0</v>
      </c>
      <c r="BOM64" s="857">
        <f t="shared" si="69"/>
        <v>0</v>
      </c>
      <c r="BON64" s="857">
        <f t="shared" si="69"/>
        <v>0</v>
      </c>
      <c r="BOO64" s="857">
        <f t="shared" si="69"/>
        <v>0</v>
      </c>
      <c r="BOP64" s="857">
        <f t="shared" si="69"/>
        <v>0</v>
      </c>
      <c r="BOQ64" s="857">
        <f t="shared" si="69"/>
        <v>0</v>
      </c>
      <c r="BOR64" s="857">
        <f t="shared" si="69"/>
        <v>0</v>
      </c>
      <c r="BOS64" s="857">
        <f t="shared" si="69"/>
        <v>0</v>
      </c>
      <c r="BOT64" s="857">
        <f t="shared" si="69"/>
        <v>0</v>
      </c>
      <c r="BOU64" s="857">
        <f t="shared" si="69"/>
        <v>0</v>
      </c>
      <c r="BOV64" s="857">
        <f t="shared" si="69"/>
        <v>0</v>
      </c>
      <c r="BOW64" s="857">
        <f t="shared" si="69"/>
        <v>0</v>
      </c>
      <c r="BOX64" s="857">
        <f t="shared" si="69"/>
        <v>0</v>
      </c>
      <c r="BOY64" s="857">
        <f t="shared" si="69"/>
        <v>0</v>
      </c>
      <c r="BOZ64" s="857">
        <f t="shared" si="69"/>
        <v>0</v>
      </c>
      <c r="BPA64" s="857">
        <f t="shared" si="69"/>
        <v>0</v>
      </c>
      <c r="BPB64" s="857">
        <f t="shared" si="69"/>
        <v>0</v>
      </c>
      <c r="BPC64" s="857">
        <f t="shared" si="69"/>
        <v>0</v>
      </c>
      <c r="BPD64" s="857">
        <f t="shared" si="69"/>
        <v>0</v>
      </c>
      <c r="BPE64" s="857">
        <f t="shared" si="69"/>
        <v>0</v>
      </c>
      <c r="BPF64" s="857">
        <f t="shared" si="69"/>
        <v>0</v>
      </c>
      <c r="BPG64" s="857">
        <f t="shared" si="69"/>
        <v>0</v>
      </c>
      <c r="BPH64" s="857">
        <f t="shared" si="69"/>
        <v>0</v>
      </c>
      <c r="BPI64" s="857">
        <f t="shared" si="69"/>
        <v>0</v>
      </c>
      <c r="BPJ64" s="857">
        <f t="shared" si="69"/>
        <v>0</v>
      </c>
      <c r="BPK64" s="857">
        <f t="shared" si="69"/>
        <v>0</v>
      </c>
      <c r="BPL64" s="857">
        <f t="shared" si="69"/>
        <v>0</v>
      </c>
      <c r="BPM64" s="857">
        <f t="shared" si="69"/>
        <v>0</v>
      </c>
      <c r="BPN64" s="857">
        <f t="shared" si="69"/>
        <v>0</v>
      </c>
      <c r="BPO64" s="857">
        <f t="shared" si="69"/>
        <v>0</v>
      </c>
      <c r="BPP64" s="857">
        <f t="shared" si="69"/>
        <v>0</v>
      </c>
      <c r="BPQ64" s="857">
        <f t="shared" si="69"/>
        <v>0</v>
      </c>
      <c r="BPR64" s="857">
        <f t="shared" si="69"/>
        <v>0</v>
      </c>
      <c r="BPS64" s="857">
        <f t="shared" si="69"/>
        <v>0</v>
      </c>
      <c r="BPT64" s="857">
        <f t="shared" si="69"/>
        <v>0</v>
      </c>
      <c r="BPU64" s="857">
        <f t="shared" si="69"/>
        <v>0</v>
      </c>
      <c r="BPV64" s="857">
        <f t="shared" si="69"/>
        <v>0</v>
      </c>
      <c r="BPW64" s="857">
        <f t="shared" si="69"/>
        <v>0</v>
      </c>
      <c r="BPX64" s="857">
        <f t="shared" si="69"/>
        <v>0</v>
      </c>
      <c r="BPY64" s="857">
        <f t="shared" si="69"/>
        <v>0</v>
      </c>
      <c r="BPZ64" s="857">
        <f t="shared" si="69"/>
        <v>0</v>
      </c>
      <c r="BQA64" s="857">
        <f t="shared" si="69"/>
        <v>0</v>
      </c>
      <c r="BQB64" s="857">
        <f t="shared" si="69"/>
        <v>0</v>
      </c>
      <c r="BQC64" s="857">
        <f t="shared" si="69"/>
        <v>0</v>
      </c>
      <c r="BQD64" s="857">
        <f t="shared" ref="BQD64:BSO64" si="70">(BQD57-BQD59)*$C$64</f>
        <v>0</v>
      </c>
      <c r="BQE64" s="857">
        <f t="shared" si="70"/>
        <v>0</v>
      </c>
      <c r="BQF64" s="857">
        <f t="shared" si="70"/>
        <v>0</v>
      </c>
      <c r="BQG64" s="857">
        <f t="shared" si="70"/>
        <v>0</v>
      </c>
      <c r="BQH64" s="857">
        <f t="shared" si="70"/>
        <v>0</v>
      </c>
      <c r="BQI64" s="857">
        <f t="shared" si="70"/>
        <v>0</v>
      </c>
      <c r="BQJ64" s="857">
        <f t="shared" si="70"/>
        <v>0</v>
      </c>
      <c r="BQK64" s="857">
        <f t="shared" si="70"/>
        <v>0</v>
      </c>
      <c r="BQL64" s="857">
        <f t="shared" si="70"/>
        <v>0</v>
      </c>
      <c r="BQM64" s="857">
        <f t="shared" si="70"/>
        <v>0</v>
      </c>
      <c r="BQN64" s="857">
        <f t="shared" si="70"/>
        <v>0</v>
      </c>
      <c r="BQO64" s="857">
        <f t="shared" si="70"/>
        <v>0</v>
      </c>
      <c r="BQP64" s="857">
        <f t="shared" si="70"/>
        <v>0</v>
      </c>
      <c r="BQQ64" s="857">
        <f t="shared" si="70"/>
        <v>0</v>
      </c>
      <c r="BQR64" s="857">
        <f t="shared" si="70"/>
        <v>0</v>
      </c>
      <c r="BQS64" s="857">
        <f t="shared" si="70"/>
        <v>0</v>
      </c>
      <c r="BQT64" s="857">
        <f t="shared" si="70"/>
        <v>0</v>
      </c>
      <c r="BQU64" s="857">
        <f t="shared" si="70"/>
        <v>0</v>
      </c>
      <c r="BQV64" s="857">
        <f t="shared" si="70"/>
        <v>0</v>
      </c>
      <c r="BQW64" s="857">
        <f t="shared" si="70"/>
        <v>0</v>
      </c>
      <c r="BQX64" s="857">
        <f t="shared" si="70"/>
        <v>0</v>
      </c>
      <c r="BQY64" s="857">
        <f t="shared" si="70"/>
        <v>0</v>
      </c>
      <c r="BQZ64" s="857">
        <f t="shared" si="70"/>
        <v>0</v>
      </c>
      <c r="BRA64" s="857">
        <f t="shared" si="70"/>
        <v>0</v>
      </c>
      <c r="BRB64" s="857">
        <f t="shared" si="70"/>
        <v>0</v>
      </c>
      <c r="BRC64" s="857">
        <f t="shared" si="70"/>
        <v>0</v>
      </c>
      <c r="BRD64" s="857">
        <f t="shared" si="70"/>
        <v>0</v>
      </c>
      <c r="BRE64" s="857">
        <f t="shared" si="70"/>
        <v>0</v>
      </c>
      <c r="BRF64" s="857">
        <f t="shared" si="70"/>
        <v>0</v>
      </c>
      <c r="BRG64" s="857">
        <f t="shared" si="70"/>
        <v>0</v>
      </c>
      <c r="BRH64" s="857">
        <f t="shared" si="70"/>
        <v>0</v>
      </c>
      <c r="BRI64" s="857">
        <f t="shared" si="70"/>
        <v>0</v>
      </c>
      <c r="BRJ64" s="857">
        <f t="shared" si="70"/>
        <v>0</v>
      </c>
      <c r="BRK64" s="857">
        <f t="shared" si="70"/>
        <v>0</v>
      </c>
      <c r="BRL64" s="857">
        <f t="shared" si="70"/>
        <v>0</v>
      </c>
      <c r="BRM64" s="857">
        <f t="shared" si="70"/>
        <v>0</v>
      </c>
      <c r="BRN64" s="857">
        <f t="shared" si="70"/>
        <v>0</v>
      </c>
      <c r="BRO64" s="857">
        <f t="shared" si="70"/>
        <v>0</v>
      </c>
      <c r="BRP64" s="857">
        <f t="shared" si="70"/>
        <v>0</v>
      </c>
      <c r="BRQ64" s="857">
        <f t="shared" si="70"/>
        <v>0</v>
      </c>
      <c r="BRR64" s="857">
        <f t="shared" si="70"/>
        <v>0</v>
      </c>
      <c r="BRS64" s="857">
        <f t="shared" si="70"/>
        <v>0</v>
      </c>
      <c r="BRT64" s="857">
        <f t="shared" si="70"/>
        <v>0</v>
      </c>
      <c r="BRU64" s="857">
        <f t="shared" si="70"/>
        <v>0</v>
      </c>
      <c r="BRV64" s="857">
        <f t="shared" si="70"/>
        <v>0</v>
      </c>
      <c r="BRW64" s="857">
        <f t="shared" si="70"/>
        <v>0</v>
      </c>
      <c r="BRX64" s="857">
        <f t="shared" si="70"/>
        <v>0</v>
      </c>
      <c r="BRY64" s="857">
        <f t="shared" si="70"/>
        <v>0</v>
      </c>
      <c r="BRZ64" s="857">
        <f t="shared" si="70"/>
        <v>0</v>
      </c>
      <c r="BSA64" s="857">
        <f t="shared" si="70"/>
        <v>0</v>
      </c>
      <c r="BSB64" s="857">
        <f t="shared" si="70"/>
        <v>0</v>
      </c>
      <c r="BSC64" s="857">
        <f t="shared" si="70"/>
        <v>0</v>
      </c>
      <c r="BSD64" s="857">
        <f t="shared" si="70"/>
        <v>0</v>
      </c>
      <c r="BSE64" s="857">
        <f t="shared" si="70"/>
        <v>0</v>
      </c>
      <c r="BSF64" s="857">
        <f t="shared" si="70"/>
        <v>0</v>
      </c>
      <c r="BSG64" s="857">
        <f t="shared" si="70"/>
        <v>0</v>
      </c>
      <c r="BSH64" s="857">
        <f t="shared" si="70"/>
        <v>0</v>
      </c>
      <c r="BSI64" s="857">
        <f t="shared" si="70"/>
        <v>0</v>
      </c>
      <c r="BSJ64" s="857">
        <f t="shared" si="70"/>
        <v>0</v>
      </c>
      <c r="BSK64" s="857">
        <f t="shared" si="70"/>
        <v>0</v>
      </c>
      <c r="BSL64" s="857">
        <f t="shared" si="70"/>
        <v>0</v>
      </c>
      <c r="BSM64" s="857">
        <f t="shared" si="70"/>
        <v>0</v>
      </c>
      <c r="BSN64" s="857">
        <f t="shared" si="70"/>
        <v>0</v>
      </c>
      <c r="BSO64" s="857">
        <f t="shared" si="70"/>
        <v>0</v>
      </c>
      <c r="BSP64" s="857">
        <f t="shared" ref="BSP64:BVA64" si="71">(BSP57-BSP59)*$C$64</f>
        <v>0</v>
      </c>
      <c r="BSQ64" s="857">
        <f t="shared" si="71"/>
        <v>0</v>
      </c>
      <c r="BSR64" s="857">
        <f t="shared" si="71"/>
        <v>0</v>
      </c>
      <c r="BSS64" s="857">
        <f t="shared" si="71"/>
        <v>0</v>
      </c>
      <c r="BST64" s="857">
        <f t="shared" si="71"/>
        <v>0</v>
      </c>
      <c r="BSU64" s="857">
        <f t="shared" si="71"/>
        <v>0</v>
      </c>
      <c r="BSV64" s="857">
        <f t="shared" si="71"/>
        <v>0</v>
      </c>
      <c r="BSW64" s="857">
        <f t="shared" si="71"/>
        <v>0</v>
      </c>
      <c r="BSX64" s="857">
        <f t="shared" si="71"/>
        <v>0</v>
      </c>
      <c r="BSY64" s="857">
        <f t="shared" si="71"/>
        <v>0</v>
      </c>
      <c r="BSZ64" s="857">
        <f t="shared" si="71"/>
        <v>0</v>
      </c>
      <c r="BTA64" s="857">
        <f t="shared" si="71"/>
        <v>0</v>
      </c>
      <c r="BTB64" s="857">
        <f t="shared" si="71"/>
        <v>0</v>
      </c>
      <c r="BTC64" s="857">
        <f t="shared" si="71"/>
        <v>0</v>
      </c>
      <c r="BTD64" s="857">
        <f t="shared" si="71"/>
        <v>0</v>
      </c>
      <c r="BTE64" s="857">
        <f t="shared" si="71"/>
        <v>0</v>
      </c>
      <c r="BTF64" s="857">
        <f t="shared" si="71"/>
        <v>0</v>
      </c>
      <c r="BTG64" s="857">
        <f t="shared" si="71"/>
        <v>0</v>
      </c>
      <c r="BTH64" s="857">
        <f t="shared" si="71"/>
        <v>0</v>
      </c>
      <c r="BTI64" s="857">
        <f t="shared" si="71"/>
        <v>0</v>
      </c>
      <c r="BTJ64" s="857">
        <f t="shared" si="71"/>
        <v>0</v>
      </c>
      <c r="BTK64" s="857">
        <f t="shared" si="71"/>
        <v>0</v>
      </c>
      <c r="BTL64" s="857">
        <f t="shared" si="71"/>
        <v>0</v>
      </c>
      <c r="BTM64" s="857">
        <f t="shared" si="71"/>
        <v>0</v>
      </c>
      <c r="BTN64" s="857">
        <f t="shared" si="71"/>
        <v>0</v>
      </c>
      <c r="BTO64" s="857">
        <f t="shared" si="71"/>
        <v>0</v>
      </c>
      <c r="BTP64" s="857">
        <f t="shared" si="71"/>
        <v>0</v>
      </c>
      <c r="BTQ64" s="857">
        <f t="shared" si="71"/>
        <v>0</v>
      </c>
      <c r="BTR64" s="857">
        <f t="shared" si="71"/>
        <v>0</v>
      </c>
      <c r="BTS64" s="857">
        <f t="shared" si="71"/>
        <v>0</v>
      </c>
      <c r="BTT64" s="857">
        <f t="shared" si="71"/>
        <v>0</v>
      </c>
      <c r="BTU64" s="857">
        <f t="shared" si="71"/>
        <v>0</v>
      </c>
      <c r="BTV64" s="857">
        <f t="shared" si="71"/>
        <v>0</v>
      </c>
      <c r="BTW64" s="857">
        <f t="shared" si="71"/>
        <v>0</v>
      </c>
      <c r="BTX64" s="857">
        <f t="shared" si="71"/>
        <v>0</v>
      </c>
      <c r="BTY64" s="857">
        <f t="shared" si="71"/>
        <v>0</v>
      </c>
      <c r="BTZ64" s="857">
        <f t="shared" si="71"/>
        <v>0</v>
      </c>
      <c r="BUA64" s="857">
        <f t="shared" si="71"/>
        <v>0</v>
      </c>
      <c r="BUB64" s="857">
        <f t="shared" si="71"/>
        <v>0</v>
      </c>
      <c r="BUC64" s="857">
        <f t="shared" si="71"/>
        <v>0</v>
      </c>
      <c r="BUD64" s="857">
        <f t="shared" si="71"/>
        <v>0</v>
      </c>
      <c r="BUE64" s="857">
        <f t="shared" si="71"/>
        <v>0</v>
      </c>
      <c r="BUF64" s="857">
        <f t="shared" si="71"/>
        <v>0</v>
      </c>
      <c r="BUG64" s="857">
        <f t="shared" si="71"/>
        <v>0</v>
      </c>
      <c r="BUH64" s="857">
        <f t="shared" si="71"/>
        <v>0</v>
      </c>
      <c r="BUI64" s="857">
        <f t="shared" si="71"/>
        <v>0</v>
      </c>
      <c r="BUJ64" s="857">
        <f t="shared" si="71"/>
        <v>0</v>
      </c>
      <c r="BUK64" s="857">
        <f t="shared" si="71"/>
        <v>0</v>
      </c>
      <c r="BUL64" s="857">
        <f t="shared" si="71"/>
        <v>0</v>
      </c>
      <c r="BUM64" s="857">
        <f t="shared" si="71"/>
        <v>0</v>
      </c>
      <c r="BUN64" s="857">
        <f t="shared" si="71"/>
        <v>0</v>
      </c>
      <c r="BUO64" s="857">
        <f t="shared" si="71"/>
        <v>0</v>
      </c>
      <c r="BUP64" s="857">
        <f t="shared" si="71"/>
        <v>0</v>
      </c>
      <c r="BUQ64" s="857">
        <f t="shared" si="71"/>
        <v>0</v>
      </c>
      <c r="BUR64" s="857">
        <f t="shared" si="71"/>
        <v>0</v>
      </c>
      <c r="BUS64" s="857">
        <f t="shared" si="71"/>
        <v>0</v>
      </c>
      <c r="BUT64" s="857">
        <f t="shared" si="71"/>
        <v>0</v>
      </c>
      <c r="BUU64" s="857">
        <f t="shared" si="71"/>
        <v>0</v>
      </c>
      <c r="BUV64" s="857">
        <f t="shared" si="71"/>
        <v>0</v>
      </c>
      <c r="BUW64" s="857">
        <f t="shared" si="71"/>
        <v>0</v>
      </c>
      <c r="BUX64" s="857">
        <f t="shared" si="71"/>
        <v>0</v>
      </c>
      <c r="BUY64" s="857">
        <f t="shared" si="71"/>
        <v>0</v>
      </c>
      <c r="BUZ64" s="857">
        <f t="shared" si="71"/>
        <v>0</v>
      </c>
      <c r="BVA64" s="857">
        <f t="shared" si="71"/>
        <v>0</v>
      </c>
      <c r="BVB64" s="857">
        <f t="shared" ref="BVB64:BXM64" si="72">(BVB57-BVB59)*$C$64</f>
        <v>0</v>
      </c>
      <c r="BVC64" s="857">
        <f t="shared" si="72"/>
        <v>0</v>
      </c>
      <c r="BVD64" s="857">
        <f t="shared" si="72"/>
        <v>0</v>
      </c>
      <c r="BVE64" s="857">
        <f t="shared" si="72"/>
        <v>0</v>
      </c>
      <c r="BVF64" s="857">
        <f t="shared" si="72"/>
        <v>0</v>
      </c>
      <c r="BVG64" s="857">
        <f t="shared" si="72"/>
        <v>0</v>
      </c>
      <c r="BVH64" s="857">
        <f t="shared" si="72"/>
        <v>0</v>
      </c>
      <c r="BVI64" s="857">
        <f t="shared" si="72"/>
        <v>0</v>
      </c>
      <c r="BVJ64" s="857">
        <f t="shared" si="72"/>
        <v>0</v>
      </c>
      <c r="BVK64" s="857">
        <f t="shared" si="72"/>
        <v>0</v>
      </c>
      <c r="BVL64" s="857">
        <f t="shared" si="72"/>
        <v>0</v>
      </c>
      <c r="BVM64" s="857">
        <f t="shared" si="72"/>
        <v>0</v>
      </c>
      <c r="BVN64" s="857">
        <f t="shared" si="72"/>
        <v>0</v>
      </c>
      <c r="BVO64" s="857">
        <f t="shared" si="72"/>
        <v>0</v>
      </c>
      <c r="BVP64" s="857">
        <f t="shared" si="72"/>
        <v>0</v>
      </c>
      <c r="BVQ64" s="857">
        <f t="shared" si="72"/>
        <v>0</v>
      </c>
      <c r="BVR64" s="857">
        <f t="shared" si="72"/>
        <v>0</v>
      </c>
      <c r="BVS64" s="857">
        <f t="shared" si="72"/>
        <v>0</v>
      </c>
      <c r="BVT64" s="857">
        <f t="shared" si="72"/>
        <v>0</v>
      </c>
      <c r="BVU64" s="857">
        <f t="shared" si="72"/>
        <v>0</v>
      </c>
      <c r="BVV64" s="857">
        <f t="shared" si="72"/>
        <v>0</v>
      </c>
      <c r="BVW64" s="857">
        <f t="shared" si="72"/>
        <v>0</v>
      </c>
      <c r="BVX64" s="857">
        <f t="shared" si="72"/>
        <v>0</v>
      </c>
      <c r="BVY64" s="857">
        <f t="shared" si="72"/>
        <v>0</v>
      </c>
      <c r="BVZ64" s="857">
        <f t="shared" si="72"/>
        <v>0</v>
      </c>
      <c r="BWA64" s="857">
        <f t="shared" si="72"/>
        <v>0</v>
      </c>
      <c r="BWB64" s="857">
        <f t="shared" si="72"/>
        <v>0</v>
      </c>
      <c r="BWC64" s="857">
        <f t="shared" si="72"/>
        <v>0</v>
      </c>
      <c r="BWD64" s="857">
        <f t="shared" si="72"/>
        <v>0</v>
      </c>
      <c r="BWE64" s="857">
        <f t="shared" si="72"/>
        <v>0</v>
      </c>
      <c r="BWF64" s="857">
        <f t="shared" si="72"/>
        <v>0</v>
      </c>
      <c r="BWG64" s="857">
        <f t="shared" si="72"/>
        <v>0</v>
      </c>
      <c r="BWH64" s="857">
        <f t="shared" si="72"/>
        <v>0</v>
      </c>
      <c r="BWI64" s="857">
        <f t="shared" si="72"/>
        <v>0</v>
      </c>
      <c r="BWJ64" s="857">
        <f t="shared" si="72"/>
        <v>0</v>
      </c>
      <c r="BWK64" s="857">
        <f t="shared" si="72"/>
        <v>0</v>
      </c>
      <c r="BWL64" s="857">
        <f t="shared" si="72"/>
        <v>0</v>
      </c>
      <c r="BWM64" s="857">
        <f t="shared" si="72"/>
        <v>0</v>
      </c>
      <c r="BWN64" s="857">
        <f t="shared" si="72"/>
        <v>0</v>
      </c>
      <c r="BWO64" s="857">
        <f t="shared" si="72"/>
        <v>0</v>
      </c>
      <c r="BWP64" s="857">
        <f t="shared" si="72"/>
        <v>0</v>
      </c>
      <c r="BWQ64" s="857">
        <f t="shared" si="72"/>
        <v>0</v>
      </c>
      <c r="BWR64" s="857">
        <f t="shared" si="72"/>
        <v>0</v>
      </c>
      <c r="BWS64" s="857">
        <f t="shared" si="72"/>
        <v>0</v>
      </c>
      <c r="BWT64" s="857">
        <f t="shared" si="72"/>
        <v>0</v>
      </c>
      <c r="BWU64" s="857">
        <f t="shared" si="72"/>
        <v>0</v>
      </c>
      <c r="BWV64" s="857">
        <f t="shared" si="72"/>
        <v>0</v>
      </c>
      <c r="BWW64" s="857">
        <f t="shared" si="72"/>
        <v>0</v>
      </c>
      <c r="BWX64" s="857">
        <f t="shared" si="72"/>
        <v>0</v>
      </c>
      <c r="BWY64" s="857">
        <f t="shared" si="72"/>
        <v>0</v>
      </c>
      <c r="BWZ64" s="857">
        <f t="shared" si="72"/>
        <v>0</v>
      </c>
      <c r="BXA64" s="857">
        <f t="shared" si="72"/>
        <v>0</v>
      </c>
      <c r="BXB64" s="857">
        <f t="shared" si="72"/>
        <v>0</v>
      </c>
      <c r="BXC64" s="857">
        <f t="shared" si="72"/>
        <v>0</v>
      </c>
      <c r="BXD64" s="857">
        <f t="shared" si="72"/>
        <v>0</v>
      </c>
      <c r="BXE64" s="857">
        <f t="shared" si="72"/>
        <v>0</v>
      </c>
      <c r="BXF64" s="857">
        <f t="shared" si="72"/>
        <v>0</v>
      </c>
      <c r="BXG64" s="857">
        <f t="shared" si="72"/>
        <v>0</v>
      </c>
      <c r="BXH64" s="857">
        <f t="shared" si="72"/>
        <v>0</v>
      </c>
      <c r="BXI64" s="857">
        <f t="shared" si="72"/>
        <v>0</v>
      </c>
      <c r="BXJ64" s="857">
        <f t="shared" si="72"/>
        <v>0</v>
      </c>
      <c r="BXK64" s="857">
        <f t="shared" si="72"/>
        <v>0</v>
      </c>
      <c r="BXL64" s="857">
        <f t="shared" si="72"/>
        <v>0</v>
      </c>
      <c r="BXM64" s="857">
        <f t="shared" si="72"/>
        <v>0</v>
      </c>
      <c r="BXN64" s="857">
        <f t="shared" ref="BXN64:BZY64" si="73">(BXN57-BXN59)*$C$64</f>
        <v>0</v>
      </c>
      <c r="BXO64" s="857">
        <f t="shared" si="73"/>
        <v>0</v>
      </c>
      <c r="BXP64" s="857">
        <f t="shared" si="73"/>
        <v>0</v>
      </c>
      <c r="BXQ64" s="857">
        <f t="shared" si="73"/>
        <v>0</v>
      </c>
      <c r="BXR64" s="857">
        <f t="shared" si="73"/>
        <v>0</v>
      </c>
      <c r="BXS64" s="857">
        <f t="shared" si="73"/>
        <v>0</v>
      </c>
      <c r="BXT64" s="857">
        <f t="shared" si="73"/>
        <v>0</v>
      </c>
      <c r="BXU64" s="857">
        <f t="shared" si="73"/>
        <v>0</v>
      </c>
      <c r="BXV64" s="857">
        <f t="shared" si="73"/>
        <v>0</v>
      </c>
      <c r="BXW64" s="857">
        <f t="shared" si="73"/>
        <v>0</v>
      </c>
      <c r="BXX64" s="857">
        <f t="shared" si="73"/>
        <v>0</v>
      </c>
      <c r="BXY64" s="857">
        <f t="shared" si="73"/>
        <v>0</v>
      </c>
      <c r="BXZ64" s="857">
        <f t="shared" si="73"/>
        <v>0</v>
      </c>
      <c r="BYA64" s="857">
        <f t="shared" si="73"/>
        <v>0</v>
      </c>
      <c r="BYB64" s="857">
        <f t="shared" si="73"/>
        <v>0</v>
      </c>
      <c r="BYC64" s="857">
        <f t="shared" si="73"/>
        <v>0</v>
      </c>
      <c r="BYD64" s="857">
        <f t="shared" si="73"/>
        <v>0</v>
      </c>
      <c r="BYE64" s="857">
        <f t="shared" si="73"/>
        <v>0</v>
      </c>
      <c r="BYF64" s="857">
        <f t="shared" si="73"/>
        <v>0</v>
      </c>
      <c r="BYG64" s="857">
        <f t="shared" si="73"/>
        <v>0</v>
      </c>
      <c r="BYH64" s="857">
        <f t="shared" si="73"/>
        <v>0</v>
      </c>
      <c r="BYI64" s="857">
        <f t="shared" si="73"/>
        <v>0</v>
      </c>
      <c r="BYJ64" s="857">
        <f t="shared" si="73"/>
        <v>0</v>
      </c>
      <c r="BYK64" s="857">
        <f t="shared" si="73"/>
        <v>0</v>
      </c>
      <c r="BYL64" s="857">
        <f t="shared" si="73"/>
        <v>0</v>
      </c>
      <c r="BYM64" s="857">
        <f t="shared" si="73"/>
        <v>0</v>
      </c>
      <c r="BYN64" s="857">
        <f t="shared" si="73"/>
        <v>0</v>
      </c>
      <c r="BYO64" s="857">
        <f t="shared" si="73"/>
        <v>0</v>
      </c>
      <c r="BYP64" s="857">
        <f t="shared" si="73"/>
        <v>0</v>
      </c>
      <c r="BYQ64" s="857">
        <f t="shared" si="73"/>
        <v>0</v>
      </c>
      <c r="BYR64" s="857">
        <f t="shared" si="73"/>
        <v>0</v>
      </c>
      <c r="BYS64" s="857">
        <f t="shared" si="73"/>
        <v>0</v>
      </c>
      <c r="BYT64" s="857">
        <f t="shared" si="73"/>
        <v>0</v>
      </c>
      <c r="BYU64" s="857">
        <f t="shared" si="73"/>
        <v>0</v>
      </c>
      <c r="BYV64" s="857">
        <f t="shared" si="73"/>
        <v>0</v>
      </c>
      <c r="BYW64" s="857">
        <f t="shared" si="73"/>
        <v>0</v>
      </c>
      <c r="BYX64" s="857">
        <f t="shared" si="73"/>
        <v>0</v>
      </c>
      <c r="BYY64" s="857">
        <f t="shared" si="73"/>
        <v>0</v>
      </c>
      <c r="BYZ64" s="857">
        <f t="shared" si="73"/>
        <v>0</v>
      </c>
      <c r="BZA64" s="857">
        <f t="shared" si="73"/>
        <v>0</v>
      </c>
      <c r="BZB64" s="857">
        <f t="shared" si="73"/>
        <v>0</v>
      </c>
      <c r="BZC64" s="857">
        <f t="shared" si="73"/>
        <v>0</v>
      </c>
      <c r="BZD64" s="857">
        <f t="shared" si="73"/>
        <v>0</v>
      </c>
      <c r="BZE64" s="857">
        <f t="shared" si="73"/>
        <v>0</v>
      </c>
      <c r="BZF64" s="857">
        <f t="shared" si="73"/>
        <v>0</v>
      </c>
      <c r="BZG64" s="857">
        <f t="shared" si="73"/>
        <v>0</v>
      </c>
      <c r="BZH64" s="857">
        <f t="shared" si="73"/>
        <v>0</v>
      </c>
      <c r="BZI64" s="857">
        <f t="shared" si="73"/>
        <v>0</v>
      </c>
      <c r="BZJ64" s="857">
        <f t="shared" si="73"/>
        <v>0</v>
      </c>
      <c r="BZK64" s="857">
        <f t="shared" si="73"/>
        <v>0</v>
      </c>
      <c r="BZL64" s="857">
        <f t="shared" si="73"/>
        <v>0</v>
      </c>
      <c r="BZM64" s="857">
        <f t="shared" si="73"/>
        <v>0</v>
      </c>
      <c r="BZN64" s="857">
        <f t="shared" si="73"/>
        <v>0</v>
      </c>
      <c r="BZO64" s="857">
        <f t="shared" si="73"/>
        <v>0</v>
      </c>
      <c r="BZP64" s="857">
        <f t="shared" si="73"/>
        <v>0</v>
      </c>
      <c r="BZQ64" s="857">
        <f t="shared" si="73"/>
        <v>0</v>
      </c>
      <c r="BZR64" s="857">
        <f t="shared" si="73"/>
        <v>0</v>
      </c>
      <c r="BZS64" s="857">
        <f t="shared" si="73"/>
        <v>0</v>
      </c>
      <c r="BZT64" s="857">
        <f t="shared" si="73"/>
        <v>0</v>
      </c>
      <c r="BZU64" s="857">
        <f t="shared" si="73"/>
        <v>0</v>
      </c>
      <c r="BZV64" s="857">
        <f t="shared" si="73"/>
        <v>0</v>
      </c>
      <c r="BZW64" s="857">
        <f t="shared" si="73"/>
        <v>0</v>
      </c>
      <c r="BZX64" s="857">
        <f t="shared" si="73"/>
        <v>0</v>
      </c>
      <c r="BZY64" s="857">
        <f t="shared" si="73"/>
        <v>0</v>
      </c>
      <c r="BZZ64" s="857">
        <f t="shared" ref="BZZ64:CCK64" si="74">(BZZ57-BZZ59)*$C$64</f>
        <v>0</v>
      </c>
      <c r="CAA64" s="857">
        <f t="shared" si="74"/>
        <v>0</v>
      </c>
      <c r="CAB64" s="857">
        <f t="shared" si="74"/>
        <v>0</v>
      </c>
      <c r="CAC64" s="857">
        <f t="shared" si="74"/>
        <v>0</v>
      </c>
      <c r="CAD64" s="857">
        <f t="shared" si="74"/>
        <v>0</v>
      </c>
      <c r="CAE64" s="857">
        <f t="shared" si="74"/>
        <v>0</v>
      </c>
      <c r="CAF64" s="857">
        <f t="shared" si="74"/>
        <v>0</v>
      </c>
      <c r="CAG64" s="857">
        <f t="shared" si="74"/>
        <v>0</v>
      </c>
      <c r="CAH64" s="857">
        <f t="shared" si="74"/>
        <v>0</v>
      </c>
      <c r="CAI64" s="857">
        <f t="shared" si="74"/>
        <v>0</v>
      </c>
      <c r="CAJ64" s="857">
        <f t="shared" si="74"/>
        <v>0</v>
      </c>
      <c r="CAK64" s="857">
        <f t="shared" si="74"/>
        <v>0</v>
      </c>
      <c r="CAL64" s="857">
        <f t="shared" si="74"/>
        <v>0</v>
      </c>
      <c r="CAM64" s="857">
        <f t="shared" si="74"/>
        <v>0</v>
      </c>
      <c r="CAN64" s="857">
        <f t="shared" si="74"/>
        <v>0</v>
      </c>
      <c r="CAO64" s="857">
        <f t="shared" si="74"/>
        <v>0</v>
      </c>
      <c r="CAP64" s="857">
        <f t="shared" si="74"/>
        <v>0</v>
      </c>
      <c r="CAQ64" s="857">
        <f t="shared" si="74"/>
        <v>0</v>
      </c>
      <c r="CAR64" s="857">
        <f t="shared" si="74"/>
        <v>0</v>
      </c>
      <c r="CAS64" s="857">
        <f t="shared" si="74"/>
        <v>0</v>
      </c>
      <c r="CAT64" s="857">
        <f t="shared" si="74"/>
        <v>0</v>
      </c>
      <c r="CAU64" s="857">
        <f t="shared" si="74"/>
        <v>0</v>
      </c>
      <c r="CAV64" s="857">
        <f t="shared" si="74"/>
        <v>0</v>
      </c>
      <c r="CAW64" s="857">
        <f t="shared" si="74"/>
        <v>0</v>
      </c>
      <c r="CAX64" s="857">
        <f t="shared" si="74"/>
        <v>0</v>
      </c>
      <c r="CAY64" s="857">
        <f t="shared" si="74"/>
        <v>0</v>
      </c>
      <c r="CAZ64" s="857">
        <f t="shared" si="74"/>
        <v>0</v>
      </c>
      <c r="CBA64" s="857">
        <f t="shared" si="74"/>
        <v>0</v>
      </c>
      <c r="CBB64" s="857">
        <f t="shared" si="74"/>
        <v>0</v>
      </c>
      <c r="CBC64" s="857">
        <f t="shared" si="74"/>
        <v>0</v>
      </c>
      <c r="CBD64" s="857">
        <f t="shared" si="74"/>
        <v>0</v>
      </c>
      <c r="CBE64" s="857">
        <f t="shared" si="74"/>
        <v>0</v>
      </c>
      <c r="CBF64" s="857">
        <f t="shared" si="74"/>
        <v>0</v>
      </c>
      <c r="CBG64" s="857">
        <f t="shared" si="74"/>
        <v>0</v>
      </c>
      <c r="CBH64" s="857">
        <f t="shared" si="74"/>
        <v>0</v>
      </c>
      <c r="CBI64" s="857">
        <f t="shared" si="74"/>
        <v>0</v>
      </c>
      <c r="CBJ64" s="857">
        <f t="shared" si="74"/>
        <v>0</v>
      </c>
      <c r="CBK64" s="857">
        <f t="shared" si="74"/>
        <v>0</v>
      </c>
      <c r="CBL64" s="857">
        <f t="shared" si="74"/>
        <v>0</v>
      </c>
      <c r="CBM64" s="857">
        <f t="shared" si="74"/>
        <v>0</v>
      </c>
      <c r="CBN64" s="857">
        <f t="shared" si="74"/>
        <v>0</v>
      </c>
      <c r="CBO64" s="857">
        <f t="shared" si="74"/>
        <v>0</v>
      </c>
      <c r="CBP64" s="857">
        <f t="shared" si="74"/>
        <v>0</v>
      </c>
      <c r="CBQ64" s="857">
        <f t="shared" si="74"/>
        <v>0</v>
      </c>
      <c r="CBR64" s="857">
        <f t="shared" si="74"/>
        <v>0</v>
      </c>
      <c r="CBS64" s="857">
        <f t="shared" si="74"/>
        <v>0</v>
      </c>
      <c r="CBT64" s="857">
        <f t="shared" si="74"/>
        <v>0</v>
      </c>
      <c r="CBU64" s="857">
        <f t="shared" si="74"/>
        <v>0</v>
      </c>
      <c r="CBV64" s="857">
        <f t="shared" si="74"/>
        <v>0</v>
      </c>
      <c r="CBW64" s="857">
        <f t="shared" si="74"/>
        <v>0</v>
      </c>
      <c r="CBX64" s="857">
        <f t="shared" si="74"/>
        <v>0</v>
      </c>
      <c r="CBY64" s="857">
        <f t="shared" si="74"/>
        <v>0</v>
      </c>
      <c r="CBZ64" s="857">
        <f t="shared" si="74"/>
        <v>0</v>
      </c>
      <c r="CCA64" s="857">
        <f t="shared" si="74"/>
        <v>0</v>
      </c>
      <c r="CCB64" s="857">
        <f t="shared" si="74"/>
        <v>0</v>
      </c>
      <c r="CCC64" s="857">
        <f t="shared" si="74"/>
        <v>0</v>
      </c>
      <c r="CCD64" s="857">
        <f t="shared" si="74"/>
        <v>0</v>
      </c>
      <c r="CCE64" s="857">
        <f t="shared" si="74"/>
        <v>0</v>
      </c>
      <c r="CCF64" s="857">
        <f t="shared" si="74"/>
        <v>0</v>
      </c>
      <c r="CCG64" s="857">
        <f t="shared" si="74"/>
        <v>0</v>
      </c>
      <c r="CCH64" s="857">
        <f t="shared" si="74"/>
        <v>0</v>
      </c>
      <c r="CCI64" s="857">
        <f t="shared" si="74"/>
        <v>0</v>
      </c>
      <c r="CCJ64" s="857">
        <f t="shared" si="74"/>
        <v>0</v>
      </c>
      <c r="CCK64" s="857">
        <f t="shared" si="74"/>
        <v>0</v>
      </c>
      <c r="CCL64" s="857">
        <f t="shared" ref="CCL64:CEW64" si="75">(CCL57-CCL59)*$C$64</f>
        <v>0</v>
      </c>
      <c r="CCM64" s="857">
        <f t="shared" si="75"/>
        <v>0</v>
      </c>
      <c r="CCN64" s="857">
        <f t="shared" si="75"/>
        <v>0</v>
      </c>
      <c r="CCO64" s="857">
        <f t="shared" si="75"/>
        <v>0</v>
      </c>
      <c r="CCP64" s="857">
        <f t="shared" si="75"/>
        <v>0</v>
      </c>
      <c r="CCQ64" s="857">
        <f t="shared" si="75"/>
        <v>0</v>
      </c>
      <c r="CCR64" s="857">
        <f t="shared" si="75"/>
        <v>0</v>
      </c>
      <c r="CCS64" s="857">
        <f t="shared" si="75"/>
        <v>0</v>
      </c>
      <c r="CCT64" s="857">
        <f t="shared" si="75"/>
        <v>0</v>
      </c>
      <c r="CCU64" s="857">
        <f t="shared" si="75"/>
        <v>0</v>
      </c>
      <c r="CCV64" s="857">
        <f t="shared" si="75"/>
        <v>0</v>
      </c>
      <c r="CCW64" s="857">
        <f t="shared" si="75"/>
        <v>0</v>
      </c>
      <c r="CCX64" s="857">
        <f t="shared" si="75"/>
        <v>0</v>
      </c>
      <c r="CCY64" s="857">
        <f t="shared" si="75"/>
        <v>0</v>
      </c>
      <c r="CCZ64" s="857">
        <f t="shared" si="75"/>
        <v>0</v>
      </c>
      <c r="CDA64" s="857">
        <f t="shared" si="75"/>
        <v>0</v>
      </c>
      <c r="CDB64" s="857">
        <f t="shared" si="75"/>
        <v>0</v>
      </c>
      <c r="CDC64" s="857">
        <f t="shared" si="75"/>
        <v>0</v>
      </c>
      <c r="CDD64" s="857">
        <f t="shared" si="75"/>
        <v>0</v>
      </c>
      <c r="CDE64" s="857">
        <f t="shared" si="75"/>
        <v>0</v>
      </c>
      <c r="CDF64" s="857">
        <f t="shared" si="75"/>
        <v>0</v>
      </c>
      <c r="CDG64" s="857">
        <f t="shared" si="75"/>
        <v>0</v>
      </c>
      <c r="CDH64" s="857">
        <f t="shared" si="75"/>
        <v>0</v>
      </c>
      <c r="CDI64" s="857">
        <f t="shared" si="75"/>
        <v>0</v>
      </c>
      <c r="CDJ64" s="857">
        <f t="shared" si="75"/>
        <v>0</v>
      </c>
      <c r="CDK64" s="857">
        <f t="shared" si="75"/>
        <v>0</v>
      </c>
      <c r="CDL64" s="857">
        <f t="shared" si="75"/>
        <v>0</v>
      </c>
      <c r="CDM64" s="857">
        <f t="shared" si="75"/>
        <v>0</v>
      </c>
      <c r="CDN64" s="857">
        <f t="shared" si="75"/>
        <v>0</v>
      </c>
      <c r="CDO64" s="857">
        <f t="shared" si="75"/>
        <v>0</v>
      </c>
      <c r="CDP64" s="857">
        <f t="shared" si="75"/>
        <v>0</v>
      </c>
      <c r="CDQ64" s="857">
        <f t="shared" si="75"/>
        <v>0</v>
      </c>
      <c r="CDR64" s="857">
        <f t="shared" si="75"/>
        <v>0</v>
      </c>
      <c r="CDS64" s="857">
        <f t="shared" si="75"/>
        <v>0</v>
      </c>
      <c r="CDT64" s="857">
        <f t="shared" si="75"/>
        <v>0</v>
      </c>
      <c r="CDU64" s="857">
        <f t="shared" si="75"/>
        <v>0</v>
      </c>
      <c r="CDV64" s="857">
        <f t="shared" si="75"/>
        <v>0</v>
      </c>
      <c r="CDW64" s="857">
        <f t="shared" si="75"/>
        <v>0</v>
      </c>
      <c r="CDX64" s="857">
        <f t="shared" si="75"/>
        <v>0</v>
      </c>
      <c r="CDY64" s="857">
        <f t="shared" si="75"/>
        <v>0</v>
      </c>
      <c r="CDZ64" s="857">
        <f t="shared" si="75"/>
        <v>0</v>
      </c>
      <c r="CEA64" s="857">
        <f t="shared" si="75"/>
        <v>0</v>
      </c>
      <c r="CEB64" s="857">
        <f t="shared" si="75"/>
        <v>0</v>
      </c>
      <c r="CEC64" s="857">
        <f t="shared" si="75"/>
        <v>0</v>
      </c>
      <c r="CED64" s="857">
        <f t="shared" si="75"/>
        <v>0</v>
      </c>
      <c r="CEE64" s="857">
        <f t="shared" si="75"/>
        <v>0</v>
      </c>
      <c r="CEF64" s="857">
        <f t="shared" si="75"/>
        <v>0</v>
      </c>
      <c r="CEG64" s="857">
        <f t="shared" si="75"/>
        <v>0</v>
      </c>
      <c r="CEH64" s="857">
        <f t="shared" si="75"/>
        <v>0</v>
      </c>
      <c r="CEI64" s="857">
        <f t="shared" si="75"/>
        <v>0</v>
      </c>
      <c r="CEJ64" s="857">
        <f t="shared" si="75"/>
        <v>0</v>
      </c>
      <c r="CEK64" s="857">
        <f t="shared" si="75"/>
        <v>0</v>
      </c>
      <c r="CEL64" s="857">
        <f t="shared" si="75"/>
        <v>0</v>
      </c>
      <c r="CEM64" s="857">
        <f t="shared" si="75"/>
        <v>0</v>
      </c>
      <c r="CEN64" s="857">
        <f t="shared" si="75"/>
        <v>0</v>
      </c>
      <c r="CEO64" s="857">
        <f t="shared" si="75"/>
        <v>0</v>
      </c>
      <c r="CEP64" s="857">
        <f t="shared" si="75"/>
        <v>0</v>
      </c>
      <c r="CEQ64" s="857">
        <f t="shared" si="75"/>
        <v>0</v>
      </c>
      <c r="CER64" s="857">
        <f t="shared" si="75"/>
        <v>0</v>
      </c>
      <c r="CES64" s="857">
        <f t="shared" si="75"/>
        <v>0</v>
      </c>
      <c r="CET64" s="857">
        <f t="shared" si="75"/>
        <v>0</v>
      </c>
      <c r="CEU64" s="857">
        <f t="shared" si="75"/>
        <v>0</v>
      </c>
      <c r="CEV64" s="857">
        <f t="shared" si="75"/>
        <v>0</v>
      </c>
      <c r="CEW64" s="857">
        <f t="shared" si="75"/>
        <v>0</v>
      </c>
      <c r="CEX64" s="857">
        <f t="shared" ref="CEX64:CHI64" si="76">(CEX57-CEX59)*$C$64</f>
        <v>0</v>
      </c>
      <c r="CEY64" s="857">
        <f t="shared" si="76"/>
        <v>0</v>
      </c>
      <c r="CEZ64" s="857">
        <f t="shared" si="76"/>
        <v>0</v>
      </c>
      <c r="CFA64" s="857">
        <f t="shared" si="76"/>
        <v>0</v>
      </c>
      <c r="CFB64" s="857">
        <f t="shared" si="76"/>
        <v>0</v>
      </c>
      <c r="CFC64" s="857">
        <f t="shared" si="76"/>
        <v>0</v>
      </c>
      <c r="CFD64" s="857">
        <f t="shared" si="76"/>
        <v>0</v>
      </c>
      <c r="CFE64" s="857">
        <f t="shared" si="76"/>
        <v>0</v>
      </c>
      <c r="CFF64" s="857">
        <f t="shared" si="76"/>
        <v>0</v>
      </c>
      <c r="CFG64" s="857">
        <f t="shared" si="76"/>
        <v>0</v>
      </c>
      <c r="CFH64" s="857">
        <f t="shared" si="76"/>
        <v>0</v>
      </c>
      <c r="CFI64" s="857">
        <f t="shared" si="76"/>
        <v>0</v>
      </c>
      <c r="CFJ64" s="857">
        <f t="shared" si="76"/>
        <v>0</v>
      </c>
      <c r="CFK64" s="857">
        <f t="shared" si="76"/>
        <v>0</v>
      </c>
      <c r="CFL64" s="857">
        <f t="shared" si="76"/>
        <v>0</v>
      </c>
      <c r="CFM64" s="857">
        <f t="shared" si="76"/>
        <v>0</v>
      </c>
      <c r="CFN64" s="857">
        <f t="shared" si="76"/>
        <v>0</v>
      </c>
      <c r="CFO64" s="857">
        <f t="shared" si="76"/>
        <v>0</v>
      </c>
      <c r="CFP64" s="857">
        <f t="shared" si="76"/>
        <v>0</v>
      </c>
      <c r="CFQ64" s="857">
        <f t="shared" si="76"/>
        <v>0</v>
      </c>
      <c r="CFR64" s="857">
        <f t="shared" si="76"/>
        <v>0</v>
      </c>
      <c r="CFS64" s="857">
        <f t="shared" si="76"/>
        <v>0</v>
      </c>
      <c r="CFT64" s="857">
        <f t="shared" si="76"/>
        <v>0</v>
      </c>
      <c r="CFU64" s="857">
        <f t="shared" si="76"/>
        <v>0</v>
      </c>
      <c r="CFV64" s="857">
        <f t="shared" si="76"/>
        <v>0</v>
      </c>
      <c r="CFW64" s="857">
        <f t="shared" si="76"/>
        <v>0</v>
      </c>
      <c r="CFX64" s="857">
        <f t="shared" si="76"/>
        <v>0</v>
      </c>
      <c r="CFY64" s="857">
        <f t="shared" si="76"/>
        <v>0</v>
      </c>
      <c r="CFZ64" s="857">
        <f t="shared" si="76"/>
        <v>0</v>
      </c>
      <c r="CGA64" s="857">
        <f t="shared" si="76"/>
        <v>0</v>
      </c>
      <c r="CGB64" s="857">
        <f t="shared" si="76"/>
        <v>0</v>
      </c>
      <c r="CGC64" s="857">
        <f t="shared" si="76"/>
        <v>0</v>
      </c>
      <c r="CGD64" s="857">
        <f t="shared" si="76"/>
        <v>0</v>
      </c>
      <c r="CGE64" s="857">
        <f t="shared" si="76"/>
        <v>0</v>
      </c>
      <c r="CGF64" s="857">
        <f t="shared" si="76"/>
        <v>0</v>
      </c>
      <c r="CGG64" s="857">
        <f t="shared" si="76"/>
        <v>0</v>
      </c>
      <c r="CGH64" s="857">
        <f t="shared" si="76"/>
        <v>0</v>
      </c>
      <c r="CGI64" s="857">
        <f t="shared" si="76"/>
        <v>0</v>
      </c>
      <c r="CGJ64" s="857">
        <f t="shared" si="76"/>
        <v>0</v>
      </c>
      <c r="CGK64" s="857">
        <f t="shared" si="76"/>
        <v>0</v>
      </c>
      <c r="CGL64" s="857">
        <f t="shared" si="76"/>
        <v>0</v>
      </c>
      <c r="CGM64" s="857">
        <f t="shared" si="76"/>
        <v>0</v>
      </c>
      <c r="CGN64" s="857">
        <f t="shared" si="76"/>
        <v>0</v>
      </c>
      <c r="CGO64" s="857">
        <f t="shared" si="76"/>
        <v>0</v>
      </c>
      <c r="CGP64" s="857">
        <f t="shared" si="76"/>
        <v>0</v>
      </c>
      <c r="CGQ64" s="857">
        <f t="shared" si="76"/>
        <v>0</v>
      </c>
      <c r="CGR64" s="857">
        <f t="shared" si="76"/>
        <v>0</v>
      </c>
      <c r="CGS64" s="857">
        <f t="shared" si="76"/>
        <v>0</v>
      </c>
      <c r="CGT64" s="857">
        <f t="shared" si="76"/>
        <v>0</v>
      </c>
      <c r="CGU64" s="857">
        <f t="shared" si="76"/>
        <v>0</v>
      </c>
      <c r="CGV64" s="857">
        <f t="shared" si="76"/>
        <v>0</v>
      </c>
      <c r="CGW64" s="857">
        <f t="shared" si="76"/>
        <v>0</v>
      </c>
      <c r="CGX64" s="857">
        <f t="shared" si="76"/>
        <v>0</v>
      </c>
      <c r="CGY64" s="857">
        <f t="shared" si="76"/>
        <v>0</v>
      </c>
      <c r="CGZ64" s="857">
        <f t="shared" si="76"/>
        <v>0</v>
      </c>
      <c r="CHA64" s="857">
        <f t="shared" si="76"/>
        <v>0</v>
      </c>
      <c r="CHB64" s="857">
        <f t="shared" si="76"/>
        <v>0</v>
      </c>
      <c r="CHC64" s="857">
        <f t="shared" si="76"/>
        <v>0</v>
      </c>
      <c r="CHD64" s="857">
        <f t="shared" si="76"/>
        <v>0</v>
      </c>
      <c r="CHE64" s="857">
        <f t="shared" si="76"/>
        <v>0</v>
      </c>
      <c r="CHF64" s="857">
        <f t="shared" si="76"/>
        <v>0</v>
      </c>
      <c r="CHG64" s="857">
        <f t="shared" si="76"/>
        <v>0</v>
      </c>
      <c r="CHH64" s="857">
        <f t="shared" si="76"/>
        <v>0</v>
      </c>
      <c r="CHI64" s="857">
        <f t="shared" si="76"/>
        <v>0</v>
      </c>
      <c r="CHJ64" s="857">
        <f t="shared" ref="CHJ64:CJU64" si="77">(CHJ57-CHJ59)*$C$64</f>
        <v>0</v>
      </c>
      <c r="CHK64" s="857">
        <f t="shared" si="77"/>
        <v>0</v>
      </c>
      <c r="CHL64" s="857">
        <f t="shared" si="77"/>
        <v>0</v>
      </c>
      <c r="CHM64" s="857">
        <f t="shared" si="77"/>
        <v>0</v>
      </c>
      <c r="CHN64" s="857">
        <f t="shared" si="77"/>
        <v>0</v>
      </c>
      <c r="CHO64" s="857">
        <f t="shared" si="77"/>
        <v>0</v>
      </c>
      <c r="CHP64" s="857">
        <f t="shared" si="77"/>
        <v>0</v>
      </c>
      <c r="CHQ64" s="857">
        <f t="shared" si="77"/>
        <v>0</v>
      </c>
      <c r="CHR64" s="857">
        <f t="shared" si="77"/>
        <v>0</v>
      </c>
      <c r="CHS64" s="857">
        <f t="shared" si="77"/>
        <v>0</v>
      </c>
      <c r="CHT64" s="857">
        <f t="shared" si="77"/>
        <v>0</v>
      </c>
      <c r="CHU64" s="857">
        <f t="shared" si="77"/>
        <v>0</v>
      </c>
      <c r="CHV64" s="857">
        <f t="shared" si="77"/>
        <v>0</v>
      </c>
      <c r="CHW64" s="857">
        <f t="shared" si="77"/>
        <v>0</v>
      </c>
      <c r="CHX64" s="857">
        <f t="shared" si="77"/>
        <v>0</v>
      </c>
      <c r="CHY64" s="857">
        <f t="shared" si="77"/>
        <v>0</v>
      </c>
      <c r="CHZ64" s="857">
        <f t="shared" si="77"/>
        <v>0</v>
      </c>
      <c r="CIA64" s="857">
        <f t="shared" si="77"/>
        <v>0</v>
      </c>
      <c r="CIB64" s="857">
        <f t="shared" si="77"/>
        <v>0</v>
      </c>
      <c r="CIC64" s="857">
        <f t="shared" si="77"/>
        <v>0</v>
      </c>
      <c r="CID64" s="857">
        <f t="shared" si="77"/>
        <v>0</v>
      </c>
      <c r="CIE64" s="857">
        <f t="shared" si="77"/>
        <v>0</v>
      </c>
      <c r="CIF64" s="857">
        <f t="shared" si="77"/>
        <v>0</v>
      </c>
      <c r="CIG64" s="857">
        <f t="shared" si="77"/>
        <v>0</v>
      </c>
      <c r="CIH64" s="857">
        <f t="shared" si="77"/>
        <v>0</v>
      </c>
      <c r="CII64" s="857">
        <f t="shared" si="77"/>
        <v>0</v>
      </c>
      <c r="CIJ64" s="857">
        <f t="shared" si="77"/>
        <v>0</v>
      </c>
      <c r="CIK64" s="857">
        <f t="shared" si="77"/>
        <v>0</v>
      </c>
      <c r="CIL64" s="857">
        <f t="shared" si="77"/>
        <v>0</v>
      </c>
      <c r="CIM64" s="857">
        <f t="shared" si="77"/>
        <v>0</v>
      </c>
      <c r="CIN64" s="857">
        <f t="shared" si="77"/>
        <v>0</v>
      </c>
      <c r="CIO64" s="857">
        <f t="shared" si="77"/>
        <v>0</v>
      </c>
      <c r="CIP64" s="857">
        <f t="shared" si="77"/>
        <v>0</v>
      </c>
      <c r="CIQ64" s="857">
        <f t="shared" si="77"/>
        <v>0</v>
      </c>
      <c r="CIR64" s="857">
        <f t="shared" si="77"/>
        <v>0</v>
      </c>
      <c r="CIS64" s="857">
        <f t="shared" si="77"/>
        <v>0</v>
      </c>
      <c r="CIT64" s="857">
        <f t="shared" si="77"/>
        <v>0</v>
      </c>
      <c r="CIU64" s="857">
        <f t="shared" si="77"/>
        <v>0</v>
      </c>
      <c r="CIV64" s="857">
        <f t="shared" si="77"/>
        <v>0</v>
      </c>
      <c r="CIW64" s="857">
        <f t="shared" si="77"/>
        <v>0</v>
      </c>
      <c r="CIX64" s="857">
        <f t="shared" si="77"/>
        <v>0</v>
      </c>
      <c r="CIY64" s="857">
        <f t="shared" si="77"/>
        <v>0</v>
      </c>
      <c r="CIZ64" s="857">
        <f t="shared" si="77"/>
        <v>0</v>
      </c>
      <c r="CJA64" s="857">
        <f t="shared" si="77"/>
        <v>0</v>
      </c>
      <c r="CJB64" s="857">
        <f t="shared" si="77"/>
        <v>0</v>
      </c>
      <c r="CJC64" s="857">
        <f t="shared" si="77"/>
        <v>0</v>
      </c>
      <c r="CJD64" s="857">
        <f t="shared" si="77"/>
        <v>0</v>
      </c>
      <c r="CJE64" s="857">
        <f t="shared" si="77"/>
        <v>0</v>
      </c>
      <c r="CJF64" s="857">
        <f t="shared" si="77"/>
        <v>0</v>
      </c>
      <c r="CJG64" s="857">
        <f t="shared" si="77"/>
        <v>0</v>
      </c>
      <c r="CJH64" s="857">
        <f t="shared" si="77"/>
        <v>0</v>
      </c>
      <c r="CJI64" s="857">
        <f t="shared" si="77"/>
        <v>0</v>
      </c>
      <c r="CJJ64" s="857">
        <f t="shared" si="77"/>
        <v>0</v>
      </c>
      <c r="CJK64" s="857">
        <f t="shared" si="77"/>
        <v>0</v>
      </c>
      <c r="CJL64" s="857">
        <f t="shared" si="77"/>
        <v>0</v>
      </c>
      <c r="CJM64" s="857">
        <f t="shared" si="77"/>
        <v>0</v>
      </c>
      <c r="CJN64" s="857">
        <f t="shared" si="77"/>
        <v>0</v>
      </c>
      <c r="CJO64" s="857">
        <f t="shared" si="77"/>
        <v>0</v>
      </c>
      <c r="CJP64" s="857">
        <f t="shared" si="77"/>
        <v>0</v>
      </c>
      <c r="CJQ64" s="857">
        <f t="shared" si="77"/>
        <v>0</v>
      </c>
      <c r="CJR64" s="857">
        <f t="shared" si="77"/>
        <v>0</v>
      </c>
      <c r="CJS64" s="857">
        <f t="shared" si="77"/>
        <v>0</v>
      </c>
      <c r="CJT64" s="857">
        <f t="shared" si="77"/>
        <v>0</v>
      </c>
      <c r="CJU64" s="857">
        <f t="shared" si="77"/>
        <v>0</v>
      </c>
      <c r="CJV64" s="857">
        <f t="shared" ref="CJV64:CMG64" si="78">(CJV57-CJV59)*$C$64</f>
        <v>0</v>
      </c>
      <c r="CJW64" s="857">
        <f t="shared" si="78"/>
        <v>0</v>
      </c>
      <c r="CJX64" s="857">
        <f t="shared" si="78"/>
        <v>0</v>
      </c>
      <c r="CJY64" s="857">
        <f t="shared" si="78"/>
        <v>0</v>
      </c>
      <c r="CJZ64" s="857">
        <f t="shared" si="78"/>
        <v>0</v>
      </c>
      <c r="CKA64" s="857">
        <f t="shared" si="78"/>
        <v>0</v>
      </c>
      <c r="CKB64" s="857">
        <f t="shared" si="78"/>
        <v>0</v>
      </c>
      <c r="CKC64" s="857">
        <f t="shared" si="78"/>
        <v>0</v>
      </c>
      <c r="CKD64" s="857">
        <f t="shared" si="78"/>
        <v>0</v>
      </c>
      <c r="CKE64" s="857">
        <f t="shared" si="78"/>
        <v>0</v>
      </c>
      <c r="CKF64" s="857">
        <f t="shared" si="78"/>
        <v>0</v>
      </c>
      <c r="CKG64" s="857">
        <f t="shared" si="78"/>
        <v>0</v>
      </c>
      <c r="CKH64" s="857">
        <f t="shared" si="78"/>
        <v>0</v>
      </c>
      <c r="CKI64" s="857">
        <f t="shared" si="78"/>
        <v>0</v>
      </c>
      <c r="CKJ64" s="857">
        <f t="shared" si="78"/>
        <v>0</v>
      </c>
      <c r="CKK64" s="857">
        <f t="shared" si="78"/>
        <v>0</v>
      </c>
      <c r="CKL64" s="857">
        <f t="shared" si="78"/>
        <v>0</v>
      </c>
      <c r="CKM64" s="857">
        <f t="shared" si="78"/>
        <v>0</v>
      </c>
      <c r="CKN64" s="857">
        <f t="shared" si="78"/>
        <v>0</v>
      </c>
      <c r="CKO64" s="857">
        <f t="shared" si="78"/>
        <v>0</v>
      </c>
      <c r="CKP64" s="857">
        <f t="shared" si="78"/>
        <v>0</v>
      </c>
      <c r="CKQ64" s="857">
        <f t="shared" si="78"/>
        <v>0</v>
      </c>
      <c r="CKR64" s="857">
        <f t="shared" si="78"/>
        <v>0</v>
      </c>
      <c r="CKS64" s="857">
        <f t="shared" si="78"/>
        <v>0</v>
      </c>
      <c r="CKT64" s="857">
        <f t="shared" si="78"/>
        <v>0</v>
      </c>
      <c r="CKU64" s="857">
        <f t="shared" si="78"/>
        <v>0</v>
      </c>
      <c r="CKV64" s="857">
        <f t="shared" si="78"/>
        <v>0</v>
      </c>
      <c r="CKW64" s="857">
        <f t="shared" si="78"/>
        <v>0</v>
      </c>
      <c r="CKX64" s="857">
        <f t="shared" si="78"/>
        <v>0</v>
      </c>
      <c r="CKY64" s="857">
        <f t="shared" si="78"/>
        <v>0</v>
      </c>
      <c r="CKZ64" s="857">
        <f t="shared" si="78"/>
        <v>0</v>
      </c>
      <c r="CLA64" s="857">
        <f t="shared" si="78"/>
        <v>0</v>
      </c>
      <c r="CLB64" s="857">
        <f t="shared" si="78"/>
        <v>0</v>
      </c>
      <c r="CLC64" s="857">
        <f t="shared" si="78"/>
        <v>0</v>
      </c>
      <c r="CLD64" s="857">
        <f t="shared" si="78"/>
        <v>0</v>
      </c>
      <c r="CLE64" s="857">
        <f t="shared" si="78"/>
        <v>0</v>
      </c>
      <c r="CLF64" s="857">
        <f t="shared" si="78"/>
        <v>0</v>
      </c>
      <c r="CLG64" s="857">
        <f t="shared" si="78"/>
        <v>0</v>
      </c>
      <c r="CLH64" s="857">
        <f t="shared" si="78"/>
        <v>0</v>
      </c>
      <c r="CLI64" s="857">
        <f t="shared" si="78"/>
        <v>0</v>
      </c>
      <c r="CLJ64" s="857">
        <f t="shared" si="78"/>
        <v>0</v>
      </c>
      <c r="CLK64" s="857">
        <f t="shared" si="78"/>
        <v>0</v>
      </c>
      <c r="CLL64" s="857">
        <f t="shared" si="78"/>
        <v>0</v>
      </c>
      <c r="CLM64" s="857">
        <f t="shared" si="78"/>
        <v>0</v>
      </c>
      <c r="CLN64" s="857">
        <f t="shared" si="78"/>
        <v>0</v>
      </c>
      <c r="CLO64" s="857">
        <f t="shared" si="78"/>
        <v>0</v>
      </c>
      <c r="CLP64" s="857">
        <f t="shared" si="78"/>
        <v>0</v>
      </c>
      <c r="CLQ64" s="857">
        <f t="shared" si="78"/>
        <v>0</v>
      </c>
      <c r="CLR64" s="857">
        <f t="shared" si="78"/>
        <v>0</v>
      </c>
      <c r="CLS64" s="857">
        <f t="shared" si="78"/>
        <v>0</v>
      </c>
      <c r="CLT64" s="857">
        <f t="shared" si="78"/>
        <v>0</v>
      </c>
      <c r="CLU64" s="857">
        <f t="shared" si="78"/>
        <v>0</v>
      </c>
      <c r="CLV64" s="857">
        <f t="shared" si="78"/>
        <v>0</v>
      </c>
      <c r="CLW64" s="857">
        <f t="shared" si="78"/>
        <v>0</v>
      </c>
      <c r="CLX64" s="857">
        <f t="shared" si="78"/>
        <v>0</v>
      </c>
      <c r="CLY64" s="857">
        <f t="shared" si="78"/>
        <v>0</v>
      </c>
      <c r="CLZ64" s="857">
        <f t="shared" si="78"/>
        <v>0</v>
      </c>
      <c r="CMA64" s="857">
        <f t="shared" si="78"/>
        <v>0</v>
      </c>
      <c r="CMB64" s="857">
        <f t="shared" si="78"/>
        <v>0</v>
      </c>
      <c r="CMC64" s="857">
        <f t="shared" si="78"/>
        <v>0</v>
      </c>
      <c r="CMD64" s="857">
        <f t="shared" si="78"/>
        <v>0</v>
      </c>
      <c r="CME64" s="857">
        <f t="shared" si="78"/>
        <v>0</v>
      </c>
      <c r="CMF64" s="857">
        <f t="shared" si="78"/>
        <v>0</v>
      </c>
      <c r="CMG64" s="857">
        <f t="shared" si="78"/>
        <v>0</v>
      </c>
      <c r="CMH64" s="857">
        <f t="shared" ref="CMH64:COS64" si="79">(CMH57-CMH59)*$C$64</f>
        <v>0</v>
      </c>
      <c r="CMI64" s="857">
        <f t="shared" si="79"/>
        <v>0</v>
      </c>
      <c r="CMJ64" s="857">
        <f t="shared" si="79"/>
        <v>0</v>
      </c>
      <c r="CMK64" s="857">
        <f t="shared" si="79"/>
        <v>0</v>
      </c>
      <c r="CML64" s="857">
        <f t="shared" si="79"/>
        <v>0</v>
      </c>
      <c r="CMM64" s="857">
        <f t="shared" si="79"/>
        <v>0</v>
      </c>
      <c r="CMN64" s="857">
        <f t="shared" si="79"/>
        <v>0</v>
      </c>
      <c r="CMO64" s="857">
        <f t="shared" si="79"/>
        <v>0</v>
      </c>
      <c r="CMP64" s="857">
        <f t="shared" si="79"/>
        <v>0</v>
      </c>
      <c r="CMQ64" s="857">
        <f t="shared" si="79"/>
        <v>0</v>
      </c>
      <c r="CMR64" s="857">
        <f t="shared" si="79"/>
        <v>0</v>
      </c>
      <c r="CMS64" s="857">
        <f t="shared" si="79"/>
        <v>0</v>
      </c>
      <c r="CMT64" s="857">
        <f t="shared" si="79"/>
        <v>0</v>
      </c>
      <c r="CMU64" s="857">
        <f t="shared" si="79"/>
        <v>0</v>
      </c>
      <c r="CMV64" s="857">
        <f t="shared" si="79"/>
        <v>0</v>
      </c>
      <c r="CMW64" s="857">
        <f t="shared" si="79"/>
        <v>0</v>
      </c>
      <c r="CMX64" s="857">
        <f t="shared" si="79"/>
        <v>0</v>
      </c>
      <c r="CMY64" s="857">
        <f t="shared" si="79"/>
        <v>0</v>
      </c>
      <c r="CMZ64" s="857">
        <f t="shared" si="79"/>
        <v>0</v>
      </c>
      <c r="CNA64" s="857">
        <f t="shared" si="79"/>
        <v>0</v>
      </c>
      <c r="CNB64" s="857">
        <f t="shared" si="79"/>
        <v>0</v>
      </c>
      <c r="CNC64" s="857">
        <f t="shared" si="79"/>
        <v>0</v>
      </c>
      <c r="CND64" s="857">
        <f t="shared" si="79"/>
        <v>0</v>
      </c>
      <c r="CNE64" s="857">
        <f t="shared" si="79"/>
        <v>0</v>
      </c>
      <c r="CNF64" s="857">
        <f t="shared" si="79"/>
        <v>0</v>
      </c>
      <c r="CNG64" s="857">
        <f t="shared" si="79"/>
        <v>0</v>
      </c>
      <c r="CNH64" s="857">
        <f t="shared" si="79"/>
        <v>0</v>
      </c>
      <c r="CNI64" s="857">
        <f t="shared" si="79"/>
        <v>0</v>
      </c>
      <c r="CNJ64" s="857">
        <f t="shared" si="79"/>
        <v>0</v>
      </c>
      <c r="CNK64" s="857">
        <f t="shared" si="79"/>
        <v>0</v>
      </c>
      <c r="CNL64" s="857">
        <f t="shared" si="79"/>
        <v>0</v>
      </c>
      <c r="CNM64" s="857">
        <f t="shared" si="79"/>
        <v>0</v>
      </c>
      <c r="CNN64" s="857">
        <f t="shared" si="79"/>
        <v>0</v>
      </c>
      <c r="CNO64" s="857">
        <f t="shared" si="79"/>
        <v>0</v>
      </c>
      <c r="CNP64" s="857">
        <f t="shared" si="79"/>
        <v>0</v>
      </c>
      <c r="CNQ64" s="857">
        <f t="shared" si="79"/>
        <v>0</v>
      </c>
      <c r="CNR64" s="857">
        <f t="shared" si="79"/>
        <v>0</v>
      </c>
      <c r="CNS64" s="857">
        <f t="shared" si="79"/>
        <v>0</v>
      </c>
      <c r="CNT64" s="857">
        <f t="shared" si="79"/>
        <v>0</v>
      </c>
      <c r="CNU64" s="857">
        <f t="shared" si="79"/>
        <v>0</v>
      </c>
      <c r="CNV64" s="857">
        <f t="shared" si="79"/>
        <v>0</v>
      </c>
      <c r="CNW64" s="857">
        <f t="shared" si="79"/>
        <v>0</v>
      </c>
      <c r="CNX64" s="857">
        <f t="shared" si="79"/>
        <v>0</v>
      </c>
      <c r="CNY64" s="857">
        <f t="shared" si="79"/>
        <v>0</v>
      </c>
      <c r="CNZ64" s="857">
        <f t="shared" si="79"/>
        <v>0</v>
      </c>
      <c r="COA64" s="857">
        <f t="shared" si="79"/>
        <v>0</v>
      </c>
      <c r="COB64" s="857">
        <f t="shared" si="79"/>
        <v>0</v>
      </c>
      <c r="COC64" s="857">
        <f t="shared" si="79"/>
        <v>0</v>
      </c>
      <c r="COD64" s="857">
        <f t="shared" si="79"/>
        <v>0</v>
      </c>
      <c r="COE64" s="857">
        <f t="shared" si="79"/>
        <v>0</v>
      </c>
      <c r="COF64" s="857">
        <f t="shared" si="79"/>
        <v>0</v>
      </c>
      <c r="COG64" s="857">
        <f t="shared" si="79"/>
        <v>0</v>
      </c>
      <c r="COH64" s="857">
        <f t="shared" si="79"/>
        <v>0</v>
      </c>
      <c r="COI64" s="857">
        <f t="shared" si="79"/>
        <v>0</v>
      </c>
      <c r="COJ64" s="857">
        <f t="shared" si="79"/>
        <v>0</v>
      </c>
      <c r="COK64" s="857">
        <f t="shared" si="79"/>
        <v>0</v>
      </c>
      <c r="COL64" s="857">
        <f t="shared" si="79"/>
        <v>0</v>
      </c>
      <c r="COM64" s="857">
        <f t="shared" si="79"/>
        <v>0</v>
      </c>
      <c r="CON64" s="857">
        <f t="shared" si="79"/>
        <v>0</v>
      </c>
      <c r="COO64" s="857">
        <f t="shared" si="79"/>
        <v>0</v>
      </c>
      <c r="COP64" s="857">
        <f t="shared" si="79"/>
        <v>0</v>
      </c>
      <c r="COQ64" s="857">
        <f t="shared" si="79"/>
        <v>0</v>
      </c>
      <c r="COR64" s="857">
        <f t="shared" si="79"/>
        <v>0</v>
      </c>
      <c r="COS64" s="857">
        <f t="shared" si="79"/>
        <v>0</v>
      </c>
      <c r="COT64" s="857">
        <f t="shared" ref="COT64:CRE64" si="80">(COT57-COT59)*$C$64</f>
        <v>0</v>
      </c>
      <c r="COU64" s="857">
        <f t="shared" si="80"/>
        <v>0</v>
      </c>
      <c r="COV64" s="857">
        <f t="shared" si="80"/>
        <v>0</v>
      </c>
      <c r="COW64" s="857">
        <f t="shared" si="80"/>
        <v>0</v>
      </c>
      <c r="COX64" s="857">
        <f t="shared" si="80"/>
        <v>0</v>
      </c>
      <c r="COY64" s="857">
        <f t="shared" si="80"/>
        <v>0</v>
      </c>
      <c r="COZ64" s="857">
        <f t="shared" si="80"/>
        <v>0</v>
      </c>
      <c r="CPA64" s="857">
        <f t="shared" si="80"/>
        <v>0</v>
      </c>
      <c r="CPB64" s="857">
        <f t="shared" si="80"/>
        <v>0</v>
      </c>
      <c r="CPC64" s="857">
        <f t="shared" si="80"/>
        <v>0</v>
      </c>
      <c r="CPD64" s="857">
        <f t="shared" si="80"/>
        <v>0</v>
      </c>
      <c r="CPE64" s="857">
        <f t="shared" si="80"/>
        <v>0</v>
      </c>
      <c r="CPF64" s="857">
        <f t="shared" si="80"/>
        <v>0</v>
      </c>
      <c r="CPG64" s="857">
        <f t="shared" si="80"/>
        <v>0</v>
      </c>
      <c r="CPH64" s="857">
        <f t="shared" si="80"/>
        <v>0</v>
      </c>
      <c r="CPI64" s="857">
        <f t="shared" si="80"/>
        <v>0</v>
      </c>
      <c r="CPJ64" s="857">
        <f t="shared" si="80"/>
        <v>0</v>
      </c>
      <c r="CPK64" s="857">
        <f t="shared" si="80"/>
        <v>0</v>
      </c>
      <c r="CPL64" s="857">
        <f t="shared" si="80"/>
        <v>0</v>
      </c>
      <c r="CPM64" s="857">
        <f t="shared" si="80"/>
        <v>0</v>
      </c>
      <c r="CPN64" s="857">
        <f t="shared" si="80"/>
        <v>0</v>
      </c>
      <c r="CPO64" s="857">
        <f t="shared" si="80"/>
        <v>0</v>
      </c>
      <c r="CPP64" s="857">
        <f t="shared" si="80"/>
        <v>0</v>
      </c>
      <c r="CPQ64" s="857">
        <f t="shared" si="80"/>
        <v>0</v>
      </c>
      <c r="CPR64" s="857">
        <f t="shared" si="80"/>
        <v>0</v>
      </c>
      <c r="CPS64" s="857">
        <f t="shared" si="80"/>
        <v>0</v>
      </c>
      <c r="CPT64" s="857">
        <f t="shared" si="80"/>
        <v>0</v>
      </c>
      <c r="CPU64" s="857">
        <f t="shared" si="80"/>
        <v>0</v>
      </c>
      <c r="CPV64" s="857">
        <f t="shared" si="80"/>
        <v>0</v>
      </c>
      <c r="CPW64" s="857">
        <f t="shared" si="80"/>
        <v>0</v>
      </c>
      <c r="CPX64" s="857">
        <f t="shared" si="80"/>
        <v>0</v>
      </c>
      <c r="CPY64" s="857">
        <f t="shared" si="80"/>
        <v>0</v>
      </c>
      <c r="CPZ64" s="857">
        <f t="shared" si="80"/>
        <v>0</v>
      </c>
      <c r="CQA64" s="857">
        <f t="shared" si="80"/>
        <v>0</v>
      </c>
      <c r="CQB64" s="857">
        <f t="shared" si="80"/>
        <v>0</v>
      </c>
      <c r="CQC64" s="857">
        <f t="shared" si="80"/>
        <v>0</v>
      </c>
      <c r="CQD64" s="857">
        <f t="shared" si="80"/>
        <v>0</v>
      </c>
      <c r="CQE64" s="857">
        <f t="shared" si="80"/>
        <v>0</v>
      </c>
      <c r="CQF64" s="857">
        <f t="shared" si="80"/>
        <v>0</v>
      </c>
      <c r="CQG64" s="857">
        <f t="shared" si="80"/>
        <v>0</v>
      </c>
      <c r="CQH64" s="857">
        <f t="shared" si="80"/>
        <v>0</v>
      </c>
      <c r="CQI64" s="857">
        <f t="shared" si="80"/>
        <v>0</v>
      </c>
      <c r="CQJ64" s="857">
        <f t="shared" si="80"/>
        <v>0</v>
      </c>
      <c r="CQK64" s="857">
        <f t="shared" si="80"/>
        <v>0</v>
      </c>
      <c r="CQL64" s="857">
        <f t="shared" si="80"/>
        <v>0</v>
      </c>
      <c r="CQM64" s="857">
        <f t="shared" si="80"/>
        <v>0</v>
      </c>
      <c r="CQN64" s="857">
        <f t="shared" si="80"/>
        <v>0</v>
      </c>
      <c r="CQO64" s="857">
        <f t="shared" si="80"/>
        <v>0</v>
      </c>
      <c r="CQP64" s="857">
        <f t="shared" si="80"/>
        <v>0</v>
      </c>
      <c r="CQQ64" s="857">
        <f t="shared" si="80"/>
        <v>0</v>
      </c>
      <c r="CQR64" s="857">
        <f t="shared" si="80"/>
        <v>0</v>
      </c>
      <c r="CQS64" s="857">
        <f t="shared" si="80"/>
        <v>0</v>
      </c>
      <c r="CQT64" s="857">
        <f t="shared" si="80"/>
        <v>0</v>
      </c>
      <c r="CQU64" s="857">
        <f t="shared" si="80"/>
        <v>0</v>
      </c>
      <c r="CQV64" s="857">
        <f t="shared" si="80"/>
        <v>0</v>
      </c>
      <c r="CQW64" s="857">
        <f t="shared" si="80"/>
        <v>0</v>
      </c>
      <c r="CQX64" s="857">
        <f t="shared" si="80"/>
        <v>0</v>
      </c>
      <c r="CQY64" s="857">
        <f t="shared" si="80"/>
        <v>0</v>
      </c>
      <c r="CQZ64" s="857">
        <f t="shared" si="80"/>
        <v>0</v>
      </c>
      <c r="CRA64" s="857">
        <f t="shared" si="80"/>
        <v>0</v>
      </c>
      <c r="CRB64" s="857">
        <f t="shared" si="80"/>
        <v>0</v>
      </c>
      <c r="CRC64" s="857">
        <f t="shared" si="80"/>
        <v>0</v>
      </c>
      <c r="CRD64" s="857">
        <f t="shared" si="80"/>
        <v>0</v>
      </c>
      <c r="CRE64" s="857">
        <f t="shared" si="80"/>
        <v>0</v>
      </c>
      <c r="CRF64" s="857">
        <f t="shared" ref="CRF64:CTQ64" si="81">(CRF57-CRF59)*$C$64</f>
        <v>0</v>
      </c>
      <c r="CRG64" s="857">
        <f t="shared" si="81"/>
        <v>0</v>
      </c>
      <c r="CRH64" s="857">
        <f t="shared" si="81"/>
        <v>0</v>
      </c>
      <c r="CRI64" s="857">
        <f t="shared" si="81"/>
        <v>0</v>
      </c>
      <c r="CRJ64" s="857">
        <f t="shared" si="81"/>
        <v>0</v>
      </c>
      <c r="CRK64" s="857">
        <f t="shared" si="81"/>
        <v>0</v>
      </c>
      <c r="CRL64" s="857">
        <f t="shared" si="81"/>
        <v>0</v>
      </c>
      <c r="CRM64" s="857">
        <f t="shared" si="81"/>
        <v>0</v>
      </c>
      <c r="CRN64" s="857">
        <f t="shared" si="81"/>
        <v>0</v>
      </c>
      <c r="CRO64" s="857">
        <f t="shared" si="81"/>
        <v>0</v>
      </c>
      <c r="CRP64" s="857">
        <f t="shared" si="81"/>
        <v>0</v>
      </c>
      <c r="CRQ64" s="857">
        <f t="shared" si="81"/>
        <v>0</v>
      </c>
      <c r="CRR64" s="857">
        <f t="shared" si="81"/>
        <v>0</v>
      </c>
      <c r="CRS64" s="857">
        <f t="shared" si="81"/>
        <v>0</v>
      </c>
      <c r="CRT64" s="857">
        <f t="shared" si="81"/>
        <v>0</v>
      </c>
      <c r="CRU64" s="857">
        <f t="shared" si="81"/>
        <v>0</v>
      </c>
      <c r="CRV64" s="857">
        <f t="shared" si="81"/>
        <v>0</v>
      </c>
      <c r="CRW64" s="857">
        <f t="shared" si="81"/>
        <v>0</v>
      </c>
      <c r="CRX64" s="857">
        <f t="shared" si="81"/>
        <v>0</v>
      </c>
      <c r="CRY64" s="857">
        <f t="shared" si="81"/>
        <v>0</v>
      </c>
      <c r="CRZ64" s="857">
        <f t="shared" si="81"/>
        <v>0</v>
      </c>
      <c r="CSA64" s="857">
        <f t="shared" si="81"/>
        <v>0</v>
      </c>
      <c r="CSB64" s="857">
        <f t="shared" si="81"/>
        <v>0</v>
      </c>
      <c r="CSC64" s="857">
        <f t="shared" si="81"/>
        <v>0</v>
      </c>
      <c r="CSD64" s="857">
        <f t="shared" si="81"/>
        <v>0</v>
      </c>
      <c r="CSE64" s="857">
        <f t="shared" si="81"/>
        <v>0</v>
      </c>
      <c r="CSF64" s="857">
        <f t="shared" si="81"/>
        <v>0</v>
      </c>
      <c r="CSG64" s="857">
        <f t="shared" si="81"/>
        <v>0</v>
      </c>
      <c r="CSH64" s="857">
        <f t="shared" si="81"/>
        <v>0</v>
      </c>
      <c r="CSI64" s="857">
        <f t="shared" si="81"/>
        <v>0</v>
      </c>
      <c r="CSJ64" s="857">
        <f t="shared" si="81"/>
        <v>0</v>
      </c>
      <c r="CSK64" s="857">
        <f t="shared" si="81"/>
        <v>0</v>
      </c>
      <c r="CSL64" s="857">
        <f t="shared" si="81"/>
        <v>0</v>
      </c>
      <c r="CSM64" s="857">
        <f t="shared" si="81"/>
        <v>0</v>
      </c>
      <c r="CSN64" s="857">
        <f t="shared" si="81"/>
        <v>0</v>
      </c>
      <c r="CSO64" s="857">
        <f t="shared" si="81"/>
        <v>0</v>
      </c>
      <c r="CSP64" s="857">
        <f t="shared" si="81"/>
        <v>0</v>
      </c>
      <c r="CSQ64" s="857">
        <f t="shared" si="81"/>
        <v>0</v>
      </c>
      <c r="CSR64" s="857">
        <f t="shared" si="81"/>
        <v>0</v>
      </c>
      <c r="CSS64" s="857">
        <f t="shared" si="81"/>
        <v>0</v>
      </c>
      <c r="CST64" s="857">
        <f t="shared" si="81"/>
        <v>0</v>
      </c>
      <c r="CSU64" s="857">
        <f t="shared" si="81"/>
        <v>0</v>
      </c>
      <c r="CSV64" s="857">
        <f t="shared" si="81"/>
        <v>0</v>
      </c>
      <c r="CSW64" s="857">
        <f t="shared" si="81"/>
        <v>0</v>
      </c>
      <c r="CSX64" s="857">
        <f t="shared" si="81"/>
        <v>0</v>
      </c>
      <c r="CSY64" s="857">
        <f t="shared" si="81"/>
        <v>0</v>
      </c>
      <c r="CSZ64" s="857">
        <f t="shared" si="81"/>
        <v>0</v>
      </c>
      <c r="CTA64" s="857">
        <f t="shared" si="81"/>
        <v>0</v>
      </c>
      <c r="CTB64" s="857">
        <f t="shared" si="81"/>
        <v>0</v>
      </c>
      <c r="CTC64" s="857">
        <f t="shared" si="81"/>
        <v>0</v>
      </c>
      <c r="CTD64" s="857">
        <f t="shared" si="81"/>
        <v>0</v>
      </c>
      <c r="CTE64" s="857">
        <f t="shared" si="81"/>
        <v>0</v>
      </c>
      <c r="CTF64" s="857">
        <f t="shared" si="81"/>
        <v>0</v>
      </c>
      <c r="CTG64" s="857">
        <f t="shared" si="81"/>
        <v>0</v>
      </c>
      <c r="CTH64" s="857">
        <f t="shared" si="81"/>
        <v>0</v>
      </c>
      <c r="CTI64" s="857">
        <f t="shared" si="81"/>
        <v>0</v>
      </c>
      <c r="CTJ64" s="857">
        <f t="shared" si="81"/>
        <v>0</v>
      </c>
      <c r="CTK64" s="857">
        <f t="shared" si="81"/>
        <v>0</v>
      </c>
      <c r="CTL64" s="857">
        <f t="shared" si="81"/>
        <v>0</v>
      </c>
      <c r="CTM64" s="857">
        <f t="shared" si="81"/>
        <v>0</v>
      </c>
      <c r="CTN64" s="857">
        <f t="shared" si="81"/>
        <v>0</v>
      </c>
      <c r="CTO64" s="857">
        <f t="shared" si="81"/>
        <v>0</v>
      </c>
      <c r="CTP64" s="857">
        <f t="shared" si="81"/>
        <v>0</v>
      </c>
      <c r="CTQ64" s="857">
        <f t="shared" si="81"/>
        <v>0</v>
      </c>
      <c r="CTR64" s="857">
        <f t="shared" ref="CTR64:CWC64" si="82">(CTR57-CTR59)*$C$64</f>
        <v>0</v>
      </c>
      <c r="CTS64" s="857">
        <f t="shared" si="82"/>
        <v>0</v>
      </c>
      <c r="CTT64" s="857">
        <f t="shared" si="82"/>
        <v>0</v>
      </c>
      <c r="CTU64" s="857">
        <f t="shared" si="82"/>
        <v>0</v>
      </c>
      <c r="CTV64" s="857">
        <f t="shared" si="82"/>
        <v>0</v>
      </c>
      <c r="CTW64" s="857">
        <f t="shared" si="82"/>
        <v>0</v>
      </c>
      <c r="CTX64" s="857">
        <f t="shared" si="82"/>
        <v>0</v>
      </c>
      <c r="CTY64" s="857">
        <f t="shared" si="82"/>
        <v>0</v>
      </c>
      <c r="CTZ64" s="857">
        <f t="shared" si="82"/>
        <v>0</v>
      </c>
      <c r="CUA64" s="857">
        <f t="shared" si="82"/>
        <v>0</v>
      </c>
      <c r="CUB64" s="857">
        <f t="shared" si="82"/>
        <v>0</v>
      </c>
      <c r="CUC64" s="857">
        <f t="shared" si="82"/>
        <v>0</v>
      </c>
      <c r="CUD64" s="857">
        <f t="shared" si="82"/>
        <v>0</v>
      </c>
      <c r="CUE64" s="857">
        <f t="shared" si="82"/>
        <v>0</v>
      </c>
      <c r="CUF64" s="857">
        <f t="shared" si="82"/>
        <v>0</v>
      </c>
      <c r="CUG64" s="857">
        <f t="shared" si="82"/>
        <v>0</v>
      </c>
      <c r="CUH64" s="857">
        <f t="shared" si="82"/>
        <v>0</v>
      </c>
      <c r="CUI64" s="857">
        <f t="shared" si="82"/>
        <v>0</v>
      </c>
      <c r="CUJ64" s="857">
        <f t="shared" si="82"/>
        <v>0</v>
      </c>
      <c r="CUK64" s="857">
        <f t="shared" si="82"/>
        <v>0</v>
      </c>
      <c r="CUL64" s="857">
        <f t="shared" si="82"/>
        <v>0</v>
      </c>
      <c r="CUM64" s="857">
        <f t="shared" si="82"/>
        <v>0</v>
      </c>
      <c r="CUN64" s="857">
        <f t="shared" si="82"/>
        <v>0</v>
      </c>
      <c r="CUO64" s="857">
        <f t="shared" si="82"/>
        <v>0</v>
      </c>
      <c r="CUP64" s="857">
        <f t="shared" si="82"/>
        <v>0</v>
      </c>
      <c r="CUQ64" s="857">
        <f t="shared" si="82"/>
        <v>0</v>
      </c>
      <c r="CUR64" s="857">
        <f t="shared" si="82"/>
        <v>0</v>
      </c>
      <c r="CUS64" s="857">
        <f t="shared" si="82"/>
        <v>0</v>
      </c>
      <c r="CUT64" s="857">
        <f t="shared" si="82"/>
        <v>0</v>
      </c>
      <c r="CUU64" s="857">
        <f t="shared" si="82"/>
        <v>0</v>
      </c>
      <c r="CUV64" s="857">
        <f t="shared" si="82"/>
        <v>0</v>
      </c>
      <c r="CUW64" s="857">
        <f t="shared" si="82"/>
        <v>0</v>
      </c>
      <c r="CUX64" s="857">
        <f t="shared" si="82"/>
        <v>0</v>
      </c>
      <c r="CUY64" s="857">
        <f t="shared" si="82"/>
        <v>0</v>
      </c>
      <c r="CUZ64" s="857">
        <f t="shared" si="82"/>
        <v>0</v>
      </c>
      <c r="CVA64" s="857">
        <f t="shared" si="82"/>
        <v>0</v>
      </c>
      <c r="CVB64" s="857">
        <f t="shared" si="82"/>
        <v>0</v>
      </c>
      <c r="CVC64" s="857">
        <f t="shared" si="82"/>
        <v>0</v>
      </c>
      <c r="CVD64" s="857">
        <f t="shared" si="82"/>
        <v>0</v>
      </c>
      <c r="CVE64" s="857">
        <f t="shared" si="82"/>
        <v>0</v>
      </c>
      <c r="CVF64" s="857">
        <f t="shared" si="82"/>
        <v>0</v>
      </c>
      <c r="CVG64" s="857">
        <f t="shared" si="82"/>
        <v>0</v>
      </c>
      <c r="CVH64" s="857">
        <f t="shared" si="82"/>
        <v>0</v>
      </c>
      <c r="CVI64" s="857">
        <f t="shared" si="82"/>
        <v>0</v>
      </c>
      <c r="CVJ64" s="857">
        <f t="shared" si="82"/>
        <v>0</v>
      </c>
      <c r="CVK64" s="857">
        <f t="shared" si="82"/>
        <v>0</v>
      </c>
      <c r="CVL64" s="857">
        <f t="shared" si="82"/>
        <v>0</v>
      </c>
      <c r="CVM64" s="857">
        <f t="shared" si="82"/>
        <v>0</v>
      </c>
      <c r="CVN64" s="857">
        <f t="shared" si="82"/>
        <v>0</v>
      </c>
      <c r="CVO64" s="857">
        <f t="shared" si="82"/>
        <v>0</v>
      </c>
      <c r="CVP64" s="857">
        <f t="shared" si="82"/>
        <v>0</v>
      </c>
      <c r="CVQ64" s="857">
        <f t="shared" si="82"/>
        <v>0</v>
      </c>
      <c r="CVR64" s="857">
        <f t="shared" si="82"/>
        <v>0</v>
      </c>
      <c r="CVS64" s="857">
        <f t="shared" si="82"/>
        <v>0</v>
      </c>
      <c r="CVT64" s="857">
        <f t="shared" si="82"/>
        <v>0</v>
      </c>
      <c r="CVU64" s="857">
        <f t="shared" si="82"/>
        <v>0</v>
      </c>
      <c r="CVV64" s="857">
        <f t="shared" si="82"/>
        <v>0</v>
      </c>
      <c r="CVW64" s="857">
        <f t="shared" si="82"/>
        <v>0</v>
      </c>
      <c r="CVX64" s="857">
        <f t="shared" si="82"/>
        <v>0</v>
      </c>
      <c r="CVY64" s="857">
        <f t="shared" si="82"/>
        <v>0</v>
      </c>
      <c r="CVZ64" s="857">
        <f t="shared" si="82"/>
        <v>0</v>
      </c>
      <c r="CWA64" s="857">
        <f t="shared" si="82"/>
        <v>0</v>
      </c>
      <c r="CWB64" s="857">
        <f t="shared" si="82"/>
        <v>0</v>
      </c>
      <c r="CWC64" s="857">
        <f t="shared" si="82"/>
        <v>0</v>
      </c>
      <c r="CWD64" s="857">
        <f t="shared" ref="CWD64:CYO64" si="83">(CWD57-CWD59)*$C$64</f>
        <v>0</v>
      </c>
      <c r="CWE64" s="857">
        <f t="shared" si="83"/>
        <v>0</v>
      </c>
      <c r="CWF64" s="857">
        <f t="shared" si="83"/>
        <v>0</v>
      </c>
      <c r="CWG64" s="857">
        <f t="shared" si="83"/>
        <v>0</v>
      </c>
      <c r="CWH64" s="857">
        <f t="shared" si="83"/>
        <v>0</v>
      </c>
      <c r="CWI64" s="857">
        <f t="shared" si="83"/>
        <v>0</v>
      </c>
      <c r="CWJ64" s="857">
        <f t="shared" si="83"/>
        <v>0</v>
      </c>
      <c r="CWK64" s="857">
        <f t="shared" si="83"/>
        <v>0</v>
      </c>
      <c r="CWL64" s="857">
        <f t="shared" si="83"/>
        <v>0</v>
      </c>
      <c r="CWM64" s="857">
        <f t="shared" si="83"/>
        <v>0</v>
      </c>
      <c r="CWN64" s="857">
        <f t="shared" si="83"/>
        <v>0</v>
      </c>
      <c r="CWO64" s="857">
        <f t="shared" si="83"/>
        <v>0</v>
      </c>
      <c r="CWP64" s="857">
        <f t="shared" si="83"/>
        <v>0</v>
      </c>
      <c r="CWQ64" s="857">
        <f t="shared" si="83"/>
        <v>0</v>
      </c>
      <c r="CWR64" s="857">
        <f t="shared" si="83"/>
        <v>0</v>
      </c>
      <c r="CWS64" s="857">
        <f t="shared" si="83"/>
        <v>0</v>
      </c>
      <c r="CWT64" s="857">
        <f t="shared" si="83"/>
        <v>0</v>
      </c>
      <c r="CWU64" s="857">
        <f t="shared" si="83"/>
        <v>0</v>
      </c>
      <c r="CWV64" s="857">
        <f t="shared" si="83"/>
        <v>0</v>
      </c>
      <c r="CWW64" s="857">
        <f t="shared" si="83"/>
        <v>0</v>
      </c>
      <c r="CWX64" s="857">
        <f t="shared" si="83"/>
        <v>0</v>
      </c>
      <c r="CWY64" s="857">
        <f t="shared" si="83"/>
        <v>0</v>
      </c>
      <c r="CWZ64" s="857">
        <f t="shared" si="83"/>
        <v>0</v>
      </c>
      <c r="CXA64" s="857">
        <f t="shared" si="83"/>
        <v>0</v>
      </c>
      <c r="CXB64" s="857">
        <f t="shared" si="83"/>
        <v>0</v>
      </c>
      <c r="CXC64" s="857">
        <f t="shared" si="83"/>
        <v>0</v>
      </c>
      <c r="CXD64" s="857">
        <f t="shared" si="83"/>
        <v>0</v>
      </c>
      <c r="CXE64" s="857">
        <f t="shared" si="83"/>
        <v>0</v>
      </c>
      <c r="CXF64" s="857">
        <f t="shared" si="83"/>
        <v>0</v>
      </c>
      <c r="CXG64" s="857">
        <f t="shared" si="83"/>
        <v>0</v>
      </c>
      <c r="CXH64" s="857">
        <f t="shared" si="83"/>
        <v>0</v>
      </c>
      <c r="CXI64" s="857">
        <f t="shared" si="83"/>
        <v>0</v>
      </c>
      <c r="CXJ64" s="857">
        <f t="shared" si="83"/>
        <v>0</v>
      </c>
      <c r="CXK64" s="857">
        <f t="shared" si="83"/>
        <v>0</v>
      </c>
      <c r="CXL64" s="857">
        <f t="shared" si="83"/>
        <v>0</v>
      </c>
      <c r="CXM64" s="857">
        <f t="shared" si="83"/>
        <v>0</v>
      </c>
      <c r="CXN64" s="857">
        <f t="shared" si="83"/>
        <v>0</v>
      </c>
      <c r="CXO64" s="857">
        <f t="shared" si="83"/>
        <v>0</v>
      </c>
      <c r="CXP64" s="857">
        <f t="shared" si="83"/>
        <v>0</v>
      </c>
      <c r="CXQ64" s="857">
        <f t="shared" si="83"/>
        <v>0</v>
      </c>
      <c r="CXR64" s="857">
        <f t="shared" si="83"/>
        <v>0</v>
      </c>
      <c r="CXS64" s="857">
        <f t="shared" si="83"/>
        <v>0</v>
      </c>
      <c r="CXT64" s="857">
        <f t="shared" si="83"/>
        <v>0</v>
      </c>
      <c r="CXU64" s="857">
        <f t="shared" si="83"/>
        <v>0</v>
      </c>
      <c r="CXV64" s="857">
        <f t="shared" si="83"/>
        <v>0</v>
      </c>
      <c r="CXW64" s="857">
        <f t="shared" si="83"/>
        <v>0</v>
      </c>
      <c r="CXX64" s="857">
        <f t="shared" si="83"/>
        <v>0</v>
      </c>
      <c r="CXY64" s="857">
        <f t="shared" si="83"/>
        <v>0</v>
      </c>
      <c r="CXZ64" s="857">
        <f t="shared" si="83"/>
        <v>0</v>
      </c>
      <c r="CYA64" s="857">
        <f t="shared" si="83"/>
        <v>0</v>
      </c>
      <c r="CYB64" s="857">
        <f t="shared" si="83"/>
        <v>0</v>
      </c>
      <c r="CYC64" s="857">
        <f t="shared" si="83"/>
        <v>0</v>
      </c>
      <c r="CYD64" s="857">
        <f t="shared" si="83"/>
        <v>0</v>
      </c>
      <c r="CYE64" s="857">
        <f t="shared" si="83"/>
        <v>0</v>
      </c>
      <c r="CYF64" s="857">
        <f t="shared" si="83"/>
        <v>0</v>
      </c>
      <c r="CYG64" s="857">
        <f t="shared" si="83"/>
        <v>0</v>
      </c>
      <c r="CYH64" s="857">
        <f t="shared" si="83"/>
        <v>0</v>
      </c>
      <c r="CYI64" s="857">
        <f t="shared" si="83"/>
        <v>0</v>
      </c>
      <c r="CYJ64" s="857">
        <f t="shared" si="83"/>
        <v>0</v>
      </c>
      <c r="CYK64" s="857">
        <f t="shared" si="83"/>
        <v>0</v>
      </c>
      <c r="CYL64" s="857">
        <f t="shared" si="83"/>
        <v>0</v>
      </c>
      <c r="CYM64" s="857">
        <f t="shared" si="83"/>
        <v>0</v>
      </c>
      <c r="CYN64" s="857">
        <f t="shared" si="83"/>
        <v>0</v>
      </c>
      <c r="CYO64" s="857">
        <f t="shared" si="83"/>
        <v>0</v>
      </c>
      <c r="CYP64" s="857">
        <f t="shared" ref="CYP64:DBA64" si="84">(CYP57-CYP59)*$C$64</f>
        <v>0</v>
      </c>
      <c r="CYQ64" s="857">
        <f t="shared" si="84"/>
        <v>0</v>
      </c>
      <c r="CYR64" s="857">
        <f t="shared" si="84"/>
        <v>0</v>
      </c>
      <c r="CYS64" s="857">
        <f t="shared" si="84"/>
        <v>0</v>
      </c>
      <c r="CYT64" s="857">
        <f t="shared" si="84"/>
        <v>0</v>
      </c>
      <c r="CYU64" s="857">
        <f t="shared" si="84"/>
        <v>0</v>
      </c>
      <c r="CYV64" s="857">
        <f t="shared" si="84"/>
        <v>0</v>
      </c>
      <c r="CYW64" s="857">
        <f t="shared" si="84"/>
        <v>0</v>
      </c>
      <c r="CYX64" s="857">
        <f t="shared" si="84"/>
        <v>0</v>
      </c>
      <c r="CYY64" s="857">
        <f t="shared" si="84"/>
        <v>0</v>
      </c>
      <c r="CYZ64" s="857">
        <f t="shared" si="84"/>
        <v>0</v>
      </c>
      <c r="CZA64" s="857">
        <f t="shared" si="84"/>
        <v>0</v>
      </c>
      <c r="CZB64" s="857">
        <f t="shared" si="84"/>
        <v>0</v>
      </c>
      <c r="CZC64" s="857">
        <f t="shared" si="84"/>
        <v>0</v>
      </c>
      <c r="CZD64" s="857">
        <f t="shared" si="84"/>
        <v>0</v>
      </c>
      <c r="CZE64" s="857">
        <f t="shared" si="84"/>
        <v>0</v>
      </c>
      <c r="CZF64" s="857">
        <f t="shared" si="84"/>
        <v>0</v>
      </c>
      <c r="CZG64" s="857">
        <f t="shared" si="84"/>
        <v>0</v>
      </c>
      <c r="CZH64" s="857">
        <f t="shared" si="84"/>
        <v>0</v>
      </c>
      <c r="CZI64" s="857">
        <f t="shared" si="84"/>
        <v>0</v>
      </c>
      <c r="CZJ64" s="857">
        <f t="shared" si="84"/>
        <v>0</v>
      </c>
      <c r="CZK64" s="857">
        <f t="shared" si="84"/>
        <v>0</v>
      </c>
      <c r="CZL64" s="857">
        <f t="shared" si="84"/>
        <v>0</v>
      </c>
      <c r="CZM64" s="857">
        <f t="shared" si="84"/>
        <v>0</v>
      </c>
      <c r="CZN64" s="857">
        <f t="shared" si="84"/>
        <v>0</v>
      </c>
      <c r="CZO64" s="857">
        <f t="shared" si="84"/>
        <v>0</v>
      </c>
      <c r="CZP64" s="857">
        <f t="shared" si="84"/>
        <v>0</v>
      </c>
      <c r="CZQ64" s="857">
        <f t="shared" si="84"/>
        <v>0</v>
      </c>
      <c r="CZR64" s="857">
        <f t="shared" si="84"/>
        <v>0</v>
      </c>
      <c r="CZS64" s="857">
        <f t="shared" si="84"/>
        <v>0</v>
      </c>
      <c r="CZT64" s="857">
        <f t="shared" si="84"/>
        <v>0</v>
      </c>
      <c r="CZU64" s="857">
        <f t="shared" si="84"/>
        <v>0</v>
      </c>
      <c r="CZV64" s="857">
        <f t="shared" si="84"/>
        <v>0</v>
      </c>
      <c r="CZW64" s="857">
        <f t="shared" si="84"/>
        <v>0</v>
      </c>
      <c r="CZX64" s="857">
        <f t="shared" si="84"/>
        <v>0</v>
      </c>
      <c r="CZY64" s="857">
        <f t="shared" si="84"/>
        <v>0</v>
      </c>
      <c r="CZZ64" s="857">
        <f t="shared" si="84"/>
        <v>0</v>
      </c>
      <c r="DAA64" s="857">
        <f t="shared" si="84"/>
        <v>0</v>
      </c>
      <c r="DAB64" s="857">
        <f t="shared" si="84"/>
        <v>0</v>
      </c>
      <c r="DAC64" s="857">
        <f t="shared" si="84"/>
        <v>0</v>
      </c>
      <c r="DAD64" s="857">
        <f t="shared" si="84"/>
        <v>0</v>
      </c>
      <c r="DAE64" s="857">
        <f t="shared" si="84"/>
        <v>0</v>
      </c>
      <c r="DAF64" s="857">
        <f t="shared" si="84"/>
        <v>0</v>
      </c>
      <c r="DAG64" s="857">
        <f t="shared" si="84"/>
        <v>0</v>
      </c>
      <c r="DAH64" s="857">
        <f t="shared" si="84"/>
        <v>0</v>
      </c>
      <c r="DAI64" s="857">
        <f t="shared" si="84"/>
        <v>0</v>
      </c>
      <c r="DAJ64" s="857">
        <f t="shared" si="84"/>
        <v>0</v>
      </c>
      <c r="DAK64" s="857">
        <f t="shared" si="84"/>
        <v>0</v>
      </c>
      <c r="DAL64" s="857">
        <f t="shared" si="84"/>
        <v>0</v>
      </c>
      <c r="DAM64" s="857">
        <f t="shared" si="84"/>
        <v>0</v>
      </c>
      <c r="DAN64" s="857">
        <f t="shared" si="84"/>
        <v>0</v>
      </c>
      <c r="DAO64" s="857">
        <f t="shared" si="84"/>
        <v>0</v>
      </c>
      <c r="DAP64" s="857">
        <f t="shared" si="84"/>
        <v>0</v>
      </c>
      <c r="DAQ64" s="857">
        <f t="shared" si="84"/>
        <v>0</v>
      </c>
      <c r="DAR64" s="857">
        <f t="shared" si="84"/>
        <v>0</v>
      </c>
      <c r="DAS64" s="857">
        <f t="shared" si="84"/>
        <v>0</v>
      </c>
      <c r="DAT64" s="857">
        <f t="shared" si="84"/>
        <v>0</v>
      </c>
      <c r="DAU64" s="857">
        <f t="shared" si="84"/>
        <v>0</v>
      </c>
      <c r="DAV64" s="857">
        <f t="shared" si="84"/>
        <v>0</v>
      </c>
      <c r="DAW64" s="857">
        <f t="shared" si="84"/>
        <v>0</v>
      </c>
      <c r="DAX64" s="857">
        <f t="shared" si="84"/>
        <v>0</v>
      </c>
      <c r="DAY64" s="857">
        <f t="shared" si="84"/>
        <v>0</v>
      </c>
      <c r="DAZ64" s="857">
        <f t="shared" si="84"/>
        <v>0</v>
      </c>
      <c r="DBA64" s="857">
        <f t="shared" si="84"/>
        <v>0</v>
      </c>
      <c r="DBB64" s="857">
        <f t="shared" ref="DBB64:DDM64" si="85">(DBB57-DBB59)*$C$64</f>
        <v>0</v>
      </c>
      <c r="DBC64" s="857">
        <f t="shared" si="85"/>
        <v>0</v>
      </c>
      <c r="DBD64" s="857">
        <f t="shared" si="85"/>
        <v>0</v>
      </c>
      <c r="DBE64" s="857">
        <f t="shared" si="85"/>
        <v>0</v>
      </c>
      <c r="DBF64" s="857">
        <f t="shared" si="85"/>
        <v>0</v>
      </c>
      <c r="DBG64" s="857">
        <f t="shared" si="85"/>
        <v>0</v>
      </c>
      <c r="DBH64" s="857">
        <f t="shared" si="85"/>
        <v>0</v>
      </c>
      <c r="DBI64" s="857">
        <f t="shared" si="85"/>
        <v>0</v>
      </c>
      <c r="DBJ64" s="857">
        <f t="shared" si="85"/>
        <v>0</v>
      </c>
      <c r="DBK64" s="857">
        <f t="shared" si="85"/>
        <v>0</v>
      </c>
      <c r="DBL64" s="857">
        <f t="shared" si="85"/>
        <v>0</v>
      </c>
      <c r="DBM64" s="857">
        <f t="shared" si="85"/>
        <v>0</v>
      </c>
      <c r="DBN64" s="857">
        <f t="shared" si="85"/>
        <v>0</v>
      </c>
      <c r="DBO64" s="857">
        <f t="shared" si="85"/>
        <v>0</v>
      </c>
      <c r="DBP64" s="857">
        <f t="shared" si="85"/>
        <v>0</v>
      </c>
      <c r="DBQ64" s="857">
        <f t="shared" si="85"/>
        <v>0</v>
      </c>
      <c r="DBR64" s="857">
        <f t="shared" si="85"/>
        <v>0</v>
      </c>
      <c r="DBS64" s="857">
        <f t="shared" si="85"/>
        <v>0</v>
      </c>
      <c r="DBT64" s="857">
        <f t="shared" si="85"/>
        <v>0</v>
      </c>
      <c r="DBU64" s="857">
        <f t="shared" si="85"/>
        <v>0</v>
      </c>
      <c r="DBV64" s="857">
        <f t="shared" si="85"/>
        <v>0</v>
      </c>
      <c r="DBW64" s="857">
        <f t="shared" si="85"/>
        <v>0</v>
      </c>
      <c r="DBX64" s="857">
        <f t="shared" si="85"/>
        <v>0</v>
      </c>
      <c r="DBY64" s="857">
        <f t="shared" si="85"/>
        <v>0</v>
      </c>
      <c r="DBZ64" s="857">
        <f t="shared" si="85"/>
        <v>0</v>
      </c>
      <c r="DCA64" s="857">
        <f t="shared" si="85"/>
        <v>0</v>
      </c>
      <c r="DCB64" s="857">
        <f t="shared" si="85"/>
        <v>0</v>
      </c>
      <c r="DCC64" s="857">
        <f t="shared" si="85"/>
        <v>0</v>
      </c>
      <c r="DCD64" s="857">
        <f t="shared" si="85"/>
        <v>0</v>
      </c>
      <c r="DCE64" s="857">
        <f t="shared" si="85"/>
        <v>0</v>
      </c>
      <c r="DCF64" s="857">
        <f t="shared" si="85"/>
        <v>0</v>
      </c>
      <c r="DCG64" s="857">
        <f t="shared" si="85"/>
        <v>0</v>
      </c>
      <c r="DCH64" s="857">
        <f t="shared" si="85"/>
        <v>0</v>
      </c>
      <c r="DCI64" s="857">
        <f t="shared" si="85"/>
        <v>0</v>
      </c>
      <c r="DCJ64" s="857">
        <f t="shared" si="85"/>
        <v>0</v>
      </c>
      <c r="DCK64" s="857">
        <f t="shared" si="85"/>
        <v>0</v>
      </c>
      <c r="DCL64" s="857">
        <f t="shared" si="85"/>
        <v>0</v>
      </c>
      <c r="DCM64" s="857">
        <f t="shared" si="85"/>
        <v>0</v>
      </c>
      <c r="DCN64" s="857">
        <f t="shared" si="85"/>
        <v>0</v>
      </c>
      <c r="DCO64" s="857">
        <f t="shared" si="85"/>
        <v>0</v>
      </c>
      <c r="DCP64" s="857">
        <f t="shared" si="85"/>
        <v>0</v>
      </c>
      <c r="DCQ64" s="857">
        <f t="shared" si="85"/>
        <v>0</v>
      </c>
      <c r="DCR64" s="857">
        <f t="shared" si="85"/>
        <v>0</v>
      </c>
      <c r="DCS64" s="857">
        <f t="shared" si="85"/>
        <v>0</v>
      </c>
      <c r="DCT64" s="857">
        <f t="shared" si="85"/>
        <v>0</v>
      </c>
      <c r="DCU64" s="857">
        <f t="shared" si="85"/>
        <v>0</v>
      </c>
      <c r="DCV64" s="857">
        <f t="shared" si="85"/>
        <v>0</v>
      </c>
      <c r="DCW64" s="857">
        <f t="shared" si="85"/>
        <v>0</v>
      </c>
      <c r="DCX64" s="857">
        <f t="shared" si="85"/>
        <v>0</v>
      </c>
      <c r="DCY64" s="857">
        <f t="shared" si="85"/>
        <v>0</v>
      </c>
      <c r="DCZ64" s="857">
        <f t="shared" si="85"/>
        <v>0</v>
      </c>
      <c r="DDA64" s="857">
        <f t="shared" si="85"/>
        <v>0</v>
      </c>
      <c r="DDB64" s="857">
        <f t="shared" si="85"/>
        <v>0</v>
      </c>
      <c r="DDC64" s="857">
        <f t="shared" si="85"/>
        <v>0</v>
      </c>
      <c r="DDD64" s="857">
        <f t="shared" si="85"/>
        <v>0</v>
      </c>
      <c r="DDE64" s="857">
        <f t="shared" si="85"/>
        <v>0</v>
      </c>
      <c r="DDF64" s="857">
        <f t="shared" si="85"/>
        <v>0</v>
      </c>
      <c r="DDG64" s="857">
        <f t="shared" si="85"/>
        <v>0</v>
      </c>
      <c r="DDH64" s="857">
        <f t="shared" si="85"/>
        <v>0</v>
      </c>
      <c r="DDI64" s="857">
        <f t="shared" si="85"/>
        <v>0</v>
      </c>
      <c r="DDJ64" s="857">
        <f t="shared" si="85"/>
        <v>0</v>
      </c>
      <c r="DDK64" s="857">
        <f t="shared" si="85"/>
        <v>0</v>
      </c>
      <c r="DDL64" s="857">
        <f t="shared" si="85"/>
        <v>0</v>
      </c>
      <c r="DDM64" s="857">
        <f t="shared" si="85"/>
        <v>0</v>
      </c>
      <c r="DDN64" s="857">
        <f t="shared" ref="DDN64:DFY64" si="86">(DDN57-DDN59)*$C$64</f>
        <v>0</v>
      </c>
      <c r="DDO64" s="857">
        <f t="shared" si="86"/>
        <v>0</v>
      </c>
      <c r="DDP64" s="857">
        <f t="shared" si="86"/>
        <v>0</v>
      </c>
      <c r="DDQ64" s="857">
        <f t="shared" si="86"/>
        <v>0</v>
      </c>
      <c r="DDR64" s="857">
        <f t="shared" si="86"/>
        <v>0</v>
      </c>
      <c r="DDS64" s="857">
        <f t="shared" si="86"/>
        <v>0</v>
      </c>
      <c r="DDT64" s="857">
        <f t="shared" si="86"/>
        <v>0</v>
      </c>
      <c r="DDU64" s="857">
        <f t="shared" si="86"/>
        <v>0</v>
      </c>
      <c r="DDV64" s="857">
        <f t="shared" si="86"/>
        <v>0</v>
      </c>
      <c r="DDW64" s="857">
        <f t="shared" si="86"/>
        <v>0</v>
      </c>
      <c r="DDX64" s="857">
        <f t="shared" si="86"/>
        <v>0</v>
      </c>
      <c r="DDY64" s="857">
        <f t="shared" si="86"/>
        <v>0</v>
      </c>
      <c r="DDZ64" s="857">
        <f t="shared" si="86"/>
        <v>0</v>
      </c>
      <c r="DEA64" s="857">
        <f t="shared" si="86"/>
        <v>0</v>
      </c>
      <c r="DEB64" s="857">
        <f t="shared" si="86"/>
        <v>0</v>
      </c>
      <c r="DEC64" s="857">
        <f t="shared" si="86"/>
        <v>0</v>
      </c>
      <c r="DED64" s="857">
        <f t="shared" si="86"/>
        <v>0</v>
      </c>
      <c r="DEE64" s="857">
        <f t="shared" si="86"/>
        <v>0</v>
      </c>
      <c r="DEF64" s="857">
        <f t="shared" si="86"/>
        <v>0</v>
      </c>
      <c r="DEG64" s="857">
        <f t="shared" si="86"/>
        <v>0</v>
      </c>
      <c r="DEH64" s="857">
        <f t="shared" si="86"/>
        <v>0</v>
      </c>
      <c r="DEI64" s="857">
        <f t="shared" si="86"/>
        <v>0</v>
      </c>
      <c r="DEJ64" s="857">
        <f t="shared" si="86"/>
        <v>0</v>
      </c>
      <c r="DEK64" s="857">
        <f t="shared" si="86"/>
        <v>0</v>
      </c>
      <c r="DEL64" s="857">
        <f t="shared" si="86"/>
        <v>0</v>
      </c>
      <c r="DEM64" s="857">
        <f t="shared" si="86"/>
        <v>0</v>
      </c>
      <c r="DEN64" s="857">
        <f t="shared" si="86"/>
        <v>0</v>
      </c>
      <c r="DEO64" s="857">
        <f t="shared" si="86"/>
        <v>0</v>
      </c>
      <c r="DEP64" s="857">
        <f t="shared" si="86"/>
        <v>0</v>
      </c>
      <c r="DEQ64" s="857">
        <f t="shared" si="86"/>
        <v>0</v>
      </c>
      <c r="DER64" s="857">
        <f t="shared" si="86"/>
        <v>0</v>
      </c>
      <c r="DES64" s="857">
        <f t="shared" si="86"/>
        <v>0</v>
      </c>
      <c r="DET64" s="857">
        <f t="shared" si="86"/>
        <v>0</v>
      </c>
      <c r="DEU64" s="857">
        <f t="shared" si="86"/>
        <v>0</v>
      </c>
      <c r="DEV64" s="857">
        <f t="shared" si="86"/>
        <v>0</v>
      </c>
      <c r="DEW64" s="857">
        <f t="shared" si="86"/>
        <v>0</v>
      </c>
      <c r="DEX64" s="857">
        <f t="shared" si="86"/>
        <v>0</v>
      </c>
      <c r="DEY64" s="857">
        <f t="shared" si="86"/>
        <v>0</v>
      </c>
      <c r="DEZ64" s="857">
        <f t="shared" si="86"/>
        <v>0</v>
      </c>
      <c r="DFA64" s="857">
        <f t="shared" si="86"/>
        <v>0</v>
      </c>
      <c r="DFB64" s="857">
        <f t="shared" si="86"/>
        <v>0</v>
      </c>
      <c r="DFC64" s="857">
        <f t="shared" si="86"/>
        <v>0</v>
      </c>
      <c r="DFD64" s="857">
        <f t="shared" si="86"/>
        <v>0</v>
      </c>
      <c r="DFE64" s="857">
        <f t="shared" si="86"/>
        <v>0</v>
      </c>
      <c r="DFF64" s="857">
        <f t="shared" si="86"/>
        <v>0</v>
      </c>
      <c r="DFG64" s="857">
        <f t="shared" si="86"/>
        <v>0</v>
      </c>
      <c r="DFH64" s="857">
        <f t="shared" si="86"/>
        <v>0</v>
      </c>
      <c r="DFI64" s="857">
        <f t="shared" si="86"/>
        <v>0</v>
      </c>
      <c r="DFJ64" s="857">
        <f t="shared" si="86"/>
        <v>0</v>
      </c>
      <c r="DFK64" s="857">
        <f t="shared" si="86"/>
        <v>0</v>
      </c>
      <c r="DFL64" s="857">
        <f t="shared" si="86"/>
        <v>0</v>
      </c>
      <c r="DFM64" s="857">
        <f t="shared" si="86"/>
        <v>0</v>
      </c>
      <c r="DFN64" s="857">
        <f t="shared" si="86"/>
        <v>0</v>
      </c>
      <c r="DFO64" s="857">
        <f t="shared" si="86"/>
        <v>0</v>
      </c>
      <c r="DFP64" s="857">
        <f t="shared" si="86"/>
        <v>0</v>
      </c>
      <c r="DFQ64" s="857">
        <f t="shared" si="86"/>
        <v>0</v>
      </c>
      <c r="DFR64" s="857">
        <f t="shared" si="86"/>
        <v>0</v>
      </c>
      <c r="DFS64" s="857">
        <f t="shared" si="86"/>
        <v>0</v>
      </c>
      <c r="DFT64" s="857">
        <f t="shared" si="86"/>
        <v>0</v>
      </c>
      <c r="DFU64" s="857">
        <f t="shared" si="86"/>
        <v>0</v>
      </c>
      <c r="DFV64" s="857">
        <f t="shared" si="86"/>
        <v>0</v>
      </c>
      <c r="DFW64" s="857">
        <f t="shared" si="86"/>
        <v>0</v>
      </c>
      <c r="DFX64" s="857">
        <f t="shared" si="86"/>
        <v>0</v>
      </c>
      <c r="DFY64" s="857">
        <f t="shared" si="86"/>
        <v>0</v>
      </c>
      <c r="DFZ64" s="857">
        <f t="shared" ref="DFZ64:DIK64" si="87">(DFZ57-DFZ59)*$C$64</f>
        <v>0</v>
      </c>
      <c r="DGA64" s="857">
        <f t="shared" si="87"/>
        <v>0</v>
      </c>
      <c r="DGB64" s="857">
        <f t="shared" si="87"/>
        <v>0</v>
      </c>
      <c r="DGC64" s="857">
        <f t="shared" si="87"/>
        <v>0</v>
      </c>
      <c r="DGD64" s="857">
        <f t="shared" si="87"/>
        <v>0</v>
      </c>
      <c r="DGE64" s="857">
        <f t="shared" si="87"/>
        <v>0</v>
      </c>
      <c r="DGF64" s="857">
        <f t="shared" si="87"/>
        <v>0</v>
      </c>
      <c r="DGG64" s="857">
        <f t="shared" si="87"/>
        <v>0</v>
      </c>
      <c r="DGH64" s="857">
        <f t="shared" si="87"/>
        <v>0</v>
      </c>
      <c r="DGI64" s="857">
        <f t="shared" si="87"/>
        <v>0</v>
      </c>
      <c r="DGJ64" s="857">
        <f t="shared" si="87"/>
        <v>0</v>
      </c>
      <c r="DGK64" s="857">
        <f t="shared" si="87"/>
        <v>0</v>
      </c>
      <c r="DGL64" s="857">
        <f t="shared" si="87"/>
        <v>0</v>
      </c>
      <c r="DGM64" s="857">
        <f t="shared" si="87"/>
        <v>0</v>
      </c>
      <c r="DGN64" s="857">
        <f t="shared" si="87"/>
        <v>0</v>
      </c>
      <c r="DGO64" s="857">
        <f t="shared" si="87"/>
        <v>0</v>
      </c>
      <c r="DGP64" s="857">
        <f t="shared" si="87"/>
        <v>0</v>
      </c>
      <c r="DGQ64" s="857">
        <f t="shared" si="87"/>
        <v>0</v>
      </c>
      <c r="DGR64" s="857">
        <f t="shared" si="87"/>
        <v>0</v>
      </c>
      <c r="DGS64" s="857">
        <f t="shared" si="87"/>
        <v>0</v>
      </c>
      <c r="DGT64" s="857">
        <f t="shared" si="87"/>
        <v>0</v>
      </c>
      <c r="DGU64" s="857">
        <f t="shared" si="87"/>
        <v>0</v>
      </c>
      <c r="DGV64" s="857">
        <f t="shared" si="87"/>
        <v>0</v>
      </c>
      <c r="DGW64" s="857">
        <f t="shared" si="87"/>
        <v>0</v>
      </c>
      <c r="DGX64" s="857">
        <f t="shared" si="87"/>
        <v>0</v>
      </c>
      <c r="DGY64" s="857">
        <f t="shared" si="87"/>
        <v>0</v>
      </c>
      <c r="DGZ64" s="857">
        <f t="shared" si="87"/>
        <v>0</v>
      </c>
      <c r="DHA64" s="857">
        <f t="shared" si="87"/>
        <v>0</v>
      </c>
      <c r="DHB64" s="857">
        <f t="shared" si="87"/>
        <v>0</v>
      </c>
      <c r="DHC64" s="857">
        <f t="shared" si="87"/>
        <v>0</v>
      </c>
      <c r="DHD64" s="857">
        <f t="shared" si="87"/>
        <v>0</v>
      </c>
      <c r="DHE64" s="857">
        <f t="shared" si="87"/>
        <v>0</v>
      </c>
      <c r="DHF64" s="857">
        <f t="shared" si="87"/>
        <v>0</v>
      </c>
      <c r="DHG64" s="857">
        <f t="shared" si="87"/>
        <v>0</v>
      </c>
      <c r="DHH64" s="857">
        <f t="shared" si="87"/>
        <v>0</v>
      </c>
      <c r="DHI64" s="857">
        <f t="shared" si="87"/>
        <v>0</v>
      </c>
      <c r="DHJ64" s="857">
        <f t="shared" si="87"/>
        <v>0</v>
      </c>
      <c r="DHK64" s="857">
        <f t="shared" si="87"/>
        <v>0</v>
      </c>
      <c r="DHL64" s="857">
        <f t="shared" si="87"/>
        <v>0</v>
      </c>
      <c r="DHM64" s="857">
        <f t="shared" si="87"/>
        <v>0</v>
      </c>
      <c r="DHN64" s="857">
        <f t="shared" si="87"/>
        <v>0</v>
      </c>
      <c r="DHO64" s="857">
        <f t="shared" si="87"/>
        <v>0</v>
      </c>
      <c r="DHP64" s="857">
        <f t="shared" si="87"/>
        <v>0</v>
      </c>
      <c r="DHQ64" s="857">
        <f t="shared" si="87"/>
        <v>0</v>
      </c>
      <c r="DHR64" s="857">
        <f t="shared" si="87"/>
        <v>0</v>
      </c>
      <c r="DHS64" s="857">
        <f t="shared" si="87"/>
        <v>0</v>
      </c>
      <c r="DHT64" s="857">
        <f t="shared" si="87"/>
        <v>0</v>
      </c>
      <c r="DHU64" s="857">
        <f t="shared" si="87"/>
        <v>0</v>
      </c>
      <c r="DHV64" s="857">
        <f t="shared" si="87"/>
        <v>0</v>
      </c>
      <c r="DHW64" s="857">
        <f t="shared" si="87"/>
        <v>0</v>
      </c>
      <c r="DHX64" s="857">
        <f t="shared" si="87"/>
        <v>0</v>
      </c>
      <c r="DHY64" s="857">
        <f t="shared" si="87"/>
        <v>0</v>
      </c>
      <c r="DHZ64" s="857">
        <f t="shared" si="87"/>
        <v>0</v>
      </c>
      <c r="DIA64" s="857">
        <f t="shared" si="87"/>
        <v>0</v>
      </c>
      <c r="DIB64" s="857">
        <f t="shared" si="87"/>
        <v>0</v>
      </c>
      <c r="DIC64" s="857">
        <f t="shared" si="87"/>
        <v>0</v>
      </c>
      <c r="DID64" s="857">
        <f t="shared" si="87"/>
        <v>0</v>
      </c>
      <c r="DIE64" s="857">
        <f t="shared" si="87"/>
        <v>0</v>
      </c>
      <c r="DIF64" s="857">
        <f t="shared" si="87"/>
        <v>0</v>
      </c>
      <c r="DIG64" s="857">
        <f t="shared" si="87"/>
        <v>0</v>
      </c>
      <c r="DIH64" s="857">
        <f t="shared" si="87"/>
        <v>0</v>
      </c>
      <c r="DII64" s="857">
        <f t="shared" si="87"/>
        <v>0</v>
      </c>
      <c r="DIJ64" s="857">
        <f t="shared" si="87"/>
        <v>0</v>
      </c>
      <c r="DIK64" s="857">
        <f t="shared" si="87"/>
        <v>0</v>
      </c>
      <c r="DIL64" s="857">
        <f t="shared" ref="DIL64:DKW64" si="88">(DIL57-DIL59)*$C$64</f>
        <v>0</v>
      </c>
      <c r="DIM64" s="857">
        <f t="shared" si="88"/>
        <v>0</v>
      </c>
      <c r="DIN64" s="857">
        <f t="shared" si="88"/>
        <v>0</v>
      </c>
      <c r="DIO64" s="857">
        <f t="shared" si="88"/>
        <v>0</v>
      </c>
      <c r="DIP64" s="857">
        <f t="shared" si="88"/>
        <v>0</v>
      </c>
      <c r="DIQ64" s="857">
        <f t="shared" si="88"/>
        <v>0</v>
      </c>
      <c r="DIR64" s="857">
        <f t="shared" si="88"/>
        <v>0</v>
      </c>
      <c r="DIS64" s="857">
        <f t="shared" si="88"/>
        <v>0</v>
      </c>
      <c r="DIT64" s="857">
        <f t="shared" si="88"/>
        <v>0</v>
      </c>
      <c r="DIU64" s="857">
        <f t="shared" si="88"/>
        <v>0</v>
      </c>
      <c r="DIV64" s="857">
        <f t="shared" si="88"/>
        <v>0</v>
      </c>
      <c r="DIW64" s="857">
        <f t="shared" si="88"/>
        <v>0</v>
      </c>
      <c r="DIX64" s="857">
        <f t="shared" si="88"/>
        <v>0</v>
      </c>
      <c r="DIY64" s="857">
        <f t="shared" si="88"/>
        <v>0</v>
      </c>
      <c r="DIZ64" s="857">
        <f t="shared" si="88"/>
        <v>0</v>
      </c>
      <c r="DJA64" s="857">
        <f t="shared" si="88"/>
        <v>0</v>
      </c>
      <c r="DJB64" s="857">
        <f t="shared" si="88"/>
        <v>0</v>
      </c>
      <c r="DJC64" s="857">
        <f t="shared" si="88"/>
        <v>0</v>
      </c>
      <c r="DJD64" s="857">
        <f t="shared" si="88"/>
        <v>0</v>
      </c>
      <c r="DJE64" s="857">
        <f t="shared" si="88"/>
        <v>0</v>
      </c>
      <c r="DJF64" s="857">
        <f t="shared" si="88"/>
        <v>0</v>
      </c>
      <c r="DJG64" s="857">
        <f t="shared" si="88"/>
        <v>0</v>
      </c>
      <c r="DJH64" s="857">
        <f t="shared" si="88"/>
        <v>0</v>
      </c>
      <c r="DJI64" s="857">
        <f t="shared" si="88"/>
        <v>0</v>
      </c>
      <c r="DJJ64" s="857">
        <f t="shared" si="88"/>
        <v>0</v>
      </c>
      <c r="DJK64" s="857">
        <f t="shared" si="88"/>
        <v>0</v>
      </c>
      <c r="DJL64" s="857">
        <f t="shared" si="88"/>
        <v>0</v>
      </c>
      <c r="DJM64" s="857">
        <f t="shared" si="88"/>
        <v>0</v>
      </c>
      <c r="DJN64" s="857">
        <f t="shared" si="88"/>
        <v>0</v>
      </c>
      <c r="DJO64" s="857">
        <f t="shared" si="88"/>
        <v>0</v>
      </c>
      <c r="DJP64" s="857">
        <f t="shared" si="88"/>
        <v>0</v>
      </c>
      <c r="DJQ64" s="857">
        <f t="shared" si="88"/>
        <v>0</v>
      </c>
      <c r="DJR64" s="857">
        <f t="shared" si="88"/>
        <v>0</v>
      </c>
      <c r="DJS64" s="857">
        <f t="shared" si="88"/>
        <v>0</v>
      </c>
      <c r="DJT64" s="857">
        <f t="shared" si="88"/>
        <v>0</v>
      </c>
      <c r="DJU64" s="857">
        <f t="shared" si="88"/>
        <v>0</v>
      </c>
      <c r="DJV64" s="857">
        <f t="shared" si="88"/>
        <v>0</v>
      </c>
      <c r="DJW64" s="857">
        <f t="shared" si="88"/>
        <v>0</v>
      </c>
      <c r="DJX64" s="857">
        <f t="shared" si="88"/>
        <v>0</v>
      </c>
      <c r="DJY64" s="857">
        <f t="shared" si="88"/>
        <v>0</v>
      </c>
      <c r="DJZ64" s="857">
        <f t="shared" si="88"/>
        <v>0</v>
      </c>
      <c r="DKA64" s="857">
        <f t="shared" si="88"/>
        <v>0</v>
      </c>
      <c r="DKB64" s="857">
        <f t="shared" si="88"/>
        <v>0</v>
      </c>
      <c r="DKC64" s="857">
        <f t="shared" si="88"/>
        <v>0</v>
      </c>
      <c r="DKD64" s="857">
        <f t="shared" si="88"/>
        <v>0</v>
      </c>
      <c r="DKE64" s="857">
        <f t="shared" si="88"/>
        <v>0</v>
      </c>
      <c r="DKF64" s="857">
        <f t="shared" si="88"/>
        <v>0</v>
      </c>
      <c r="DKG64" s="857">
        <f t="shared" si="88"/>
        <v>0</v>
      </c>
      <c r="DKH64" s="857">
        <f t="shared" si="88"/>
        <v>0</v>
      </c>
      <c r="DKI64" s="857">
        <f t="shared" si="88"/>
        <v>0</v>
      </c>
      <c r="DKJ64" s="857">
        <f t="shared" si="88"/>
        <v>0</v>
      </c>
      <c r="DKK64" s="857">
        <f t="shared" si="88"/>
        <v>0</v>
      </c>
      <c r="DKL64" s="857">
        <f t="shared" si="88"/>
        <v>0</v>
      </c>
      <c r="DKM64" s="857">
        <f t="shared" si="88"/>
        <v>0</v>
      </c>
      <c r="DKN64" s="857">
        <f t="shared" si="88"/>
        <v>0</v>
      </c>
      <c r="DKO64" s="857">
        <f t="shared" si="88"/>
        <v>0</v>
      </c>
      <c r="DKP64" s="857">
        <f t="shared" si="88"/>
        <v>0</v>
      </c>
      <c r="DKQ64" s="857">
        <f t="shared" si="88"/>
        <v>0</v>
      </c>
      <c r="DKR64" s="857">
        <f t="shared" si="88"/>
        <v>0</v>
      </c>
      <c r="DKS64" s="857">
        <f t="shared" si="88"/>
        <v>0</v>
      </c>
      <c r="DKT64" s="857">
        <f t="shared" si="88"/>
        <v>0</v>
      </c>
      <c r="DKU64" s="857">
        <f t="shared" si="88"/>
        <v>0</v>
      </c>
      <c r="DKV64" s="857">
        <f t="shared" si="88"/>
        <v>0</v>
      </c>
      <c r="DKW64" s="857">
        <f t="shared" si="88"/>
        <v>0</v>
      </c>
      <c r="DKX64" s="857">
        <f t="shared" ref="DKX64:DNI64" si="89">(DKX57-DKX59)*$C$64</f>
        <v>0</v>
      </c>
      <c r="DKY64" s="857">
        <f t="shared" si="89"/>
        <v>0</v>
      </c>
      <c r="DKZ64" s="857">
        <f t="shared" si="89"/>
        <v>0</v>
      </c>
      <c r="DLA64" s="857">
        <f t="shared" si="89"/>
        <v>0</v>
      </c>
      <c r="DLB64" s="857">
        <f t="shared" si="89"/>
        <v>0</v>
      </c>
      <c r="DLC64" s="857">
        <f t="shared" si="89"/>
        <v>0</v>
      </c>
      <c r="DLD64" s="857">
        <f t="shared" si="89"/>
        <v>0</v>
      </c>
      <c r="DLE64" s="857">
        <f t="shared" si="89"/>
        <v>0</v>
      </c>
      <c r="DLF64" s="857">
        <f t="shared" si="89"/>
        <v>0</v>
      </c>
      <c r="DLG64" s="857">
        <f t="shared" si="89"/>
        <v>0</v>
      </c>
      <c r="DLH64" s="857">
        <f t="shared" si="89"/>
        <v>0</v>
      </c>
      <c r="DLI64" s="857">
        <f t="shared" si="89"/>
        <v>0</v>
      </c>
      <c r="DLJ64" s="857">
        <f t="shared" si="89"/>
        <v>0</v>
      </c>
      <c r="DLK64" s="857">
        <f t="shared" si="89"/>
        <v>0</v>
      </c>
      <c r="DLL64" s="857">
        <f t="shared" si="89"/>
        <v>0</v>
      </c>
      <c r="DLM64" s="857">
        <f t="shared" si="89"/>
        <v>0</v>
      </c>
      <c r="DLN64" s="857">
        <f t="shared" si="89"/>
        <v>0</v>
      </c>
      <c r="DLO64" s="857">
        <f t="shared" si="89"/>
        <v>0</v>
      </c>
      <c r="DLP64" s="857">
        <f t="shared" si="89"/>
        <v>0</v>
      </c>
      <c r="DLQ64" s="857">
        <f t="shared" si="89"/>
        <v>0</v>
      </c>
      <c r="DLR64" s="857">
        <f t="shared" si="89"/>
        <v>0</v>
      </c>
      <c r="DLS64" s="857">
        <f t="shared" si="89"/>
        <v>0</v>
      </c>
      <c r="DLT64" s="857">
        <f t="shared" si="89"/>
        <v>0</v>
      </c>
      <c r="DLU64" s="857">
        <f t="shared" si="89"/>
        <v>0</v>
      </c>
      <c r="DLV64" s="857">
        <f t="shared" si="89"/>
        <v>0</v>
      </c>
      <c r="DLW64" s="857">
        <f t="shared" si="89"/>
        <v>0</v>
      </c>
      <c r="DLX64" s="857">
        <f t="shared" si="89"/>
        <v>0</v>
      </c>
      <c r="DLY64" s="857">
        <f t="shared" si="89"/>
        <v>0</v>
      </c>
      <c r="DLZ64" s="857">
        <f t="shared" si="89"/>
        <v>0</v>
      </c>
      <c r="DMA64" s="857">
        <f t="shared" si="89"/>
        <v>0</v>
      </c>
      <c r="DMB64" s="857">
        <f t="shared" si="89"/>
        <v>0</v>
      </c>
      <c r="DMC64" s="857">
        <f t="shared" si="89"/>
        <v>0</v>
      </c>
      <c r="DMD64" s="857">
        <f t="shared" si="89"/>
        <v>0</v>
      </c>
      <c r="DME64" s="857">
        <f t="shared" si="89"/>
        <v>0</v>
      </c>
      <c r="DMF64" s="857">
        <f t="shared" si="89"/>
        <v>0</v>
      </c>
      <c r="DMG64" s="857">
        <f t="shared" si="89"/>
        <v>0</v>
      </c>
      <c r="DMH64" s="857">
        <f t="shared" si="89"/>
        <v>0</v>
      </c>
      <c r="DMI64" s="857">
        <f t="shared" si="89"/>
        <v>0</v>
      </c>
      <c r="DMJ64" s="857">
        <f t="shared" si="89"/>
        <v>0</v>
      </c>
      <c r="DMK64" s="857">
        <f t="shared" si="89"/>
        <v>0</v>
      </c>
      <c r="DML64" s="857">
        <f t="shared" si="89"/>
        <v>0</v>
      </c>
      <c r="DMM64" s="857">
        <f t="shared" si="89"/>
        <v>0</v>
      </c>
      <c r="DMN64" s="857">
        <f t="shared" si="89"/>
        <v>0</v>
      </c>
      <c r="DMO64" s="857">
        <f t="shared" si="89"/>
        <v>0</v>
      </c>
      <c r="DMP64" s="857">
        <f t="shared" si="89"/>
        <v>0</v>
      </c>
      <c r="DMQ64" s="857">
        <f t="shared" si="89"/>
        <v>0</v>
      </c>
      <c r="DMR64" s="857">
        <f t="shared" si="89"/>
        <v>0</v>
      </c>
      <c r="DMS64" s="857">
        <f t="shared" si="89"/>
        <v>0</v>
      </c>
      <c r="DMT64" s="857">
        <f t="shared" si="89"/>
        <v>0</v>
      </c>
      <c r="DMU64" s="857">
        <f t="shared" si="89"/>
        <v>0</v>
      </c>
      <c r="DMV64" s="857">
        <f t="shared" si="89"/>
        <v>0</v>
      </c>
      <c r="DMW64" s="857">
        <f t="shared" si="89"/>
        <v>0</v>
      </c>
      <c r="DMX64" s="857">
        <f t="shared" si="89"/>
        <v>0</v>
      </c>
      <c r="DMY64" s="857">
        <f t="shared" si="89"/>
        <v>0</v>
      </c>
      <c r="DMZ64" s="857">
        <f t="shared" si="89"/>
        <v>0</v>
      </c>
      <c r="DNA64" s="857">
        <f t="shared" si="89"/>
        <v>0</v>
      </c>
      <c r="DNB64" s="857">
        <f t="shared" si="89"/>
        <v>0</v>
      </c>
      <c r="DNC64" s="857">
        <f t="shared" si="89"/>
        <v>0</v>
      </c>
      <c r="DND64" s="857">
        <f t="shared" si="89"/>
        <v>0</v>
      </c>
      <c r="DNE64" s="857">
        <f t="shared" si="89"/>
        <v>0</v>
      </c>
      <c r="DNF64" s="857">
        <f t="shared" si="89"/>
        <v>0</v>
      </c>
      <c r="DNG64" s="857">
        <f t="shared" si="89"/>
        <v>0</v>
      </c>
      <c r="DNH64" s="857">
        <f t="shared" si="89"/>
        <v>0</v>
      </c>
      <c r="DNI64" s="857">
        <f t="shared" si="89"/>
        <v>0</v>
      </c>
      <c r="DNJ64" s="857">
        <f t="shared" ref="DNJ64:DPU64" si="90">(DNJ57-DNJ59)*$C$64</f>
        <v>0</v>
      </c>
      <c r="DNK64" s="857">
        <f t="shared" si="90"/>
        <v>0</v>
      </c>
      <c r="DNL64" s="857">
        <f t="shared" si="90"/>
        <v>0</v>
      </c>
      <c r="DNM64" s="857">
        <f t="shared" si="90"/>
        <v>0</v>
      </c>
      <c r="DNN64" s="857">
        <f t="shared" si="90"/>
        <v>0</v>
      </c>
      <c r="DNO64" s="857">
        <f t="shared" si="90"/>
        <v>0</v>
      </c>
      <c r="DNP64" s="857">
        <f t="shared" si="90"/>
        <v>0</v>
      </c>
      <c r="DNQ64" s="857">
        <f t="shared" si="90"/>
        <v>0</v>
      </c>
      <c r="DNR64" s="857">
        <f t="shared" si="90"/>
        <v>0</v>
      </c>
      <c r="DNS64" s="857">
        <f t="shared" si="90"/>
        <v>0</v>
      </c>
      <c r="DNT64" s="857">
        <f t="shared" si="90"/>
        <v>0</v>
      </c>
      <c r="DNU64" s="857">
        <f t="shared" si="90"/>
        <v>0</v>
      </c>
      <c r="DNV64" s="857">
        <f t="shared" si="90"/>
        <v>0</v>
      </c>
      <c r="DNW64" s="857">
        <f t="shared" si="90"/>
        <v>0</v>
      </c>
      <c r="DNX64" s="857">
        <f t="shared" si="90"/>
        <v>0</v>
      </c>
      <c r="DNY64" s="857">
        <f t="shared" si="90"/>
        <v>0</v>
      </c>
      <c r="DNZ64" s="857">
        <f t="shared" si="90"/>
        <v>0</v>
      </c>
      <c r="DOA64" s="857">
        <f t="shared" si="90"/>
        <v>0</v>
      </c>
      <c r="DOB64" s="857">
        <f t="shared" si="90"/>
        <v>0</v>
      </c>
      <c r="DOC64" s="857">
        <f t="shared" si="90"/>
        <v>0</v>
      </c>
      <c r="DOD64" s="857">
        <f t="shared" si="90"/>
        <v>0</v>
      </c>
      <c r="DOE64" s="857">
        <f t="shared" si="90"/>
        <v>0</v>
      </c>
      <c r="DOF64" s="857">
        <f t="shared" si="90"/>
        <v>0</v>
      </c>
      <c r="DOG64" s="857">
        <f t="shared" si="90"/>
        <v>0</v>
      </c>
      <c r="DOH64" s="857">
        <f t="shared" si="90"/>
        <v>0</v>
      </c>
      <c r="DOI64" s="857">
        <f t="shared" si="90"/>
        <v>0</v>
      </c>
      <c r="DOJ64" s="857">
        <f t="shared" si="90"/>
        <v>0</v>
      </c>
      <c r="DOK64" s="857">
        <f t="shared" si="90"/>
        <v>0</v>
      </c>
      <c r="DOL64" s="857">
        <f t="shared" si="90"/>
        <v>0</v>
      </c>
      <c r="DOM64" s="857">
        <f t="shared" si="90"/>
        <v>0</v>
      </c>
      <c r="DON64" s="857">
        <f t="shared" si="90"/>
        <v>0</v>
      </c>
      <c r="DOO64" s="857">
        <f t="shared" si="90"/>
        <v>0</v>
      </c>
      <c r="DOP64" s="857">
        <f t="shared" si="90"/>
        <v>0</v>
      </c>
      <c r="DOQ64" s="857">
        <f t="shared" si="90"/>
        <v>0</v>
      </c>
      <c r="DOR64" s="857">
        <f t="shared" si="90"/>
        <v>0</v>
      </c>
      <c r="DOS64" s="857">
        <f t="shared" si="90"/>
        <v>0</v>
      </c>
      <c r="DOT64" s="857">
        <f t="shared" si="90"/>
        <v>0</v>
      </c>
      <c r="DOU64" s="857">
        <f t="shared" si="90"/>
        <v>0</v>
      </c>
      <c r="DOV64" s="857">
        <f t="shared" si="90"/>
        <v>0</v>
      </c>
      <c r="DOW64" s="857">
        <f t="shared" si="90"/>
        <v>0</v>
      </c>
      <c r="DOX64" s="857">
        <f t="shared" si="90"/>
        <v>0</v>
      </c>
      <c r="DOY64" s="857">
        <f t="shared" si="90"/>
        <v>0</v>
      </c>
      <c r="DOZ64" s="857">
        <f t="shared" si="90"/>
        <v>0</v>
      </c>
      <c r="DPA64" s="857">
        <f t="shared" si="90"/>
        <v>0</v>
      </c>
      <c r="DPB64" s="857">
        <f t="shared" si="90"/>
        <v>0</v>
      </c>
      <c r="DPC64" s="857">
        <f t="shared" si="90"/>
        <v>0</v>
      </c>
      <c r="DPD64" s="857">
        <f t="shared" si="90"/>
        <v>0</v>
      </c>
      <c r="DPE64" s="857">
        <f t="shared" si="90"/>
        <v>0</v>
      </c>
      <c r="DPF64" s="857">
        <f t="shared" si="90"/>
        <v>0</v>
      </c>
      <c r="DPG64" s="857">
        <f t="shared" si="90"/>
        <v>0</v>
      </c>
      <c r="DPH64" s="857">
        <f t="shared" si="90"/>
        <v>0</v>
      </c>
      <c r="DPI64" s="857">
        <f t="shared" si="90"/>
        <v>0</v>
      </c>
      <c r="DPJ64" s="857">
        <f t="shared" si="90"/>
        <v>0</v>
      </c>
      <c r="DPK64" s="857">
        <f t="shared" si="90"/>
        <v>0</v>
      </c>
      <c r="DPL64" s="857">
        <f t="shared" si="90"/>
        <v>0</v>
      </c>
      <c r="DPM64" s="857">
        <f t="shared" si="90"/>
        <v>0</v>
      </c>
      <c r="DPN64" s="857">
        <f t="shared" si="90"/>
        <v>0</v>
      </c>
      <c r="DPO64" s="857">
        <f t="shared" si="90"/>
        <v>0</v>
      </c>
      <c r="DPP64" s="857">
        <f t="shared" si="90"/>
        <v>0</v>
      </c>
      <c r="DPQ64" s="857">
        <f t="shared" si="90"/>
        <v>0</v>
      </c>
      <c r="DPR64" s="857">
        <f t="shared" si="90"/>
        <v>0</v>
      </c>
      <c r="DPS64" s="857">
        <f t="shared" si="90"/>
        <v>0</v>
      </c>
      <c r="DPT64" s="857">
        <f t="shared" si="90"/>
        <v>0</v>
      </c>
      <c r="DPU64" s="857">
        <f t="shared" si="90"/>
        <v>0</v>
      </c>
      <c r="DPV64" s="857">
        <f t="shared" ref="DPV64:DSG64" si="91">(DPV57-DPV59)*$C$64</f>
        <v>0</v>
      </c>
      <c r="DPW64" s="857">
        <f t="shared" si="91"/>
        <v>0</v>
      </c>
      <c r="DPX64" s="857">
        <f t="shared" si="91"/>
        <v>0</v>
      </c>
      <c r="DPY64" s="857">
        <f t="shared" si="91"/>
        <v>0</v>
      </c>
      <c r="DPZ64" s="857">
        <f t="shared" si="91"/>
        <v>0</v>
      </c>
      <c r="DQA64" s="857">
        <f t="shared" si="91"/>
        <v>0</v>
      </c>
      <c r="DQB64" s="857">
        <f t="shared" si="91"/>
        <v>0</v>
      </c>
      <c r="DQC64" s="857">
        <f t="shared" si="91"/>
        <v>0</v>
      </c>
      <c r="DQD64" s="857">
        <f t="shared" si="91"/>
        <v>0</v>
      </c>
      <c r="DQE64" s="857">
        <f t="shared" si="91"/>
        <v>0</v>
      </c>
      <c r="DQF64" s="857">
        <f t="shared" si="91"/>
        <v>0</v>
      </c>
      <c r="DQG64" s="857">
        <f t="shared" si="91"/>
        <v>0</v>
      </c>
      <c r="DQH64" s="857">
        <f t="shared" si="91"/>
        <v>0</v>
      </c>
      <c r="DQI64" s="857">
        <f t="shared" si="91"/>
        <v>0</v>
      </c>
      <c r="DQJ64" s="857">
        <f t="shared" si="91"/>
        <v>0</v>
      </c>
      <c r="DQK64" s="857">
        <f t="shared" si="91"/>
        <v>0</v>
      </c>
      <c r="DQL64" s="857">
        <f t="shared" si="91"/>
        <v>0</v>
      </c>
      <c r="DQM64" s="857">
        <f t="shared" si="91"/>
        <v>0</v>
      </c>
      <c r="DQN64" s="857">
        <f t="shared" si="91"/>
        <v>0</v>
      </c>
      <c r="DQO64" s="857">
        <f t="shared" si="91"/>
        <v>0</v>
      </c>
      <c r="DQP64" s="857">
        <f t="shared" si="91"/>
        <v>0</v>
      </c>
      <c r="DQQ64" s="857">
        <f t="shared" si="91"/>
        <v>0</v>
      </c>
      <c r="DQR64" s="857">
        <f t="shared" si="91"/>
        <v>0</v>
      </c>
      <c r="DQS64" s="857">
        <f t="shared" si="91"/>
        <v>0</v>
      </c>
      <c r="DQT64" s="857">
        <f t="shared" si="91"/>
        <v>0</v>
      </c>
      <c r="DQU64" s="857">
        <f t="shared" si="91"/>
        <v>0</v>
      </c>
      <c r="DQV64" s="857">
        <f t="shared" si="91"/>
        <v>0</v>
      </c>
      <c r="DQW64" s="857">
        <f t="shared" si="91"/>
        <v>0</v>
      </c>
      <c r="DQX64" s="857">
        <f t="shared" si="91"/>
        <v>0</v>
      </c>
      <c r="DQY64" s="857">
        <f t="shared" si="91"/>
        <v>0</v>
      </c>
      <c r="DQZ64" s="857">
        <f t="shared" si="91"/>
        <v>0</v>
      </c>
      <c r="DRA64" s="857">
        <f t="shared" si="91"/>
        <v>0</v>
      </c>
      <c r="DRB64" s="857">
        <f t="shared" si="91"/>
        <v>0</v>
      </c>
      <c r="DRC64" s="857">
        <f t="shared" si="91"/>
        <v>0</v>
      </c>
      <c r="DRD64" s="857">
        <f t="shared" si="91"/>
        <v>0</v>
      </c>
      <c r="DRE64" s="857">
        <f t="shared" si="91"/>
        <v>0</v>
      </c>
      <c r="DRF64" s="857">
        <f t="shared" si="91"/>
        <v>0</v>
      </c>
      <c r="DRG64" s="857">
        <f t="shared" si="91"/>
        <v>0</v>
      </c>
      <c r="DRH64" s="857">
        <f t="shared" si="91"/>
        <v>0</v>
      </c>
      <c r="DRI64" s="857">
        <f t="shared" si="91"/>
        <v>0</v>
      </c>
      <c r="DRJ64" s="857">
        <f t="shared" si="91"/>
        <v>0</v>
      </c>
      <c r="DRK64" s="857">
        <f t="shared" si="91"/>
        <v>0</v>
      </c>
      <c r="DRL64" s="857">
        <f t="shared" si="91"/>
        <v>0</v>
      </c>
      <c r="DRM64" s="857">
        <f t="shared" si="91"/>
        <v>0</v>
      </c>
      <c r="DRN64" s="857">
        <f t="shared" si="91"/>
        <v>0</v>
      </c>
      <c r="DRO64" s="857">
        <f t="shared" si="91"/>
        <v>0</v>
      </c>
      <c r="DRP64" s="857">
        <f t="shared" si="91"/>
        <v>0</v>
      </c>
      <c r="DRQ64" s="857">
        <f t="shared" si="91"/>
        <v>0</v>
      </c>
      <c r="DRR64" s="857">
        <f t="shared" si="91"/>
        <v>0</v>
      </c>
      <c r="DRS64" s="857">
        <f t="shared" si="91"/>
        <v>0</v>
      </c>
      <c r="DRT64" s="857">
        <f t="shared" si="91"/>
        <v>0</v>
      </c>
      <c r="DRU64" s="857">
        <f t="shared" si="91"/>
        <v>0</v>
      </c>
      <c r="DRV64" s="857">
        <f t="shared" si="91"/>
        <v>0</v>
      </c>
      <c r="DRW64" s="857">
        <f t="shared" si="91"/>
        <v>0</v>
      </c>
      <c r="DRX64" s="857">
        <f t="shared" si="91"/>
        <v>0</v>
      </c>
      <c r="DRY64" s="857">
        <f t="shared" si="91"/>
        <v>0</v>
      </c>
      <c r="DRZ64" s="857">
        <f t="shared" si="91"/>
        <v>0</v>
      </c>
      <c r="DSA64" s="857">
        <f t="shared" si="91"/>
        <v>0</v>
      </c>
      <c r="DSB64" s="857">
        <f t="shared" si="91"/>
        <v>0</v>
      </c>
      <c r="DSC64" s="857">
        <f t="shared" si="91"/>
        <v>0</v>
      </c>
      <c r="DSD64" s="857">
        <f t="shared" si="91"/>
        <v>0</v>
      </c>
      <c r="DSE64" s="857">
        <f t="shared" si="91"/>
        <v>0</v>
      </c>
      <c r="DSF64" s="857">
        <f t="shared" si="91"/>
        <v>0</v>
      </c>
      <c r="DSG64" s="857">
        <f t="shared" si="91"/>
        <v>0</v>
      </c>
      <c r="DSH64" s="857">
        <f t="shared" ref="DSH64:DUS64" si="92">(DSH57-DSH59)*$C$64</f>
        <v>0</v>
      </c>
      <c r="DSI64" s="857">
        <f t="shared" si="92"/>
        <v>0</v>
      </c>
      <c r="DSJ64" s="857">
        <f t="shared" si="92"/>
        <v>0</v>
      </c>
      <c r="DSK64" s="857">
        <f t="shared" si="92"/>
        <v>0</v>
      </c>
      <c r="DSL64" s="857">
        <f t="shared" si="92"/>
        <v>0</v>
      </c>
      <c r="DSM64" s="857">
        <f t="shared" si="92"/>
        <v>0</v>
      </c>
      <c r="DSN64" s="857">
        <f t="shared" si="92"/>
        <v>0</v>
      </c>
      <c r="DSO64" s="857">
        <f t="shared" si="92"/>
        <v>0</v>
      </c>
      <c r="DSP64" s="857">
        <f t="shared" si="92"/>
        <v>0</v>
      </c>
      <c r="DSQ64" s="857">
        <f t="shared" si="92"/>
        <v>0</v>
      </c>
      <c r="DSR64" s="857">
        <f t="shared" si="92"/>
        <v>0</v>
      </c>
      <c r="DSS64" s="857">
        <f t="shared" si="92"/>
        <v>0</v>
      </c>
      <c r="DST64" s="857">
        <f t="shared" si="92"/>
        <v>0</v>
      </c>
      <c r="DSU64" s="857">
        <f t="shared" si="92"/>
        <v>0</v>
      </c>
      <c r="DSV64" s="857">
        <f t="shared" si="92"/>
        <v>0</v>
      </c>
      <c r="DSW64" s="857">
        <f t="shared" si="92"/>
        <v>0</v>
      </c>
      <c r="DSX64" s="857">
        <f t="shared" si="92"/>
        <v>0</v>
      </c>
      <c r="DSY64" s="857">
        <f t="shared" si="92"/>
        <v>0</v>
      </c>
      <c r="DSZ64" s="857">
        <f t="shared" si="92"/>
        <v>0</v>
      </c>
      <c r="DTA64" s="857">
        <f t="shared" si="92"/>
        <v>0</v>
      </c>
      <c r="DTB64" s="857">
        <f t="shared" si="92"/>
        <v>0</v>
      </c>
      <c r="DTC64" s="857">
        <f t="shared" si="92"/>
        <v>0</v>
      </c>
      <c r="DTD64" s="857">
        <f t="shared" si="92"/>
        <v>0</v>
      </c>
      <c r="DTE64" s="857">
        <f t="shared" si="92"/>
        <v>0</v>
      </c>
      <c r="DTF64" s="857">
        <f t="shared" si="92"/>
        <v>0</v>
      </c>
      <c r="DTG64" s="857">
        <f t="shared" si="92"/>
        <v>0</v>
      </c>
      <c r="DTH64" s="857">
        <f t="shared" si="92"/>
        <v>0</v>
      </c>
      <c r="DTI64" s="857">
        <f t="shared" si="92"/>
        <v>0</v>
      </c>
      <c r="DTJ64" s="857">
        <f t="shared" si="92"/>
        <v>0</v>
      </c>
      <c r="DTK64" s="857">
        <f t="shared" si="92"/>
        <v>0</v>
      </c>
      <c r="DTL64" s="857">
        <f t="shared" si="92"/>
        <v>0</v>
      </c>
      <c r="DTM64" s="857">
        <f t="shared" si="92"/>
        <v>0</v>
      </c>
      <c r="DTN64" s="857">
        <f t="shared" si="92"/>
        <v>0</v>
      </c>
      <c r="DTO64" s="857">
        <f t="shared" si="92"/>
        <v>0</v>
      </c>
      <c r="DTP64" s="857">
        <f t="shared" si="92"/>
        <v>0</v>
      </c>
      <c r="DTQ64" s="857">
        <f t="shared" si="92"/>
        <v>0</v>
      </c>
      <c r="DTR64" s="857">
        <f t="shared" si="92"/>
        <v>0</v>
      </c>
      <c r="DTS64" s="857">
        <f t="shared" si="92"/>
        <v>0</v>
      </c>
      <c r="DTT64" s="857">
        <f t="shared" si="92"/>
        <v>0</v>
      </c>
      <c r="DTU64" s="857">
        <f t="shared" si="92"/>
        <v>0</v>
      </c>
      <c r="DTV64" s="857">
        <f t="shared" si="92"/>
        <v>0</v>
      </c>
      <c r="DTW64" s="857">
        <f t="shared" si="92"/>
        <v>0</v>
      </c>
      <c r="DTX64" s="857">
        <f t="shared" si="92"/>
        <v>0</v>
      </c>
      <c r="DTY64" s="857">
        <f t="shared" si="92"/>
        <v>0</v>
      </c>
      <c r="DTZ64" s="857">
        <f t="shared" si="92"/>
        <v>0</v>
      </c>
      <c r="DUA64" s="857">
        <f t="shared" si="92"/>
        <v>0</v>
      </c>
      <c r="DUB64" s="857">
        <f t="shared" si="92"/>
        <v>0</v>
      </c>
      <c r="DUC64" s="857">
        <f t="shared" si="92"/>
        <v>0</v>
      </c>
      <c r="DUD64" s="857">
        <f t="shared" si="92"/>
        <v>0</v>
      </c>
      <c r="DUE64" s="857">
        <f t="shared" si="92"/>
        <v>0</v>
      </c>
      <c r="DUF64" s="857">
        <f t="shared" si="92"/>
        <v>0</v>
      </c>
      <c r="DUG64" s="857">
        <f t="shared" si="92"/>
        <v>0</v>
      </c>
      <c r="DUH64" s="857">
        <f t="shared" si="92"/>
        <v>0</v>
      </c>
      <c r="DUI64" s="857">
        <f t="shared" si="92"/>
        <v>0</v>
      </c>
      <c r="DUJ64" s="857">
        <f t="shared" si="92"/>
        <v>0</v>
      </c>
      <c r="DUK64" s="857">
        <f t="shared" si="92"/>
        <v>0</v>
      </c>
      <c r="DUL64" s="857">
        <f t="shared" si="92"/>
        <v>0</v>
      </c>
      <c r="DUM64" s="857">
        <f t="shared" si="92"/>
        <v>0</v>
      </c>
      <c r="DUN64" s="857">
        <f t="shared" si="92"/>
        <v>0</v>
      </c>
      <c r="DUO64" s="857">
        <f t="shared" si="92"/>
        <v>0</v>
      </c>
      <c r="DUP64" s="857">
        <f t="shared" si="92"/>
        <v>0</v>
      </c>
      <c r="DUQ64" s="857">
        <f t="shared" si="92"/>
        <v>0</v>
      </c>
      <c r="DUR64" s="857">
        <f t="shared" si="92"/>
        <v>0</v>
      </c>
      <c r="DUS64" s="857">
        <f t="shared" si="92"/>
        <v>0</v>
      </c>
      <c r="DUT64" s="857">
        <f t="shared" ref="DUT64:DXE64" si="93">(DUT57-DUT59)*$C$64</f>
        <v>0</v>
      </c>
      <c r="DUU64" s="857">
        <f t="shared" si="93"/>
        <v>0</v>
      </c>
      <c r="DUV64" s="857">
        <f t="shared" si="93"/>
        <v>0</v>
      </c>
      <c r="DUW64" s="857">
        <f t="shared" si="93"/>
        <v>0</v>
      </c>
      <c r="DUX64" s="857">
        <f t="shared" si="93"/>
        <v>0</v>
      </c>
      <c r="DUY64" s="857">
        <f t="shared" si="93"/>
        <v>0</v>
      </c>
      <c r="DUZ64" s="857">
        <f t="shared" si="93"/>
        <v>0</v>
      </c>
      <c r="DVA64" s="857">
        <f t="shared" si="93"/>
        <v>0</v>
      </c>
      <c r="DVB64" s="857">
        <f t="shared" si="93"/>
        <v>0</v>
      </c>
      <c r="DVC64" s="857">
        <f t="shared" si="93"/>
        <v>0</v>
      </c>
      <c r="DVD64" s="857">
        <f t="shared" si="93"/>
        <v>0</v>
      </c>
      <c r="DVE64" s="857">
        <f t="shared" si="93"/>
        <v>0</v>
      </c>
      <c r="DVF64" s="857">
        <f t="shared" si="93"/>
        <v>0</v>
      </c>
      <c r="DVG64" s="857">
        <f t="shared" si="93"/>
        <v>0</v>
      </c>
      <c r="DVH64" s="857">
        <f t="shared" si="93"/>
        <v>0</v>
      </c>
      <c r="DVI64" s="857">
        <f t="shared" si="93"/>
        <v>0</v>
      </c>
      <c r="DVJ64" s="857">
        <f t="shared" si="93"/>
        <v>0</v>
      </c>
      <c r="DVK64" s="857">
        <f t="shared" si="93"/>
        <v>0</v>
      </c>
      <c r="DVL64" s="857">
        <f t="shared" si="93"/>
        <v>0</v>
      </c>
      <c r="DVM64" s="857">
        <f t="shared" si="93"/>
        <v>0</v>
      </c>
      <c r="DVN64" s="857">
        <f t="shared" si="93"/>
        <v>0</v>
      </c>
      <c r="DVO64" s="857">
        <f t="shared" si="93"/>
        <v>0</v>
      </c>
      <c r="DVP64" s="857">
        <f t="shared" si="93"/>
        <v>0</v>
      </c>
      <c r="DVQ64" s="857">
        <f t="shared" si="93"/>
        <v>0</v>
      </c>
      <c r="DVR64" s="857">
        <f t="shared" si="93"/>
        <v>0</v>
      </c>
      <c r="DVS64" s="857">
        <f t="shared" si="93"/>
        <v>0</v>
      </c>
      <c r="DVT64" s="857">
        <f t="shared" si="93"/>
        <v>0</v>
      </c>
      <c r="DVU64" s="857">
        <f t="shared" si="93"/>
        <v>0</v>
      </c>
      <c r="DVV64" s="857">
        <f t="shared" si="93"/>
        <v>0</v>
      </c>
      <c r="DVW64" s="857">
        <f t="shared" si="93"/>
        <v>0</v>
      </c>
      <c r="DVX64" s="857">
        <f t="shared" si="93"/>
        <v>0</v>
      </c>
      <c r="DVY64" s="857">
        <f t="shared" si="93"/>
        <v>0</v>
      </c>
      <c r="DVZ64" s="857">
        <f t="shared" si="93"/>
        <v>0</v>
      </c>
      <c r="DWA64" s="857">
        <f t="shared" si="93"/>
        <v>0</v>
      </c>
      <c r="DWB64" s="857">
        <f t="shared" si="93"/>
        <v>0</v>
      </c>
      <c r="DWC64" s="857">
        <f t="shared" si="93"/>
        <v>0</v>
      </c>
      <c r="DWD64" s="857">
        <f t="shared" si="93"/>
        <v>0</v>
      </c>
      <c r="DWE64" s="857">
        <f t="shared" si="93"/>
        <v>0</v>
      </c>
      <c r="DWF64" s="857">
        <f t="shared" si="93"/>
        <v>0</v>
      </c>
      <c r="DWG64" s="857">
        <f t="shared" si="93"/>
        <v>0</v>
      </c>
      <c r="DWH64" s="857">
        <f t="shared" si="93"/>
        <v>0</v>
      </c>
      <c r="DWI64" s="857">
        <f t="shared" si="93"/>
        <v>0</v>
      </c>
      <c r="DWJ64" s="857">
        <f t="shared" si="93"/>
        <v>0</v>
      </c>
      <c r="DWK64" s="857">
        <f t="shared" si="93"/>
        <v>0</v>
      </c>
      <c r="DWL64" s="857">
        <f t="shared" si="93"/>
        <v>0</v>
      </c>
      <c r="DWM64" s="857">
        <f t="shared" si="93"/>
        <v>0</v>
      </c>
      <c r="DWN64" s="857">
        <f t="shared" si="93"/>
        <v>0</v>
      </c>
      <c r="DWO64" s="857">
        <f t="shared" si="93"/>
        <v>0</v>
      </c>
      <c r="DWP64" s="857">
        <f t="shared" si="93"/>
        <v>0</v>
      </c>
      <c r="DWQ64" s="857">
        <f t="shared" si="93"/>
        <v>0</v>
      </c>
      <c r="DWR64" s="857">
        <f t="shared" si="93"/>
        <v>0</v>
      </c>
      <c r="DWS64" s="857">
        <f t="shared" si="93"/>
        <v>0</v>
      </c>
      <c r="DWT64" s="857">
        <f t="shared" si="93"/>
        <v>0</v>
      </c>
      <c r="DWU64" s="857">
        <f t="shared" si="93"/>
        <v>0</v>
      </c>
      <c r="DWV64" s="857">
        <f t="shared" si="93"/>
        <v>0</v>
      </c>
      <c r="DWW64" s="857">
        <f t="shared" si="93"/>
        <v>0</v>
      </c>
      <c r="DWX64" s="857">
        <f t="shared" si="93"/>
        <v>0</v>
      </c>
      <c r="DWY64" s="857">
        <f t="shared" si="93"/>
        <v>0</v>
      </c>
      <c r="DWZ64" s="857">
        <f t="shared" si="93"/>
        <v>0</v>
      </c>
      <c r="DXA64" s="857">
        <f t="shared" si="93"/>
        <v>0</v>
      </c>
      <c r="DXB64" s="857">
        <f t="shared" si="93"/>
        <v>0</v>
      </c>
      <c r="DXC64" s="857">
        <f t="shared" si="93"/>
        <v>0</v>
      </c>
      <c r="DXD64" s="857">
        <f t="shared" si="93"/>
        <v>0</v>
      </c>
      <c r="DXE64" s="857">
        <f t="shared" si="93"/>
        <v>0</v>
      </c>
      <c r="DXF64" s="857">
        <f t="shared" ref="DXF64:DZQ64" si="94">(DXF57-DXF59)*$C$64</f>
        <v>0</v>
      </c>
      <c r="DXG64" s="857">
        <f t="shared" si="94"/>
        <v>0</v>
      </c>
      <c r="DXH64" s="857">
        <f t="shared" si="94"/>
        <v>0</v>
      </c>
      <c r="DXI64" s="857">
        <f t="shared" si="94"/>
        <v>0</v>
      </c>
      <c r="DXJ64" s="857">
        <f t="shared" si="94"/>
        <v>0</v>
      </c>
      <c r="DXK64" s="857">
        <f t="shared" si="94"/>
        <v>0</v>
      </c>
      <c r="DXL64" s="857">
        <f t="shared" si="94"/>
        <v>0</v>
      </c>
      <c r="DXM64" s="857">
        <f t="shared" si="94"/>
        <v>0</v>
      </c>
      <c r="DXN64" s="857">
        <f t="shared" si="94"/>
        <v>0</v>
      </c>
      <c r="DXO64" s="857">
        <f t="shared" si="94"/>
        <v>0</v>
      </c>
      <c r="DXP64" s="857">
        <f t="shared" si="94"/>
        <v>0</v>
      </c>
      <c r="DXQ64" s="857">
        <f t="shared" si="94"/>
        <v>0</v>
      </c>
      <c r="DXR64" s="857">
        <f t="shared" si="94"/>
        <v>0</v>
      </c>
      <c r="DXS64" s="857">
        <f t="shared" si="94"/>
        <v>0</v>
      </c>
      <c r="DXT64" s="857">
        <f t="shared" si="94"/>
        <v>0</v>
      </c>
      <c r="DXU64" s="857">
        <f t="shared" si="94"/>
        <v>0</v>
      </c>
      <c r="DXV64" s="857">
        <f t="shared" si="94"/>
        <v>0</v>
      </c>
      <c r="DXW64" s="857">
        <f t="shared" si="94"/>
        <v>0</v>
      </c>
      <c r="DXX64" s="857">
        <f t="shared" si="94"/>
        <v>0</v>
      </c>
      <c r="DXY64" s="857">
        <f t="shared" si="94"/>
        <v>0</v>
      </c>
      <c r="DXZ64" s="857">
        <f t="shared" si="94"/>
        <v>0</v>
      </c>
      <c r="DYA64" s="857">
        <f t="shared" si="94"/>
        <v>0</v>
      </c>
      <c r="DYB64" s="857">
        <f t="shared" si="94"/>
        <v>0</v>
      </c>
      <c r="DYC64" s="857">
        <f t="shared" si="94"/>
        <v>0</v>
      </c>
      <c r="DYD64" s="857">
        <f t="shared" si="94"/>
        <v>0</v>
      </c>
      <c r="DYE64" s="857">
        <f t="shared" si="94"/>
        <v>0</v>
      </c>
      <c r="DYF64" s="857">
        <f t="shared" si="94"/>
        <v>0</v>
      </c>
      <c r="DYG64" s="857">
        <f t="shared" si="94"/>
        <v>0</v>
      </c>
      <c r="DYH64" s="857">
        <f t="shared" si="94"/>
        <v>0</v>
      </c>
      <c r="DYI64" s="857">
        <f t="shared" si="94"/>
        <v>0</v>
      </c>
      <c r="DYJ64" s="857">
        <f t="shared" si="94"/>
        <v>0</v>
      </c>
      <c r="DYK64" s="857">
        <f t="shared" si="94"/>
        <v>0</v>
      </c>
      <c r="DYL64" s="857">
        <f t="shared" si="94"/>
        <v>0</v>
      </c>
      <c r="DYM64" s="857">
        <f t="shared" si="94"/>
        <v>0</v>
      </c>
      <c r="DYN64" s="857">
        <f t="shared" si="94"/>
        <v>0</v>
      </c>
      <c r="DYO64" s="857">
        <f t="shared" si="94"/>
        <v>0</v>
      </c>
      <c r="DYP64" s="857">
        <f t="shared" si="94"/>
        <v>0</v>
      </c>
      <c r="DYQ64" s="857">
        <f t="shared" si="94"/>
        <v>0</v>
      </c>
      <c r="DYR64" s="857">
        <f t="shared" si="94"/>
        <v>0</v>
      </c>
      <c r="DYS64" s="857">
        <f t="shared" si="94"/>
        <v>0</v>
      </c>
      <c r="DYT64" s="857">
        <f t="shared" si="94"/>
        <v>0</v>
      </c>
      <c r="DYU64" s="857">
        <f t="shared" si="94"/>
        <v>0</v>
      </c>
      <c r="DYV64" s="857">
        <f t="shared" si="94"/>
        <v>0</v>
      </c>
      <c r="DYW64" s="857">
        <f t="shared" si="94"/>
        <v>0</v>
      </c>
      <c r="DYX64" s="857">
        <f t="shared" si="94"/>
        <v>0</v>
      </c>
      <c r="DYY64" s="857">
        <f t="shared" si="94"/>
        <v>0</v>
      </c>
      <c r="DYZ64" s="857">
        <f t="shared" si="94"/>
        <v>0</v>
      </c>
      <c r="DZA64" s="857">
        <f t="shared" si="94"/>
        <v>0</v>
      </c>
      <c r="DZB64" s="857">
        <f t="shared" si="94"/>
        <v>0</v>
      </c>
      <c r="DZC64" s="857">
        <f t="shared" si="94"/>
        <v>0</v>
      </c>
      <c r="DZD64" s="857">
        <f t="shared" si="94"/>
        <v>0</v>
      </c>
      <c r="DZE64" s="857">
        <f t="shared" si="94"/>
        <v>0</v>
      </c>
      <c r="DZF64" s="857">
        <f t="shared" si="94"/>
        <v>0</v>
      </c>
      <c r="DZG64" s="857">
        <f t="shared" si="94"/>
        <v>0</v>
      </c>
      <c r="DZH64" s="857">
        <f t="shared" si="94"/>
        <v>0</v>
      </c>
      <c r="DZI64" s="857">
        <f t="shared" si="94"/>
        <v>0</v>
      </c>
      <c r="DZJ64" s="857">
        <f t="shared" si="94"/>
        <v>0</v>
      </c>
      <c r="DZK64" s="857">
        <f t="shared" si="94"/>
        <v>0</v>
      </c>
      <c r="DZL64" s="857">
        <f t="shared" si="94"/>
        <v>0</v>
      </c>
      <c r="DZM64" s="857">
        <f t="shared" si="94"/>
        <v>0</v>
      </c>
      <c r="DZN64" s="857">
        <f t="shared" si="94"/>
        <v>0</v>
      </c>
      <c r="DZO64" s="857">
        <f t="shared" si="94"/>
        <v>0</v>
      </c>
      <c r="DZP64" s="857">
        <f t="shared" si="94"/>
        <v>0</v>
      </c>
      <c r="DZQ64" s="857">
        <f t="shared" si="94"/>
        <v>0</v>
      </c>
      <c r="DZR64" s="857">
        <f t="shared" ref="DZR64:ECC64" si="95">(DZR57-DZR59)*$C$64</f>
        <v>0</v>
      </c>
      <c r="DZS64" s="857">
        <f t="shared" si="95"/>
        <v>0</v>
      </c>
      <c r="DZT64" s="857">
        <f t="shared" si="95"/>
        <v>0</v>
      </c>
      <c r="DZU64" s="857">
        <f t="shared" si="95"/>
        <v>0</v>
      </c>
      <c r="DZV64" s="857">
        <f t="shared" si="95"/>
        <v>0</v>
      </c>
      <c r="DZW64" s="857">
        <f t="shared" si="95"/>
        <v>0</v>
      </c>
      <c r="DZX64" s="857">
        <f t="shared" si="95"/>
        <v>0</v>
      </c>
      <c r="DZY64" s="857">
        <f t="shared" si="95"/>
        <v>0</v>
      </c>
      <c r="DZZ64" s="857">
        <f t="shared" si="95"/>
        <v>0</v>
      </c>
      <c r="EAA64" s="857">
        <f t="shared" si="95"/>
        <v>0</v>
      </c>
      <c r="EAB64" s="857">
        <f t="shared" si="95"/>
        <v>0</v>
      </c>
      <c r="EAC64" s="857">
        <f t="shared" si="95"/>
        <v>0</v>
      </c>
      <c r="EAD64" s="857">
        <f t="shared" si="95"/>
        <v>0</v>
      </c>
      <c r="EAE64" s="857">
        <f t="shared" si="95"/>
        <v>0</v>
      </c>
      <c r="EAF64" s="857">
        <f t="shared" si="95"/>
        <v>0</v>
      </c>
      <c r="EAG64" s="857">
        <f t="shared" si="95"/>
        <v>0</v>
      </c>
      <c r="EAH64" s="857">
        <f t="shared" si="95"/>
        <v>0</v>
      </c>
      <c r="EAI64" s="857">
        <f t="shared" si="95"/>
        <v>0</v>
      </c>
      <c r="EAJ64" s="857">
        <f t="shared" si="95"/>
        <v>0</v>
      </c>
      <c r="EAK64" s="857">
        <f t="shared" si="95"/>
        <v>0</v>
      </c>
      <c r="EAL64" s="857">
        <f t="shared" si="95"/>
        <v>0</v>
      </c>
      <c r="EAM64" s="857">
        <f t="shared" si="95"/>
        <v>0</v>
      </c>
      <c r="EAN64" s="857">
        <f t="shared" si="95"/>
        <v>0</v>
      </c>
      <c r="EAO64" s="857">
        <f t="shared" si="95"/>
        <v>0</v>
      </c>
      <c r="EAP64" s="857">
        <f t="shared" si="95"/>
        <v>0</v>
      </c>
      <c r="EAQ64" s="857">
        <f t="shared" si="95"/>
        <v>0</v>
      </c>
      <c r="EAR64" s="857">
        <f t="shared" si="95"/>
        <v>0</v>
      </c>
      <c r="EAS64" s="857">
        <f t="shared" si="95"/>
        <v>0</v>
      </c>
      <c r="EAT64" s="857">
        <f t="shared" si="95"/>
        <v>0</v>
      </c>
      <c r="EAU64" s="857">
        <f t="shared" si="95"/>
        <v>0</v>
      </c>
      <c r="EAV64" s="857">
        <f t="shared" si="95"/>
        <v>0</v>
      </c>
      <c r="EAW64" s="857">
        <f t="shared" si="95"/>
        <v>0</v>
      </c>
      <c r="EAX64" s="857">
        <f t="shared" si="95"/>
        <v>0</v>
      </c>
      <c r="EAY64" s="857">
        <f t="shared" si="95"/>
        <v>0</v>
      </c>
      <c r="EAZ64" s="857">
        <f t="shared" si="95"/>
        <v>0</v>
      </c>
      <c r="EBA64" s="857">
        <f t="shared" si="95"/>
        <v>0</v>
      </c>
      <c r="EBB64" s="857">
        <f t="shared" si="95"/>
        <v>0</v>
      </c>
      <c r="EBC64" s="857">
        <f t="shared" si="95"/>
        <v>0</v>
      </c>
      <c r="EBD64" s="857">
        <f t="shared" si="95"/>
        <v>0</v>
      </c>
      <c r="EBE64" s="857">
        <f t="shared" si="95"/>
        <v>0</v>
      </c>
      <c r="EBF64" s="857">
        <f t="shared" si="95"/>
        <v>0</v>
      </c>
      <c r="EBG64" s="857">
        <f t="shared" si="95"/>
        <v>0</v>
      </c>
      <c r="EBH64" s="857">
        <f t="shared" si="95"/>
        <v>0</v>
      </c>
      <c r="EBI64" s="857">
        <f t="shared" si="95"/>
        <v>0</v>
      </c>
      <c r="EBJ64" s="857">
        <f t="shared" si="95"/>
        <v>0</v>
      </c>
      <c r="EBK64" s="857">
        <f t="shared" si="95"/>
        <v>0</v>
      </c>
      <c r="EBL64" s="857">
        <f t="shared" si="95"/>
        <v>0</v>
      </c>
      <c r="EBM64" s="857">
        <f t="shared" si="95"/>
        <v>0</v>
      </c>
      <c r="EBN64" s="857">
        <f t="shared" si="95"/>
        <v>0</v>
      </c>
      <c r="EBO64" s="857">
        <f t="shared" si="95"/>
        <v>0</v>
      </c>
      <c r="EBP64" s="857">
        <f t="shared" si="95"/>
        <v>0</v>
      </c>
      <c r="EBQ64" s="857">
        <f t="shared" si="95"/>
        <v>0</v>
      </c>
      <c r="EBR64" s="857">
        <f t="shared" si="95"/>
        <v>0</v>
      </c>
      <c r="EBS64" s="857">
        <f t="shared" si="95"/>
        <v>0</v>
      </c>
      <c r="EBT64" s="857">
        <f t="shared" si="95"/>
        <v>0</v>
      </c>
      <c r="EBU64" s="857">
        <f t="shared" si="95"/>
        <v>0</v>
      </c>
      <c r="EBV64" s="857">
        <f t="shared" si="95"/>
        <v>0</v>
      </c>
      <c r="EBW64" s="857">
        <f t="shared" si="95"/>
        <v>0</v>
      </c>
      <c r="EBX64" s="857">
        <f t="shared" si="95"/>
        <v>0</v>
      </c>
      <c r="EBY64" s="857">
        <f t="shared" si="95"/>
        <v>0</v>
      </c>
      <c r="EBZ64" s="857">
        <f t="shared" si="95"/>
        <v>0</v>
      </c>
      <c r="ECA64" s="857">
        <f t="shared" si="95"/>
        <v>0</v>
      </c>
      <c r="ECB64" s="857">
        <f t="shared" si="95"/>
        <v>0</v>
      </c>
      <c r="ECC64" s="857">
        <f t="shared" si="95"/>
        <v>0</v>
      </c>
      <c r="ECD64" s="857">
        <f t="shared" ref="ECD64:EEO64" si="96">(ECD57-ECD59)*$C$64</f>
        <v>0</v>
      </c>
      <c r="ECE64" s="857">
        <f t="shared" si="96"/>
        <v>0</v>
      </c>
      <c r="ECF64" s="857">
        <f t="shared" si="96"/>
        <v>0</v>
      </c>
      <c r="ECG64" s="857">
        <f t="shared" si="96"/>
        <v>0</v>
      </c>
      <c r="ECH64" s="857">
        <f t="shared" si="96"/>
        <v>0</v>
      </c>
      <c r="ECI64" s="857">
        <f t="shared" si="96"/>
        <v>0</v>
      </c>
      <c r="ECJ64" s="857">
        <f t="shared" si="96"/>
        <v>0</v>
      </c>
      <c r="ECK64" s="857">
        <f t="shared" si="96"/>
        <v>0</v>
      </c>
      <c r="ECL64" s="857">
        <f t="shared" si="96"/>
        <v>0</v>
      </c>
      <c r="ECM64" s="857">
        <f t="shared" si="96"/>
        <v>0</v>
      </c>
      <c r="ECN64" s="857">
        <f t="shared" si="96"/>
        <v>0</v>
      </c>
      <c r="ECO64" s="857">
        <f t="shared" si="96"/>
        <v>0</v>
      </c>
      <c r="ECP64" s="857">
        <f t="shared" si="96"/>
        <v>0</v>
      </c>
      <c r="ECQ64" s="857">
        <f t="shared" si="96"/>
        <v>0</v>
      </c>
      <c r="ECR64" s="857">
        <f t="shared" si="96"/>
        <v>0</v>
      </c>
      <c r="ECS64" s="857">
        <f t="shared" si="96"/>
        <v>0</v>
      </c>
      <c r="ECT64" s="857">
        <f t="shared" si="96"/>
        <v>0</v>
      </c>
      <c r="ECU64" s="857">
        <f t="shared" si="96"/>
        <v>0</v>
      </c>
      <c r="ECV64" s="857">
        <f t="shared" si="96"/>
        <v>0</v>
      </c>
      <c r="ECW64" s="857">
        <f t="shared" si="96"/>
        <v>0</v>
      </c>
      <c r="ECX64" s="857">
        <f t="shared" si="96"/>
        <v>0</v>
      </c>
      <c r="ECY64" s="857">
        <f t="shared" si="96"/>
        <v>0</v>
      </c>
      <c r="ECZ64" s="857">
        <f t="shared" si="96"/>
        <v>0</v>
      </c>
      <c r="EDA64" s="857">
        <f t="shared" si="96"/>
        <v>0</v>
      </c>
      <c r="EDB64" s="857">
        <f t="shared" si="96"/>
        <v>0</v>
      </c>
      <c r="EDC64" s="857">
        <f t="shared" si="96"/>
        <v>0</v>
      </c>
      <c r="EDD64" s="857">
        <f t="shared" si="96"/>
        <v>0</v>
      </c>
      <c r="EDE64" s="857">
        <f t="shared" si="96"/>
        <v>0</v>
      </c>
      <c r="EDF64" s="857">
        <f t="shared" si="96"/>
        <v>0</v>
      </c>
      <c r="EDG64" s="857">
        <f t="shared" si="96"/>
        <v>0</v>
      </c>
      <c r="EDH64" s="857">
        <f t="shared" si="96"/>
        <v>0</v>
      </c>
      <c r="EDI64" s="857">
        <f t="shared" si="96"/>
        <v>0</v>
      </c>
      <c r="EDJ64" s="857">
        <f t="shared" si="96"/>
        <v>0</v>
      </c>
      <c r="EDK64" s="857">
        <f t="shared" si="96"/>
        <v>0</v>
      </c>
      <c r="EDL64" s="857">
        <f t="shared" si="96"/>
        <v>0</v>
      </c>
      <c r="EDM64" s="857">
        <f t="shared" si="96"/>
        <v>0</v>
      </c>
      <c r="EDN64" s="857">
        <f t="shared" si="96"/>
        <v>0</v>
      </c>
      <c r="EDO64" s="857">
        <f t="shared" si="96"/>
        <v>0</v>
      </c>
      <c r="EDP64" s="857">
        <f t="shared" si="96"/>
        <v>0</v>
      </c>
      <c r="EDQ64" s="857">
        <f t="shared" si="96"/>
        <v>0</v>
      </c>
      <c r="EDR64" s="857">
        <f t="shared" si="96"/>
        <v>0</v>
      </c>
      <c r="EDS64" s="857">
        <f t="shared" si="96"/>
        <v>0</v>
      </c>
      <c r="EDT64" s="857">
        <f t="shared" si="96"/>
        <v>0</v>
      </c>
      <c r="EDU64" s="857">
        <f t="shared" si="96"/>
        <v>0</v>
      </c>
      <c r="EDV64" s="857">
        <f t="shared" si="96"/>
        <v>0</v>
      </c>
      <c r="EDW64" s="857">
        <f t="shared" si="96"/>
        <v>0</v>
      </c>
      <c r="EDX64" s="857">
        <f t="shared" si="96"/>
        <v>0</v>
      </c>
      <c r="EDY64" s="857">
        <f t="shared" si="96"/>
        <v>0</v>
      </c>
      <c r="EDZ64" s="857">
        <f t="shared" si="96"/>
        <v>0</v>
      </c>
      <c r="EEA64" s="857">
        <f t="shared" si="96"/>
        <v>0</v>
      </c>
      <c r="EEB64" s="857">
        <f t="shared" si="96"/>
        <v>0</v>
      </c>
      <c r="EEC64" s="857">
        <f t="shared" si="96"/>
        <v>0</v>
      </c>
      <c r="EED64" s="857">
        <f t="shared" si="96"/>
        <v>0</v>
      </c>
      <c r="EEE64" s="857">
        <f t="shared" si="96"/>
        <v>0</v>
      </c>
      <c r="EEF64" s="857">
        <f t="shared" si="96"/>
        <v>0</v>
      </c>
      <c r="EEG64" s="857">
        <f t="shared" si="96"/>
        <v>0</v>
      </c>
      <c r="EEH64" s="857">
        <f t="shared" si="96"/>
        <v>0</v>
      </c>
      <c r="EEI64" s="857">
        <f t="shared" si="96"/>
        <v>0</v>
      </c>
      <c r="EEJ64" s="857">
        <f t="shared" si="96"/>
        <v>0</v>
      </c>
      <c r="EEK64" s="857">
        <f t="shared" si="96"/>
        <v>0</v>
      </c>
      <c r="EEL64" s="857">
        <f t="shared" si="96"/>
        <v>0</v>
      </c>
      <c r="EEM64" s="857">
        <f t="shared" si="96"/>
        <v>0</v>
      </c>
      <c r="EEN64" s="857">
        <f t="shared" si="96"/>
        <v>0</v>
      </c>
      <c r="EEO64" s="857">
        <f t="shared" si="96"/>
        <v>0</v>
      </c>
      <c r="EEP64" s="857">
        <f t="shared" ref="EEP64:EHA64" si="97">(EEP57-EEP59)*$C$64</f>
        <v>0</v>
      </c>
      <c r="EEQ64" s="857">
        <f t="shared" si="97"/>
        <v>0</v>
      </c>
      <c r="EER64" s="857">
        <f t="shared" si="97"/>
        <v>0</v>
      </c>
      <c r="EES64" s="857">
        <f t="shared" si="97"/>
        <v>0</v>
      </c>
      <c r="EET64" s="857">
        <f t="shared" si="97"/>
        <v>0</v>
      </c>
      <c r="EEU64" s="857">
        <f t="shared" si="97"/>
        <v>0</v>
      </c>
      <c r="EEV64" s="857">
        <f t="shared" si="97"/>
        <v>0</v>
      </c>
      <c r="EEW64" s="857">
        <f t="shared" si="97"/>
        <v>0</v>
      </c>
      <c r="EEX64" s="857">
        <f t="shared" si="97"/>
        <v>0</v>
      </c>
      <c r="EEY64" s="857">
        <f t="shared" si="97"/>
        <v>0</v>
      </c>
      <c r="EEZ64" s="857">
        <f t="shared" si="97"/>
        <v>0</v>
      </c>
      <c r="EFA64" s="857">
        <f t="shared" si="97"/>
        <v>0</v>
      </c>
      <c r="EFB64" s="857">
        <f t="shared" si="97"/>
        <v>0</v>
      </c>
      <c r="EFC64" s="857">
        <f t="shared" si="97"/>
        <v>0</v>
      </c>
      <c r="EFD64" s="857">
        <f t="shared" si="97"/>
        <v>0</v>
      </c>
      <c r="EFE64" s="857">
        <f t="shared" si="97"/>
        <v>0</v>
      </c>
      <c r="EFF64" s="857">
        <f t="shared" si="97"/>
        <v>0</v>
      </c>
      <c r="EFG64" s="857">
        <f t="shared" si="97"/>
        <v>0</v>
      </c>
      <c r="EFH64" s="857">
        <f t="shared" si="97"/>
        <v>0</v>
      </c>
      <c r="EFI64" s="857">
        <f t="shared" si="97"/>
        <v>0</v>
      </c>
      <c r="EFJ64" s="857">
        <f t="shared" si="97"/>
        <v>0</v>
      </c>
      <c r="EFK64" s="857">
        <f t="shared" si="97"/>
        <v>0</v>
      </c>
      <c r="EFL64" s="857">
        <f t="shared" si="97"/>
        <v>0</v>
      </c>
      <c r="EFM64" s="857">
        <f t="shared" si="97"/>
        <v>0</v>
      </c>
      <c r="EFN64" s="857">
        <f t="shared" si="97"/>
        <v>0</v>
      </c>
      <c r="EFO64" s="857">
        <f t="shared" si="97"/>
        <v>0</v>
      </c>
      <c r="EFP64" s="857">
        <f t="shared" si="97"/>
        <v>0</v>
      </c>
      <c r="EFQ64" s="857">
        <f t="shared" si="97"/>
        <v>0</v>
      </c>
      <c r="EFR64" s="857">
        <f t="shared" si="97"/>
        <v>0</v>
      </c>
      <c r="EFS64" s="857">
        <f t="shared" si="97"/>
        <v>0</v>
      </c>
      <c r="EFT64" s="857">
        <f t="shared" si="97"/>
        <v>0</v>
      </c>
      <c r="EFU64" s="857">
        <f t="shared" si="97"/>
        <v>0</v>
      </c>
      <c r="EFV64" s="857">
        <f t="shared" si="97"/>
        <v>0</v>
      </c>
      <c r="EFW64" s="857">
        <f t="shared" si="97"/>
        <v>0</v>
      </c>
      <c r="EFX64" s="857">
        <f t="shared" si="97"/>
        <v>0</v>
      </c>
      <c r="EFY64" s="857">
        <f t="shared" si="97"/>
        <v>0</v>
      </c>
      <c r="EFZ64" s="857">
        <f t="shared" si="97"/>
        <v>0</v>
      </c>
      <c r="EGA64" s="857">
        <f t="shared" si="97"/>
        <v>0</v>
      </c>
      <c r="EGB64" s="857">
        <f t="shared" si="97"/>
        <v>0</v>
      </c>
      <c r="EGC64" s="857">
        <f t="shared" si="97"/>
        <v>0</v>
      </c>
      <c r="EGD64" s="857">
        <f t="shared" si="97"/>
        <v>0</v>
      </c>
      <c r="EGE64" s="857">
        <f t="shared" si="97"/>
        <v>0</v>
      </c>
      <c r="EGF64" s="857">
        <f t="shared" si="97"/>
        <v>0</v>
      </c>
      <c r="EGG64" s="857">
        <f t="shared" si="97"/>
        <v>0</v>
      </c>
      <c r="EGH64" s="857">
        <f t="shared" si="97"/>
        <v>0</v>
      </c>
      <c r="EGI64" s="857">
        <f t="shared" si="97"/>
        <v>0</v>
      </c>
      <c r="EGJ64" s="857">
        <f t="shared" si="97"/>
        <v>0</v>
      </c>
      <c r="EGK64" s="857">
        <f t="shared" si="97"/>
        <v>0</v>
      </c>
      <c r="EGL64" s="857">
        <f t="shared" si="97"/>
        <v>0</v>
      </c>
      <c r="EGM64" s="857">
        <f t="shared" si="97"/>
        <v>0</v>
      </c>
      <c r="EGN64" s="857">
        <f t="shared" si="97"/>
        <v>0</v>
      </c>
      <c r="EGO64" s="857">
        <f t="shared" si="97"/>
        <v>0</v>
      </c>
      <c r="EGP64" s="857">
        <f t="shared" si="97"/>
        <v>0</v>
      </c>
      <c r="EGQ64" s="857">
        <f t="shared" si="97"/>
        <v>0</v>
      </c>
      <c r="EGR64" s="857">
        <f t="shared" si="97"/>
        <v>0</v>
      </c>
      <c r="EGS64" s="857">
        <f t="shared" si="97"/>
        <v>0</v>
      </c>
      <c r="EGT64" s="857">
        <f t="shared" si="97"/>
        <v>0</v>
      </c>
      <c r="EGU64" s="857">
        <f t="shared" si="97"/>
        <v>0</v>
      </c>
      <c r="EGV64" s="857">
        <f t="shared" si="97"/>
        <v>0</v>
      </c>
      <c r="EGW64" s="857">
        <f t="shared" si="97"/>
        <v>0</v>
      </c>
      <c r="EGX64" s="857">
        <f t="shared" si="97"/>
        <v>0</v>
      </c>
      <c r="EGY64" s="857">
        <f t="shared" si="97"/>
        <v>0</v>
      </c>
      <c r="EGZ64" s="857">
        <f t="shared" si="97"/>
        <v>0</v>
      </c>
      <c r="EHA64" s="857">
        <f t="shared" si="97"/>
        <v>0</v>
      </c>
      <c r="EHB64" s="857">
        <f t="shared" ref="EHB64:EJM64" si="98">(EHB57-EHB59)*$C$64</f>
        <v>0</v>
      </c>
      <c r="EHC64" s="857">
        <f t="shared" si="98"/>
        <v>0</v>
      </c>
      <c r="EHD64" s="857">
        <f t="shared" si="98"/>
        <v>0</v>
      </c>
      <c r="EHE64" s="857">
        <f t="shared" si="98"/>
        <v>0</v>
      </c>
      <c r="EHF64" s="857">
        <f t="shared" si="98"/>
        <v>0</v>
      </c>
      <c r="EHG64" s="857">
        <f t="shared" si="98"/>
        <v>0</v>
      </c>
      <c r="EHH64" s="857">
        <f t="shared" si="98"/>
        <v>0</v>
      </c>
      <c r="EHI64" s="857">
        <f t="shared" si="98"/>
        <v>0</v>
      </c>
      <c r="EHJ64" s="857">
        <f t="shared" si="98"/>
        <v>0</v>
      </c>
      <c r="EHK64" s="857">
        <f t="shared" si="98"/>
        <v>0</v>
      </c>
      <c r="EHL64" s="857">
        <f t="shared" si="98"/>
        <v>0</v>
      </c>
      <c r="EHM64" s="857">
        <f t="shared" si="98"/>
        <v>0</v>
      </c>
      <c r="EHN64" s="857">
        <f t="shared" si="98"/>
        <v>0</v>
      </c>
      <c r="EHO64" s="857">
        <f t="shared" si="98"/>
        <v>0</v>
      </c>
      <c r="EHP64" s="857">
        <f t="shared" si="98"/>
        <v>0</v>
      </c>
      <c r="EHQ64" s="857">
        <f t="shared" si="98"/>
        <v>0</v>
      </c>
      <c r="EHR64" s="857">
        <f t="shared" si="98"/>
        <v>0</v>
      </c>
      <c r="EHS64" s="857">
        <f t="shared" si="98"/>
        <v>0</v>
      </c>
      <c r="EHT64" s="857">
        <f t="shared" si="98"/>
        <v>0</v>
      </c>
      <c r="EHU64" s="857">
        <f t="shared" si="98"/>
        <v>0</v>
      </c>
      <c r="EHV64" s="857">
        <f t="shared" si="98"/>
        <v>0</v>
      </c>
      <c r="EHW64" s="857">
        <f t="shared" si="98"/>
        <v>0</v>
      </c>
      <c r="EHX64" s="857">
        <f t="shared" si="98"/>
        <v>0</v>
      </c>
      <c r="EHY64" s="857">
        <f t="shared" si="98"/>
        <v>0</v>
      </c>
      <c r="EHZ64" s="857">
        <f t="shared" si="98"/>
        <v>0</v>
      </c>
      <c r="EIA64" s="857">
        <f t="shared" si="98"/>
        <v>0</v>
      </c>
      <c r="EIB64" s="857">
        <f t="shared" si="98"/>
        <v>0</v>
      </c>
      <c r="EIC64" s="857">
        <f t="shared" si="98"/>
        <v>0</v>
      </c>
      <c r="EID64" s="857">
        <f t="shared" si="98"/>
        <v>0</v>
      </c>
      <c r="EIE64" s="857">
        <f t="shared" si="98"/>
        <v>0</v>
      </c>
      <c r="EIF64" s="857">
        <f t="shared" si="98"/>
        <v>0</v>
      </c>
      <c r="EIG64" s="857">
        <f t="shared" si="98"/>
        <v>0</v>
      </c>
      <c r="EIH64" s="857">
        <f t="shared" si="98"/>
        <v>0</v>
      </c>
      <c r="EII64" s="857">
        <f t="shared" si="98"/>
        <v>0</v>
      </c>
      <c r="EIJ64" s="857">
        <f t="shared" si="98"/>
        <v>0</v>
      </c>
      <c r="EIK64" s="857">
        <f t="shared" si="98"/>
        <v>0</v>
      </c>
      <c r="EIL64" s="857">
        <f t="shared" si="98"/>
        <v>0</v>
      </c>
      <c r="EIM64" s="857">
        <f t="shared" si="98"/>
        <v>0</v>
      </c>
      <c r="EIN64" s="857">
        <f t="shared" si="98"/>
        <v>0</v>
      </c>
      <c r="EIO64" s="857">
        <f t="shared" si="98"/>
        <v>0</v>
      </c>
      <c r="EIP64" s="857">
        <f t="shared" si="98"/>
        <v>0</v>
      </c>
      <c r="EIQ64" s="857">
        <f t="shared" si="98"/>
        <v>0</v>
      </c>
      <c r="EIR64" s="857">
        <f t="shared" si="98"/>
        <v>0</v>
      </c>
      <c r="EIS64" s="857">
        <f t="shared" si="98"/>
        <v>0</v>
      </c>
      <c r="EIT64" s="857">
        <f t="shared" si="98"/>
        <v>0</v>
      </c>
      <c r="EIU64" s="857">
        <f t="shared" si="98"/>
        <v>0</v>
      </c>
      <c r="EIV64" s="857">
        <f t="shared" si="98"/>
        <v>0</v>
      </c>
      <c r="EIW64" s="857">
        <f t="shared" si="98"/>
        <v>0</v>
      </c>
      <c r="EIX64" s="857">
        <f t="shared" si="98"/>
        <v>0</v>
      </c>
      <c r="EIY64" s="857">
        <f t="shared" si="98"/>
        <v>0</v>
      </c>
      <c r="EIZ64" s="857">
        <f t="shared" si="98"/>
        <v>0</v>
      </c>
      <c r="EJA64" s="857">
        <f t="shared" si="98"/>
        <v>0</v>
      </c>
      <c r="EJB64" s="857">
        <f t="shared" si="98"/>
        <v>0</v>
      </c>
      <c r="EJC64" s="857">
        <f t="shared" si="98"/>
        <v>0</v>
      </c>
      <c r="EJD64" s="857">
        <f t="shared" si="98"/>
        <v>0</v>
      </c>
      <c r="EJE64" s="857">
        <f t="shared" si="98"/>
        <v>0</v>
      </c>
      <c r="EJF64" s="857">
        <f t="shared" si="98"/>
        <v>0</v>
      </c>
      <c r="EJG64" s="857">
        <f t="shared" si="98"/>
        <v>0</v>
      </c>
      <c r="EJH64" s="857">
        <f t="shared" si="98"/>
        <v>0</v>
      </c>
      <c r="EJI64" s="857">
        <f t="shared" si="98"/>
        <v>0</v>
      </c>
      <c r="EJJ64" s="857">
        <f t="shared" si="98"/>
        <v>0</v>
      </c>
      <c r="EJK64" s="857">
        <f t="shared" si="98"/>
        <v>0</v>
      </c>
      <c r="EJL64" s="857">
        <f t="shared" si="98"/>
        <v>0</v>
      </c>
      <c r="EJM64" s="857">
        <f t="shared" si="98"/>
        <v>0</v>
      </c>
      <c r="EJN64" s="857">
        <f t="shared" ref="EJN64:ELY64" si="99">(EJN57-EJN59)*$C$64</f>
        <v>0</v>
      </c>
      <c r="EJO64" s="857">
        <f t="shared" si="99"/>
        <v>0</v>
      </c>
      <c r="EJP64" s="857">
        <f t="shared" si="99"/>
        <v>0</v>
      </c>
      <c r="EJQ64" s="857">
        <f t="shared" si="99"/>
        <v>0</v>
      </c>
      <c r="EJR64" s="857">
        <f t="shared" si="99"/>
        <v>0</v>
      </c>
      <c r="EJS64" s="857">
        <f t="shared" si="99"/>
        <v>0</v>
      </c>
      <c r="EJT64" s="857">
        <f t="shared" si="99"/>
        <v>0</v>
      </c>
      <c r="EJU64" s="857">
        <f t="shared" si="99"/>
        <v>0</v>
      </c>
      <c r="EJV64" s="857">
        <f t="shared" si="99"/>
        <v>0</v>
      </c>
      <c r="EJW64" s="857">
        <f t="shared" si="99"/>
        <v>0</v>
      </c>
      <c r="EJX64" s="857">
        <f t="shared" si="99"/>
        <v>0</v>
      </c>
      <c r="EJY64" s="857">
        <f t="shared" si="99"/>
        <v>0</v>
      </c>
      <c r="EJZ64" s="857">
        <f t="shared" si="99"/>
        <v>0</v>
      </c>
      <c r="EKA64" s="857">
        <f t="shared" si="99"/>
        <v>0</v>
      </c>
      <c r="EKB64" s="857">
        <f t="shared" si="99"/>
        <v>0</v>
      </c>
      <c r="EKC64" s="857">
        <f t="shared" si="99"/>
        <v>0</v>
      </c>
      <c r="EKD64" s="857">
        <f t="shared" si="99"/>
        <v>0</v>
      </c>
      <c r="EKE64" s="857">
        <f t="shared" si="99"/>
        <v>0</v>
      </c>
      <c r="EKF64" s="857">
        <f t="shared" si="99"/>
        <v>0</v>
      </c>
      <c r="EKG64" s="857">
        <f t="shared" si="99"/>
        <v>0</v>
      </c>
      <c r="EKH64" s="857">
        <f t="shared" si="99"/>
        <v>0</v>
      </c>
      <c r="EKI64" s="857">
        <f t="shared" si="99"/>
        <v>0</v>
      </c>
      <c r="EKJ64" s="857">
        <f t="shared" si="99"/>
        <v>0</v>
      </c>
      <c r="EKK64" s="857">
        <f t="shared" si="99"/>
        <v>0</v>
      </c>
      <c r="EKL64" s="857">
        <f t="shared" si="99"/>
        <v>0</v>
      </c>
      <c r="EKM64" s="857">
        <f t="shared" si="99"/>
        <v>0</v>
      </c>
      <c r="EKN64" s="857">
        <f t="shared" si="99"/>
        <v>0</v>
      </c>
      <c r="EKO64" s="857">
        <f t="shared" si="99"/>
        <v>0</v>
      </c>
      <c r="EKP64" s="857">
        <f t="shared" si="99"/>
        <v>0</v>
      </c>
      <c r="EKQ64" s="857">
        <f t="shared" si="99"/>
        <v>0</v>
      </c>
      <c r="EKR64" s="857">
        <f t="shared" si="99"/>
        <v>0</v>
      </c>
      <c r="EKS64" s="857">
        <f t="shared" si="99"/>
        <v>0</v>
      </c>
      <c r="EKT64" s="857">
        <f t="shared" si="99"/>
        <v>0</v>
      </c>
      <c r="EKU64" s="857">
        <f t="shared" si="99"/>
        <v>0</v>
      </c>
      <c r="EKV64" s="857">
        <f t="shared" si="99"/>
        <v>0</v>
      </c>
      <c r="EKW64" s="857">
        <f t="shared" si="99"/>
        <v>0</v>
      </c>
      <c r="EKX64" s="857">
        <f t="shared" si="99"/>
        <v>0</v>
      </c>
      <c r="EKY64" s="857">
        <f t="shared" si="99"/>
        <v>0</v>
      </c>
      <c r="EKZ64" s="857">
        <f t="shared" si="99"/>
        <v>0</v>
      </c>
      <c r="ELA64" s="857">
        <f t="shared" si="99"/>
        <v>0</v>
      </c>
      <c r="ELB64" s="857">
        <f t="shared" si="99"/>
        <v>0</v>
      </c>
      <c r="ELC64" s="857">
        <f t="shared" si="99"/>
        <v>0</v>
      </c>
      <c r="ELD64" s="857">
        <f t="shared" si="99"/>
        <v>0</v>
      </c>
      <c r="ELE64" s="857">
        <f t="shared" si="99"/>
        <v>0</v>
      </c>
      <c r="ELF64" s="857">
        <f t="shared" si="99"/>
        <v>0</v>
      </c>
      <c r="ELG64" s="857">
        <f t="shared" si="99"/>
        <v>0</v>
      </c>
      <c r="ELH64" s="857">
        <f t="shared" si="99"/>
        <v>0</v>
      </c>
      <c r="ELI64" s="857">
        <f t="shared" si="99"/>
        <v>0</v>
      </c>
      <c r="ELJ64" s="857">
        <f t="shared" si="99"/>
        <v>0</v>
      </c>
      <c r="ELK64" s="857">
        <f t="shared" si="99"/>
        <v>0</v>
      </c>
      <c r="ELL64" s="857">
        <f t="shared" si="99"/>
        <v>0</v>
      </c>
      <c r="ELM64" s="857">
        <f t="shared" si="99"/>
        <v>0</v>
      </c>
      <c r="ELN64" s="857">
        <f t="shared" si="99"/>
        <v>0</v>
      </c>
      <c r="ELO64" s="857">
        <f t="shared" si="99"/>
        <v>0</v>
      </c>
      <c r="ELP64" s="857">
        <f t="shared" si="99"/>
        <v>0</v>
      </c>
      <c r="ELQ64" s="857">
        <f t="shared" si="99"/>
        <v>0</v>
      </c>
      <c r="ELR64" s="857">
        <f t="shared" si="99"/>
        <v>0</v>
      </c>
      <c r="ELS64" s="857">
        <f t="shared" si="99"/>
        <v>0</v>
      </c>
      <c r="ELT64" s="857">
        <f t="shared" si="99"/>
        <v>0</v>
      </c>
      <c r="ELU64" s="857">
        <f t="shared" si="99"/>
        <v>0</v>
      </c>
      <c r="ELV64" s="857">
        <f t="shared" si="99"/>
        <v>0</v>
      </c>
      <c r="ELW64" s="857">
        <f t="shared" si="99"/>
        <v>0</v>
      </c>
      <c r="ELX64" s="857">
        <f t="shared" si="99"/>
        <v>0</v>
      </c>
      <c r="ELY64" s="857">
        <f t="shared" si="99"/>
        <v>0</v>
      </c>
      <c r="ELZ64" s="857">
        <f t="shared" ref="ELZ64:EOK64" si="100">(ELZ57-ELZ59)*$C$64</f>
        <v>0</v>
      </c>
      <c r="EMA64" s="857">
        <f t="shared" si="100"/>
        <v>0</v>
      </c>
      <c r="EMB64" s="857">
        <f t="shared" si="100"/>
        <v>0</v>
      </c>
      <c r="EMC64" s="857">
        <f t="shared" si="100"/>
        <v>0</v>
      </c>
      <c r="EMD64" s="857">
        <f t="shared" si="100"/>
        <v>0</v>
      </c>
      <c r="EME64" s="857">
        <f t="shared" si="100"/>
        <v>0</v>
      </c>
      <c r="EMF64" s="857">
        <f t="shared" si="100"/>
        <v>0</v>
      </c>
      <c r="EMG64" s="857">
        <f t="shared" si="100"/>
        <v>0</v>
      </c>
      <c r="EMH64" s="857">
        <f t="shared" si="100"/>
        <v>0</v>
      </c>
      <c r="EMI64" s="857">
        <f t="shared" si="100"/>
        <v>0</v>
      </c>
      <c r="EMJ64" s="857">
        <f t="shared" si="100"/>
        <v>0</v>
      </c>
      <c r="EMK64" s="857">
        <f t="shared" si="100"/>
        <v>0</v>
      </c>
      <c r="EML64" s="857">
        <f t="shared" si="100"/>
        <v>0</v>
      </c>
      <c r="EMM64" s="857">
        <f t="shared" si="100"/>
        <v>0</v>
      </c>
      <c r="EMN64" s="857">
        <f t="shared" si="100"/>
        <v>0</v>
      </c>
      <c r="EMO64" s="857">
        <f t="shared" si="100"/>
        <v>0</v>
      </c>
      <c r="EMP64" s="857">
        <f t="shared" si="100"/>
        <v>0</v>
      </c>
      <c r="EMQ64" s="857">
        <f t="shared" si="100"/>
        <v>0</v>
      </c>
      <c r="EMR64" s="857">
        <f t="shared" si="100"/>
        <v>0</v>
      </c>
      <c r="EMS64" s="857">
        <f t="shared" si="100"/>
        <v>0</v>
      </c>
      <c r="EMT64" s="857">
        <f t="shared" si="100"/>
        <v>0</v>
      </c>
      <c r="EMU64" s="857">
        <f t="shared" si="100"/>
        <v>0</v>
      </c>
      <c r="EMV64" s="857">
        <f t="shared" si="100"/>
        <v>0</v>
      </c>
      <c r="EMW64" s="857">
        <f t="shared" si="100"/>
        <v>0</v>
      </c>
      <c r="EMX64" s="857">
        <f t="shared" si="100"/>
        <v>0</v>
      </c>
      <c r="EMY64" s="857">
        <f t="shared" si="100"/>
        <v>0</v>
      </c>
      <c r="EMZ64" s="857">
        <f t="shared" si="100"/>
        <v>0</v>
      </c>
      <c r="ENA64" s="857">
        <f t="shared" si="100"/>
        <v>0</v>
      </c>
      <c r="ENB64" s="857">
        <f t="shared" si="100"/>
        <v>0</v>
      </c>
      <c r="ENC64" s="857">
        <f t="shared" si="100"/>
        <v>0</v>
      </c>
      <c r="END64" s="857">
        <f t="shared" si="100"/>
        <v>0</v>
      </c>
      <c r="ENE64" s="857">
        <f t="shared" si="100"/>
        <v>0</v>
      </c>
      <c r="ENF64" s="857">
        <f t="shared" si="100"/>
        <v>0</v>
      </c>
      <c r="ENG64" s="857">
        <f t="shared" si="100"/>
        <v>0</v>
      </c>
      <c r="ENH64" s="857">
        <f t="shared" si="100"/>
        <v>0</v>
      </c>
      <c r="ENI64" s="857">
        <f t="shared" si="100"/>
        <v>0</v>
      </c>
      <c r="ENJ64" s="857">
        <f t="shared" si="100"/>
        <v>0</v>
      </c>
      <c r="ENK64" s="857">
        <f t="shared" si="100"/>
        <v>0</v>
      </c>
      <c r="ENL64" s="857">
        <f t="shared" si="100"/>
        <v>0</v>
      </c>
      <c r="ENM64" s="857">
        <f t="shared" si="100"/>
        <v>0</v>
      </c>
      <c r="ENN64" s="857">
        <f t="shared" si="100"/>
        <v>0</v>
      </c>
      <c r="ENO64" s="857">
        <f t="shared" si="100"/>
        <v>0</v>
      </c>
      <c r="ENP64" s="857">
        <f t="shared" si="100"/>
        <v>0</v>
      </c>
      <c r="ENQ64" s="857">
        <f t="shared" si="100"/>
        <v>0</v>
      </c>
      <c r="ENR64" s="857">
        <f t="shared" si="100"/>
        <v>0</v>
      </c>
      <c r="ENS64" s="857">
        <f t="shared" si="100"/>
        <v>0</v>
      </c>
      <c r="ENT64" s="857">
        <f t="shared" si="100"/>
        <v>0</v>
      </c>
      <c r="ENU64" s="857">
        <f t="shared" si="100"/>
        <v>0</v>
      </c>
      <c r="ENV64" s="857">
        <f t="shared" si="100"/>
        <v>0</v>
      </c>
      <c r="ENW64" s="857">
        <f t="shared" si="100"/>
        <v>0</v>
      </c>
      <c r="ENX64" s="857">
        <f t="shared" si="100"/>
        <v>0</v>
      </c>
      <c r="ENY64" s="857">
        <f t="shared" si="100"/>
        <v>0</v>
      </c>
      <c r="ENZ64" s="857">
        <f t="shared" si="100"/>
        <v>0</v>
      </c>
      <c r="EOA64" s="857">
        <f t="shared" si="100"/>
        <v>0</v>
      </c>
      <c r="EOB64" s="857">
        <f t="shared" si="100"/>
        <v>0</v>
      </c>
      <c r="EOC64" s="857">
        <f t="shared" si="100"/>
        <v>0</v>
      </c>
      <c r="EOD64" s="857">
        <f t="shared" si="100"/>
        <v>0</v>
      </c>
      <c r="EOE64" s="857">
        <f t="shared" si="100"/>
        <v>0</v>
      </c>
      <c r="EOF64" s="857">
        <f t="shared" si="100"/>
        <v>0</v>
      </c>
      <c r="EOG64" s="857">
        <f t="shared" si="100"/>
        <v>0</v>
      </c>
      <c r="EOH64" s="857">
        <f t="shared" si="100"/>
        <v>0</v>
      </c>
      <c r="EOI64" s="857">
        <f t="shared" si="100"/>
        <v>0</v>
      </c>
      <c r="EOJ64" s="857">
        <f t="shared" si="100"/>
        <v>0</v>
      </c>
      <c r="EOK64" s="857">
        <f t="shared" si="100"/>
        <v>0</v>
      </c>
      <c r="EOL64" s="857">
        <f t="shared" ref="EOL64:EQW64" si="101">(EOL57-EOL59)*$C$64</f>
        <v>0</v>
      </c>
      <c r="EOM64" s="857">
        <f t="shared" si="101"/>
        <v>0</v>
      </c>
      <c r="EON64" s="857">
        <f t="shared" si="101"/>
        <v>0</v>
      </c>
      <c r="EOO64" s="857">
        <f t="shared" si="101"/>
        <v>0</v>
      </c>
      <c r="EOP64" s="857">
        <f t="shared" si="101"/>
        <v>0</v>
      </c>
      <c r="EOQ64" s="857">
        <f t="shared" si="101"/>
        <v>0</v>
      </c>
      <c r="EOR64" s="857">
        <f t="shared" si="101"/>
        <v>0</v>
      </c>
      <c r="EOS64" s="857">
        <f t="shared" si="101"/>
        <v>0</v>
      </c>
      <c r="EOT64" s="857">
        <f t="shared" si="101"/>
        <v>0</v>
      </c>
      <c r="EOU64" s="857">
        <f t="shared" si="101"/>
        <v>0</v>
      </c>
      <c r="EOV64" s="857">
        <f t="shared" si="101"/>
        <v>0</v>
      </c>
      <c r="EOW64" s="857">
        <f t="shared" si="101"/>
        <v>0</v>
      </c>
      <c r="EOX64" s="857">
        <f t="shared" si="101"/>
        <v>0</v>
      </c>
      <c r="EOY64" s="857">
        <f t="shared" si="101"/>
        <v>0</v>
      </c>
      <c r="EOZ64" s="857">
        <f t="shared" si="101"/>
        <v>0</v>
      </c>
      <c r="EPA64" s="857">
        <f t="shared" si="101"/>
        <v>0</v>
      </c>
      <c r="EPB64" s="857">
        <f t="shared" si="101"/>
        <v>0</v>
      </c>
      <c r="EPC64" s="857">
        <f t="shared" si="101"/>
        <v>0</v>
      </c>
      <c r="EPD64" s="857">
        <f t="shared" si="101"/>
        <v>0</v>
      </c>
      <c r="EPE64" s="857">
        <f t="shared" si="101"/>
        <v>0</v>
      </c>
      <c r="EPF64" s="857">
        <f t="shared" si="101"/>
        <v>0</v>
      </c>
      <c r="EPG64" s="857">
        <f t="shared" si="101"/>
        <v>0</v>
      </c>
      <c r="EPH64" s="857">
        <f t="shared" si="101"/>
        <v>0</v>
      </c>
      <c r="EPI64" s="857">
        <f t="shared" si="101"/>
        <v>0</v>
      </c>
      <c r="EPJ64" s="857">
        <f t="shared" si="101"/>
        <v>0</v>
      </c>
      <c r="EPK64" s="857">
        <f t="shared" si="101"/>
        <v>0</v>
      </c>
      <c r="EPL64" s="857">
        <f t="shared" si="101"/>
        <v>0</v>
      </c>
      <c r="EPM64" s="857">
        <f t="shared" si="101"/>
        <v>0</v>
      </c>
      <c r="EPN64" s="857">
        <f t="shared" si="101"/>
        <v>0</v>
      </c>
      <c r="EPO64" s="857">
        <f t="shared" si="101"/>
        <v>0</v>
      </c>
      <c r="EPP64" s="857">
        <f t="shared" si="101"/>
        <v>0</v>
      </c>
      <c r="EPQ64" s="857">
        <f t="shared" si="101"/>
        <v>0</v>
      </c>
      <c r="EPR64" s="857">
        <f t="shared" si="101"/>
        <v>0</v>
      </c>
      <c r="EPS64" s="857">
        <f t="shared" si="101"/>
        <v>0</v>
      </c>
      <c r="EPT64" s="857">
        <f t="shared" si="101"/>
        <v>0</v>
      </c>
      <c r="EPU64" s="857">
        <f t="shared" si="101"/>
        <v>0</v>
      </c>
      <c r="EPV64" s="857">
        <f t="shared" si="101"/>
        <v>0</v>
      </c>
      <c r="EPW64" s="857">
        <f t="shared" si="101"/>
        <v>0</v>
      </c>
      <c r="EPX64" s="857">
        <f t="shared" si="101"/>
        <v>0</v>
      </c>
      <c r="EPY64" s="857">
        <f t="shared" si="101"/>
        <v>0</v>
      </c>
      <c r="EPZ64" s="857">
        <f t="shared" si="101"/>
        <v>0</v>
      </c>
      <c r="EQA64" s="857">
        <f t="shared" si="101"/>
        <v>0</v>
      </c>
      <c r="EQB64" s="857">
        <f t="shared" si="101"/>
        <v>0</v>
      </c>
      <c r="EQC64" s="857">
        <f t="shared" si="101"/>
        <v>0</v>
      </c>
      <c r="EQD64" s="857">
        <f t="shared" si="101"/>
        <v>0</v>
      </c>
      <c r="EQE64" s="857">
        <f t="shared" si="101"/>
        <v>0</v>
      </c>
      <c r="EQF64" s="857">
        <f t="shared" si="101"/>
        <v>0</v>
      </c>
      <c r="EQG64" s="857">
        <f t="shared" si="101"/>
        <v>0</v>
      </c>
      <c r="EQH64" s="857">
        <f t="shared" si="101"/>
        <v>0</v>
      </c>
      <c r="EQI64" s="857">
        <f t="shared" si="101"/>
        <v>0</v>
      </c>
      <c r="EQJ64" s="857">
        <f t="shared" si="101"/>
        <v>0</v>
      </c>
      <c r="EQK64" s="857">
        <f t="shared" si="101"/>
        <v>0</v>
      </c>
      <c r="EQL64" s="857">
        <f t="shared" si="101"/>
        <v>0</v>
      </c>
      <c r="EQM64" s="857">
        <f t="shared" si="101"/>
        <v>0</v>
      </c>
      <c r="EQN64" s="857">
        <f t="shared" si="101"/>
        <v>0</v>
      </c>
      <c r="EQO64" s="857">
        <f t="shared" si="101"/>
        <v>0</v>
      </c>
      <c r="EQP64" s="857">
        <f t="shared" si="101"/>
        <v>0</v>
      </c>
      <c r="EQQ64" s="857">
        <f t="shared" si="101"/>
        <v>0</v>
      </c>
      <c r="EQR64" s="857">
        <f t="shared" si="101"/>
        <v>0</v>
      </c>
      <c r="EQS64" s="857">
        <f t="shared" si="101"/>
        <v>0</v>
      </c>
      <c r="EQT64" s="857">
        <f t="shared" si="101"/>
        <v>0</v>
      </c>
      <c r="EQU64" s="857">
        <f t="shared" si="101"/>
        <v>0</v>
      </c>
      <c r="EQV64" s="857">
        <f t="shared" si="101"/>
        <v>0</v>
      </c>
      <c r="EQW64" s="857">
        <f t="shared" si="101"/>
        <v>0</v>
      </c>
      <c r="EQX64" s="857">
        <f t="shared" ref="EQX64:ETI64" si="102">(EQX57-EQX59)*$C$64</f>
        <v>0</v>
      </c>
      <c r="EQY64" s="857">
        <f t="shared" si="102"/>
        <v>0</v>
      </c>
      <c r="EQZ64" s="857">
        <f t="shared" si="102"/>
        <v>0</v>
      </c>
      <c r="ERA64" s="857">
        <f t="shared" si="102"/>
        <v>0</v>
      </c>
      <c r="ERB64" s="857">
        <f t="shared" si="102"/>
        <v>0</v>
      </c>
      <c r="ERC64" s="857">
        <f t="shared" si="102"/>
        <v>0</v>
      </c>
      <c r="ERD64" s="857">
        <f t="shared" si="102"/>
        <v>0</v>
      </c>
      <c r="ERE64" s="857">
        <f t="shared" si="102"/>
        <v>0</v>
      </c>
      <c r="ERF64" s="857">
        <f t="shared" si="102"/>
        <v>0</v>
      </c>
      <c r="ERG64" s="857">
        <f t="shared" si="102"/>
        <v>0</v>
      </c>
      <c r="ERH64" s="857">
        <f t="shared" si="102"/>
        <v>0</v>
      </c>
      <c r="ERI64" s="857">
        <f t="shared" si="102"/>
        <v>0</v>
      </c>
      <c r="ERJ64" s="857">
        <f t="shared" si="102"/>
        <v>0</v>
      </c>
      <c r="ERK64" s="857">
        <f t="shared" si="102"/>
        <v>0</v>
      </c>
      <c r="ERL64" s="857">
        <f t="shared" si="102"/>
        <v>0</v>
      </c>
      <c r="ERM64" s="857">
        <f t="shared" si="102"/>
        <v>0</v>
      </c>
      <c r="ERN64" s="857">
        <f t="shared" si="102"/>
        <v>0</v>
      </c>
      <c r="ERO64" s="857">
        <f t="shared" si="102"/>
        <v>0</v>
      </c>
      <c r="ERP64" s="857">
        <f t="shared" si="102"/>
        <v>0</v>
      </c>
      <c r="ERQ64" s="857">
        <f t="shared" si="102"/>
        <v>0</v>
      </c>
      <c r="ERR64" s="857">
        <f t="shared" si="102"/>
        <v>0</v>
      </c>
      <c r="ERS64" s="857">
        <f t="shared" si="102"/>
        <v>0</v>
      </c>
      <c r="ERT64" s="857">
        <f t="shared" si="102"/>
        <v>0</v>
      </c>
      <c r="ERU64" s="857">
        <f t="shared" si="102"/>
        <v>0</v>
      </c>
      <c r="ERV64" s="857">
        <f t="shared" si="102"/>
        <v>0</v>
      </c>
      <c r="ERW64" s="857">
        <f t="shared" si="102"/>
        <v>0</v>
      </c>
      <c r="ERX64" s="857">
        <f t="shared" si="102"/>
        <v>0</v>
      </c>
      <c r="ERY64" s="857">
        <f t="shared" si="102"/>
        <v>0</v>
      </c>
      <c r="ERZ64" s="857">
        <f t="shared" si="102"/>
        <v>0</v>
      </c>
      <c r="ESA64" s="857">
        <f t="shared" si="102"/>
        <v>0</v>
      </c>
      <c r="ESB64" s="857">
        <f t="shared" si="102"/>
        <v>0</v>
      </c>
      <c r="ESC64" s="857">
        <f t="shared" si="102"/>
        <v>0</v>
      </c>
      <c r="ESD64" s="857">
        <f t="shared" si="102"/>
        <v>0</v>
      </c>
      <c r="ESE64" s="857">
        <f t="shared" si="102"/>
        <v>0</v>
      </c>
      <c r="ESF64" s="857">
        <f t="shared" si="102"/>
        <v>0</v>
      </c>
      <c r="ESG64" s="857">
        <f t="shared" si="102"/>
        <v>0</v>
      </c>
      <c r="ESH64" s="857">
        <f t="shared" si="102"/>
        <v>0</v>
      </c>
      <c r="ESI64" s="857">
        <f t="shared" si="102"/>
        <v>0</v>
      </c>
      <c r="ESJ64" s="857">
        <f t="shared" si="102"/>
        <v>0</v>
      </c>
      <c r="ESK64" s="857">
        <f t="shared" si="102"/>
        <v>0</v>
      </c>
      <c r="ESL64" s="857">
        <f t="shared" si="102"/>
        <v>0</v>
      </c>
      <c r="ESM64" s="857">
        <f t="shared" si="102"/>
        <v>0</v>
      </c>
      <c r="ESN64" s="857">
        <f t="shared" si="102"/>
        <v>0</v>
      </c>
      <c r="ESO64" s="857">
        <f t="shared" si="102"/>
        <v>0</v>
      </c>
      <c r="ESP64" s="857">
        <f t="shared" si="102"/>
        <v>0</v>
      </c>
      <c r="ESQ64" s="857">
        <f t="shared" si="102"/>
        <v>0</v>
      </c>
      <c r="ESR64" s="857">
        <f t="shared" si="102"/>
        <v>0</v>
      </c>
      <c r="ESS64" s="857">
        <f t="shared" si="102"/>
        <v>0</v>
      </c>
      <c r="EST64" s="857">
        <f t="shared" si="102"/>
        <v>0</v>
      </c>
      <c r="ESU64" s="857">
        <f t="shared" si="102"/>
        <v>0</v>
      </c>
      <c r="ESV64" s="857">
        <f t="shared" si="102"/>
        <v>0</v>
      </c>
      <c r="ESW64" s="857">
        <f t="shared" si="102"/>
        <v>0</v>
      </c>
      <c r="ESX64" s="857">
        <f t="shared" si="102"/>
        <v>0</v>
      </c>
      <c r="ESY64" s="857">
        <f t="shared" si="102"/>
        <v>0</v>
      </c>
      <c r="ESZ64" s="857">
        <f t="shared" si="102"/>
        <v>0</v>
      </c>
      <c r="ETA64" s="857">
        <f t="shared" si="102"/>
        <v>0</v>
      </c>
      <c r="ETB64" s="857">
        <f t="shared" si="102"/>
        <v>0</v>
      </c>
      <c r="ETC64" s="857">
        <f t="shared" si="102"/>
        <v>0</v>
      </c>
      <c r="ETD64" s="857">
        <f t="shared" si="102"/>
        <v>0</v>
      </c>
      <c r="ETE64" s="857">
        <f t="shared" si="102"/>
        <v>0</v>
      </c>
      <c r="ETF64" s="857">
        <f t="shared" si="102"/>
        <v>0</v>
      </c>
      <c r="ETG64" s="857">
        <f t="shared" si="102"/>
        <v>0</v>
      </c>
      <c r="ETH64" s="857">
        <f t="shared" si="102"/>
        <v>0</v>
      </c>
      <c r="ETI64" s="857">
        <f t="shared" si="102"/>
        <v>0</v>
      </c>
      <c r="ETJ64" s="857">
        <f t="shared" ref="ETJ64:EVU64" si="103">(ETJ57-ETJ59)*$C$64</f>
        <v>0</v>
      </c>
      <c r="ETK64" s="857">
        <f t="shared" si="103"/>
        <v>0</v>
      </c>
      <c r="ETL64" s="857">
        <f t="shared" si="103"/>
        <v>0</v>
      </c>
      <c r="ETM64" s="857">
        <f t="shared" si="103"/>
        <v>0</v>
      </c>
      <c r="ETN64" s="857">
        <f t="shared" si="103"/>
        <v>0</v>
      </c>
      <c r="ETO64" s="857">
        <f t="shared" si="103"/>
        <v>0</v>
      </c>
      <c r="ETP64" s="857">
        <f t="shared" si="103"/>
        <v>0</v>
      </c>
      <c r="ETQ64" s="857">
        <f t="shared" si="103"/>
        <v>0</v>
      </c>
      <c r="ETR64" s="857">
        <f t="shared" si="103"/>
        <v>0</v>
      </c>
      <c r="ETS64" s="857">
        <f t="shared" si="103"/>
        <v>0</v>
      </c>
      <c r="ETT64" s="857">
        <f t="shared" si="103"/>
        <v>0</v>
      </c>
      <c r="ETU64" s="857">
        <f t="shared" si="103"/>
        <v>0</v>
      </c>
      <c r="ETV64" s="857">
        <f t="shared" si="103"/>
        <v>0</v>
      </c>
      <c r="ETW64" s="857">
        <f t="shared" si="103"/>
        <v>0</v>
      </c>
      <c r="ETX64" s="857">
        <f t="shared" si="103"/>
        <v>0</v>
      </c>
      <c r="ETY64" s="857">
        <f t="shared" si="103"/>
        <v>0</v>
      </c>
      <c r="ETZ64" s="857">
        <f t="shared" si="103"/>
        <v>0</v>
      </c>
      <c r="EUA64" s="857">
        <f t="shared" si="103"/>
        <v>0</v>
      </c>
      <c r="EUB64" s="857">
        <f t="shared" si="103"/>
        <v>0</v>
      </c>
      <c r="EUC64" s="857">
        <f t="shared" si="103"/>
        <v>0</v>
      </c>
      <c r="EUD64" s="857">
        <f t="shared" si="103"/>
        <v>0</v>
      </c>
      <c r="EUE64" s="857">
        <f t="shared" si="103"/>
        <v>0</v>
      </c>
      <c r="EUF64" s="857">
        <f t="shared" si="103"/>
        <v>0</v>
      </c>
      <c r="EUG64" s="857">
        <f t="shared" si="103"/>
        <v>0</v>
      </c>
      <c r="EUH64" s="857">
        <f t="shared" si="103"/>
        <v>0</v>
      </c>
      <c r="EUI64" s="857">
        <f t="shared" si="103"/>
        <v>0</v>
      </c>
      <c r="EUJ64" s="857">
        <f t="shared" si="103"/>
        <v>0</v>
      </c>
      <c r="EUK64" s="857">
        <f t="shared" si="103"/>
        <v>0</v>
      </c>
      <c r="EUL64" s="857">
        <f t="shared" si="103"/>
        <v>0</v>
      </c>
      <c r="EUM64" s="857">
        <f t="shared" si="103"/>
        <v>0</v>
      </c>
      <c r="EUN64" s="857">
        <f t="shared" si="103"/>
        <v>0</v>
      </c>
      <c r="EUO64" s="857">
        <f t="shared" si="103"/>
        <v>0</v>
      </c>
      <c r="EUP64" s="857">
        <f t="shared" si="103"/>
        <v>0</v>
      </c>
      <c r="EUQ64" s="857">
        <f t="shared" si="103"/>
        <v>0</v>
      </c>
      <c r="EUR64" s="857">
        <f t="shared" si="103"/>
        <v>0</v>
      </c>
      <c r="EUS64" s="857">
        <f t="shared" si="103"/>
        <v>0</v>
      </c>
      <c r="EUT64" s="857">
        <f t="shared" si="103"/>
        <v>0</v>
      </c>
      <c r="EUU64" s="857">
        <f t="shared" si="103"/>
        <v>0</v>
      </c>
      <c r="EUV64" s="857">
        <f t="shared" si="103"/>
        <v>0</v>
      </c>
      <c r="EUW64" s="857">
        <f t="shared" si="103"/>
        <v>0</v>
      </c>
      <c r="EUX64" s="857">
        <f t="shared" si="103"/>
        <v>0</v>
      </c>
      <c r="EUY64" s="857">
        <f t="shared" si="103"/>
        <v>0</v>
      </c>
      <c r="EUZ64" s="857">
        <f t="shared" si="103"/>
        <v>0</v>
      </c>
      <c r="EVA64" s="857">
        <f t="shared" si="103"/>
        <v>0</v>
      </c>
      <c r="EVB64" s="857">
        <f t="shared" si="103"/>
        <v>0</v>
      </c>
      <c r="EVC64" s="857">
        <f t="shared" si="103"/>
        <v>0</v>
      </c>
      <c r="EVD64" s="857">
        <f t="shared" si="103"/>
        <v>0</v>
      </c>
      <c r="EVE64" s="857">
        <f t="shared" si="103"/>
        <v>0</v>
      </c>
      <c r="EVF64" s="857">
        <f t="shared" si="103"/>
        <v>0</v>
      </c>
      <c r="EVG64" s="857">
        <f t="shared" si="103"/>
        <v>0</v>
      </c>
      <c r="EVH64" s="857">
        <f t="shared" si="103"/>
        <v>0</v>
      </c>
      <c r="EVI64" s="857">
        <f t="shared" si="103"/>
        <v>0</v>
      </c>
      <c r="EVJ64" s="857">
        <f t="shared" si="103"/>
        <v>0</v>
      </c>
      <c r="EVK64" s="857">
        <f t="shared" si="103"/>
        <v>0</v>
      </c>
      <c r="EVL64" s="857">
        <f t="shared" si="103"/>
        <v>0</v>
      </c>
      <c r="EVM64" s="857">
        <f t="shared" si="103"/>
        <v>0</v>
      </c>
      <c r="EVN64" s="857">
        <f t="shared" si="103"/>
        <v>0</v>
      </c>
      <c r="EVO64" s="857">
        <f t="shared" si="103"/>
        <v>0</v>
      </c>
      <c r="EVP64" s="857">
        <f t="shared" si="103"/>
        <v>0</v>
      </c>
      <c r="EVQ64" s="857">
        <f t="shared" si="103"/>
        <v>0</v>
      </c>
      <c r="EVR64" s="857">
        <f t="shared" si="103"/>
        <v>0</v>
      </c>
      <c r="EVS64" s="857">
        <f t="shared" si="103"/>
        <v>0</v>
      </c>
      <c r="EVT64" s="857">
        <f t="shared" si="103"/>
        <v>0</v>
      </c>
      <c r="EVU64" s="857">
        <f t="shared" si="103"/>
        <v>0</v>
      </c>
      <c r="EVV64" s="857">
        <f t="shared" ref="EVV64:EYG64" si="104">(EVV57-EVV59)*$C$64</f>
        <v>0</v>
      </c>
      <c r="EVW64" s="857">
        <f t="shared" si="104"/>
        <v>0</v>
      </c>
      <c r="EVX64" s="857">
        <f t="shared" si="104"/>
        <v>0</v>
      </c>
      <c r="EVY64" s="857">
        <f t="shared" si="104"/>
        <v>0</v>
      </c>
      <c r="EVZ64" s="857">
        <f t="shared" si="104"/>
        <v>0</v>
      </c>
      <c r="EWA64" s="857">
        <f t="shared" si="104"/>
        <v>0</v>
      </c>
      <c r="EWB64" s="857">
        <f t="shared" si="104"/>
        <v>0</v>
      </c>
      <c r="EWC64" s="857">
        <f t="shared" si="104"/>
        <v>0</v>
      </c>
      <c r="EWD64" s="857">
        <f t="shared" si="104"/>
        <v>0</v>
      </c>
      <c r="EWE64" s="857">
        <f t="shared" si="104"/>
        <v>0</v>
      </c>
      <c r="EWF64" s="857">
        <f t="shared" si="104"/>
        <v>0</v>
      </c>
      <c r="EWG64" s="857">
        <f t="shared" si="104"/>
        <v>0</v>
      </c>
      <c r="EWH64" s="857">
        <f t="shared" si="104"/>
        <v>0</v>
      </c>
      <c r="EWI64" s="857">
        <f t="shared" si="104"/>
        <v>0</v>
      </c>
      <c r="EWJ64" s="857">
        <f t="shared" si="104"/>
        <v>0</v>
      </c>
      <c r="EWK64" s="857">
        <f t="shared" si="104"/>
        <v>0</v>
      </c>
      <c r="EWL64" s="857">
        <f t="shared" si="104"/>
        <v>0</v>
      </c>
      <c r="EWM64" s="857">
        <f t="shared" si="104"/>
        <v>0</v>
      </c>
      <c r="EWN64" s="857">
        <f t="shared" si="104"/>
        <v>0</v>
      </c>
      <c r="EWO64" s="857">
        <f t="shared" si="104"/>
        <v>0</v>
      </c>
      <c r="EWP64" s="857">
        <f t="shared" si="104"/>
        <v>0</v>
      </c>
      <c r="EWQ64" s="857">
        <f t="shared" si="104"/>
        <v>0</v>
      </c>
      <c r="EWR64" s="857">
        <f t="shared" si="104"/>
        <v>0</v>
      </c>
      <c r="EWS64" s="857">
        <f t="shared" si="104"/>
        <v>0</v>
      </c>
      <c r="EWT64" s="857">
        <f t="shared" si="104"/>
        <v>0</v>
      </c>
      <c r="EWU64" s="857">
        <f t="shared" si="104"/>
        <v>0</v>
      </c>
      <c r="EWV64" s="857">
        <f t="shared" si="104"/>
        <v>0</v>
      </c>
      <c r="EWW64" s="857">
        <f t="shared" si="104"/>
        <v>0</v>
      </c>
      <c r="EWX64" s="857">
        <f t="shared" si="104"/>
        <v>0</v>
      </c>
      <c r="EWY64" s="857">
        <f t="shared" si="104"/>
        <v>0</v>
      </c>
      <c r="EWZ64" s="857">
        <f t="shared" si="104"/>
        <v>0</v>
      </c>
      <c r="EXA64" s="857">
        <f t="shared" si="104"/>
        <v>0</v>
      </c>
      <c r="EXB64" s="857">
        <f t="shared" si="104"/>
        <v>0</v>
      </c>
      <c r="EXC64" s="857">
        <f t="shared" si="104"/>
        <v>0</v>
      </c>
      <c r="EXD64" s="857">
        <f t="shared" si="104"/>
        <v>0</v>
      </c>
      <c r="EXE64" s="857">
        <f t="shared" si="104"/>
        <v>0</v>
      </c>
      <c r="EXF64" s="857">
        <f t="shared" si="104"/>
        <v>0</v>
      </c>
      <c r="EXG64" s="857">
        <f t="shared" si="104"/>
        <v>0</v>
      </c>
      <c r="EXH64" s="857">
        <f t="shared" si="104"/>
        <v>0</v>
      </c>
      <c r="EXI64" s="857">
        <f t="shared" si="104"/>
        <v>0</v>
      </c>
      <c r="EXJ64" s="857">
        <f t="shared" si="104"/>
        <v>0</v>
      </c>
      <c r="EXK64" s="857">
        <f t="shared" si="104"/>
        <v>0</v>
      </c>
      <c r="EXL64" s="857">
        <f t="shared" si="104"/>
        <v>0</v>
      </c>
      <c r="EXM64" s="857">
        <f t="shared" si="104"/>
        <v>0</v>
      </c>
      <c r="EXN64" s="857">
        <f t="shared" si="104"/>
        <v>0</v>
      </c>
      <c r="EXO64" s="857">
        <f t="shared" si="104"/>
        <v>0</v>
      </c>
      <c r="EXP64" s="857">
        <f t="shared" si="104"/>
        <v>0</v>
      </c>
      <c r="EXQ64" s="857">
        <f t="shared" si="104"/>
        <v>0</v>
      </c>
      <c r="EXR64" s="857">
        <f t="shared" si="104"/>
        <v>0</v>
      </c>
      <c r="EXS64" s="857">
        <f t="shared" si="104"/>
        <v>0</v>
      </c>
      <c r="EXT64" s="857">
        <f t="shared" si="104"/>
        <v>0</v>
      </c>
      <c r="EXU64" s="857">
        <f t="shared" si="104"/>
        <v>0</v>
      </c>
      <c r="EXV64" s="857">
        <f t="shared" si="104"/>
        <v>0</v>
      </c>
      <c r="EXW64" s="857">
        <f t="shared" si="104"/>
        <v>0</v>
      </c>
      <c r="EXX64" s="857">
        <f t="shared" si="104"/>
        <v>0</v>
      </c>
      <c r="EXY64" s="857">
        <f t="shared" si="104"/>
        <v>0</v>
      </c>
      <c r="EXZ64" s="857">
        <f t="shared" si="104"/>
        <v>0</v>
      </c>
      <c r="EYA64" s="857">
        <f t="shared" si="104"/>
        <v>0</v>
      </c>
      <c r="EYB64" s="857">
        <f t="shared" si="104"/>
        <v>0</v>
      </c>
      <c r="EYC64" s="857">
        <f t="shared" si="104"/>
        <v>0</v>
      </c>
      <c r="EYD64" s="857">
        <f t="shared" si="104"/>
        <v>0</v>
      </c>
      <c r="EYE64" s="857">
        <f t="shared" si="104"/>
        <v>0</v>
      </c>
      <c r="EYF64" s="857">
        <f t="shared" si="104"/>
        <v>0</v>
      </c>
      <c r="EYG64" s="857">
        <f t="shared" si="104"/>
        <v>0</v>
      </c>
      <c r="EYH64" s="857">
        <f t="shared" ref="EYH64:FAS64" si="105">(EYH57-EYH59)*$C$64</f>
        <v>0</v>
      </c>
      <c r="EYI64" s="857">
        <f t="shared" si="105"/>
        <v>0</v>
      </c>
      <c r="EYJ64" s="857">
        <f t="shared" si="105"/>
        <v>0</v>
      </c>
      <c r="EYK64" s="857">
        <f t="shared" si="105"/>
        <v>0</v>
      </c>
      <c r="EYL64" s="857">
        <f t="shared" si="105"/>
        <v>0</v>
      </c>
      <c r="EYM64" s="857">
        <f t="shared" si="105"/>
        <v>0</v>
      </c>
      <c r="EYN64" s="857">
        <f t="shared" si="105"/>
        <v>0</v>
      </c>
      <c r="EYO64" s="857">
        <f t="shared" si="105"/>
        <v>0</v>
      </c>
      <c r="EYP64" s="857">
        <f t="shared" si="105"/>
        <v>0</v>
      </c>
      <c r="EYQ64" s="857">
        <f t="shared" si="105"/>
        <v>0</v>
      </c>
      <c r="EYR64" s="857">
        <f t="shared" si="105"/>
        <v>0</v>
      </c>
      <c r="EYS64" s="857">
        <f t="shared" si="105"/>
        <v>0</v>
      </c>
      <c r="EYT64" s="857">
        <f t="shared" si="105"/>
        <v>0</v>
      </c>
      <c r="EYU64" s="857">
        <f t="shared" si="105"/>
        <v>0</v>
      </c>
      <c r="EYV64" s="857">
        <f t="shared" si="105"/>
        <v>0</v>
      </c>
      <c r="EYW64" s="857">
        <f t="shared" si="105"/>
        <v>0</v>
      </c>
      <c r="EYX64" s="857">
        <f t="shared" si="105"/>
        <v>0</v>
      </c>
      <c r="EYY64" s="857">
        <f t="shared" si="105"/>
        <v>0</v>
      </c>
      <c r="EYZ64" s="857">
        <f t="shared" si="105"/>
        <v>0</v>
      </c>
      <c r="EZA64" s="857">
        <f t="shared" si="105"/>
        <v>0</v>
      </c>
      <c r="EZB64" s="857">
        <f t="shared" si="105"/>
        <v>0</v>
      </c>
      <c r="EZC64" s="857">
        <f t="shared" si="105"/>
        <v>0</v>
      </c>
      <c r="EZD64" s="857">
        <f t="shared" si="105"/>
        <v>0</v>
      </c>
      <c r="EZE64" s="857">
        <f t="shared" si="105"/>
        <v>0</v>
      </c>
      <c r="EZF64" s="857">
        <f t="shared" si="105"/>
        <v>0</v>
      </c>
      <c r="EZG64" s="857">
        <f t="shared" si="105"/>
        <v>0</v>
      </c>
      <c r="EZH64" s="857">
        <f t="shared" si="105"/>
        <v>0</v>
      </c>
      <c r="EZI64" s="857">
        <f t="shared" si="105"/>
        <v>0</v>
      </c>
      <c r="EZJ64" s="857">
        <f t="shared" si="105"/>
        <v>0</v>
      </c>
      <c r="EZK64" s="857">
        <f t="shared" si="105"/>
        <v>0</v>
      </c>
      <c r="EZL64" s="857">
        <f t="shared" si="105"/>
        <v>0</v>
      </c>
      <c r="EZM64" s="857">
        <f t="shared" si="105"/>
        <v>0</v>
      </c>
      <c r="EZN64" s="857">
        <f t="shared" si="105"/>
        <v>0</v>
      </c>
      <c r="EZO64" s="857">
        <f t="shared" si="105"/>
        <v>0</v>
      </c>
      <c r="EZP64" s="857">
        <f t="shared" si="105"/>
        <v>0</v>
      </c>
      <c r="EZQ64" s="857">
        <f t="shared" si="105"/>
        <v>0</v>
      </c>
      <c r="EZR64" s="857">
        <f t="shared" si="105"/>
        <v>0</v>
      </c>
      <c r="EZS64" s="857">
        <f t="shared" si="105"/>
        <v>0</v>
      </c>
      <c r="EZT64" s="857">
        <f t="shared" si="105"/>
        <v>0</v>
      </c>
      <c r="EZU64" s="857">
        <f t="shared" si="105"/>
        <v>0</v>
      </c>
      <c r="EZV64" s="857">
        <f t="shared" si="105"/>
        <v>0</v>
      </c>
      <c r="EZW64" s="857">
        <f t="shared" si="105"/>
        <v>0</v>
      </c>
      <c r="EZX64" s="857">
        <f t="shared" si="105"/>
        <v>0</v>
      </c>
      <c r="EZY64" s="857">
        <f t="shared" si="105"/>
        <v>0</v>
      </c>
      <c r="EZZ64" s="857">
        <f t="shared" si="105"/>
        <v>0</v>
      </c>
      <c r="FAA64" s="857">
        <f t="shared" si="105"/>
        <v>0</v>
      </c>
      <c r="FAB64" s="857">
        <f t="shared" si="105"/>
        <v>0</v>
      </c>
      <c r="FAC64" s="857">
        <f t="shared" si="105"/>
        <v>0</v>
      </c>
      <c r="FAD64" s="857">
        <f t="shared" si="105"/>
        <v>0</v>
      </c>
      <c r="FAE64" s="857">
        <f t="shared" si="105"/>
        <v>0</v>
      </c>
      <c r="FAF64" s="857">
        <f t="shared" si="105"/>
        <v>0</v>
      </c>
      <c r="FAG64" s="857">
        <f t="shared" si="105"/>
        <v>0</v>
      </c>
      <c r="FAH64" s="857">
        <f t="shared" si="105"/>
        <v>0</v>
      </c>
      <c r="FAI64" s="857">
        <f t="shared" si="105"/>
        <v>0</v>
      </c>
      <c r="FAJ64" s="857">
        <f t="shared" si="105"/>
        <v>0</v>
      </c>
      <c r="FAK64" s="857">
        <f t="shared" si="105"/>
        <v>0</v>
      </c>
      <c r="FAL64" s="857">
        <f t="shared" si="105"/>
        <v>0</v>
      </c>
      <c r="FAM64" s="857">
        <f t="shared" si="105"/>
        <v>0</v>
      </c>
      <c r="FAN64" s="857">
        <f t="shared" si="105"/>
        <v>0</v>
      </c>
      <c r="FAO64" s="857">
        <f t="shared" si="105"/>
        <v>0</v>
      </c>
      <c r="FAP64" s="857">
        <f t="shared" si="105"/>
        <v>0</v>
      </c>
      <c r="FAQ64" s="857">
        <f t="shared" si="105"/>
        <v>0</v>
      </c>
      <c r="FAR64" s="857">
        <f t="shared" si="105"/>
        <v>0</v>
      </c>
      <c r="FAS64" s="857">
        <f t="shared" si="105"/>
        <v>0</v>
      </c>
      <c r="FAT64" s="857">
        <f t="shared" ref="FAT64:FDE64" si="106">(FAT57-FAT59)*$C$64</f>
        <v>0</v>
      </c>
      <c r="FAU64" s="857">
        <f t="shared" si="106"/>
        <v>0</v>
      </c>
      <c r="FAV64" s="857">
        <f t="shared" si="106"/>
        <v>0</v>
      </c>
      <c r="FAW64" s="857">
        <f t="shared" si="106"/>
        <v>0</v>
      </c>
      <c r="FAX64" s="857">
        <f t="shared" si="106"/>
        <v>0</v>
      </c>
      <c r="FAY64" s="857">
        <f t="shared" si="106"/>
        <v>0</v>
      </c>
      <c r="FAZ64" s="857">
        <f t="shared" si="106"/>
        <v>0</v>
      </c>
      <c r="FBA64" s="857">
        <f t="shared" si="106"/>
        <v>0</v>
      </c>
      <c r="FBB64" s="857">
        <f t="shared" si="106"/>
        <v>0</v>
      </c>
      <c r="FBC64" s="857">
        <f t="shared" si="106"/>
        <v>0</v>
      </c>
      <c r="FBD64" s="857">
        <f t="shared" si="106"/>
        <v>0</v>
      </c>
      <c r="FBE64" s="857">
        <f t="shared" si="106"/>
        <v>0</v>
      </c>
      <c r="FBF64" s="857">
        <f t="shared" si="106"/>
        <v>0</v>
      </c>
      <c r="FBG64" s="857">
        <f t="shared" si="106"/>
        <v>0</v>
      </c>
      <c r="FBH64" s="857">
        <f t="shared" si="106"/>
        <v>0</v>
      </c>
      <c r="FBI64" s="857">
        <f t="shared" si="106"/>
        <v>0</v>
      </c>
      <c r="FBJ64" s="857">
        <f t="shared" si="106"/>
        <v>0</v>
      </c>
      <c r="FBK64" s="857">
        <f t="shared" si="106"/>
        <v>0</v>
      </c>
      <c r="FBL64" s="857">
        <f t="shared" si="106"/>
        <v>0</v>
      </c>
      <c r="FBM64" s="857">
        <f t="shared" si="106"/>
        <v>0</v>
      </c>
      <c r="FBN64" s="857">
        <f t="shared" si="106"/>
        <v>0</v>
      </c>
      <c r="FBO64" s="857">
        <f t="shared" si="106"/>
        <v>0</v>
      </c>
      <c r="FBP64" s="857">
        <f t="shared" si="106"/>
        <v>0</v>
      </c>
      <c r="FBQ64" s="857">
        <f t="shared" si="106"/>
        <v>0</v>
      </c>
      <c r="FBR64" s="857">
        <f t="shared" si="106"/>
        <v>0</v>
      </c>
      <c r="FBS64" s="857">
        <f t="shared" si="106"/>
        <v>0</v>
      </c>
      <c r="FBT64" s="857">
        <f t="shared" si="106"/>
        <v>0</v>
      </c>
      <c r="FBU64" s="857">
        <f t="shared" si="106"/>
        <v>0</v>
      </c>
      <c r="FBV64" s="857">
        <f t="shared" si="106"/>
        <v>0</v>
      </c>
      <c r="FBW64" s="857">
        <f t="shared" si="106"/>
        <v>0</v>
      </c>
      <c r="FBX64" s="857">
        <f t="shared" si="106"/>
        <v>0</v>
      </c>
      <c r="FBY64" s="857">
        <f t="shared" si="106"/>
        <v>0</v>
      </c>
      <c r="FBZ64" s="857">
        <f t="shared" si="106"/>
        <v>0</v>
      </c>
      <c r="FCA64" s="857">
        <f t="shared" si="106"/>
        <v>0</v>
      </c>
      <c r="FCB64" s="857">
        <f t="shared" si="106"/>
        <v>0</v>
      </c>
      <c r="FCC64" s="857">
        <f t="shared" si="106"/>
        <v>0</v>
      </c>
      <c r="FCD64" s="857">
        <f t="shared" si="106"/>
        <v>0</v>
      </c>
      <c r="FCE64" s="857">
        <f t="shared" si="106"/>
        <v>0</v>
      </c>
      <c r="FCF64" s="857">
        <f t="shared" si="106"/>
        <v>0</v>
      </c>
      <c r="FCG64" s="857">
        <f t="shared" si="106"/>
        <v>0</v>
      </c>
      <c r="FCH64" s="857">
        <f t="shared" si="106"/>
        <v>0</v>
      </c>
      <c r="FCI64" s="857">
        <f t="shared" si="106"/>
        <v>0</v>
      </c>
      <c r="FCJ64" s="857">
        <f t="shared" si="106"/>
        <v>0</v>
      </c>
      <c r="FCK64" s="857">
        <f t="shared" si="106"/>
        <v>0</v>
      </c>
      <c r="FCL64" s="857">
        <f t="shared" si="106"/>
        <v>0</v>
      </c>
      <c r="FCM64" s="857">
        <f t="shared" si="106"/>
        <v>0</v>
      </c>
      <c r="FCN64" s="857">
        <f t="shared" si="106"/>
        <v>0</v>
      </c>
      <c r="FCO64" s="857">
        <f t="shared" si="106"/>
        <v>0</v>
      </c>
      <c r="FCP64" s="857">
        <f t="shared" si="106"/>
        <v>0</v>
      </c>
      <c r="FCQ64" s="857">
        <f t="shared" si="106"/>
        <v>0</v>
      </c>
      <c r="FCR64" s="857">
        <f t="shared" si="106"/>
        <v>0</v>
      </c>
      <c r="FCS64" s="857">
        <f t="shared" si="106"/>
        <v>0</v>
      </c>
      <c r="FCT64" s="857">
        <f t="shared" si="106"/>
        <v>0</v>
      </c>
      <c r="FCU64" s="857">
        <f t="shared" si="106"/>
        <v>0</v>
      </c>
      <c r="FCV64" s="857">
        <f t="shared" si="106"/>
        <v>0</v>
      </c>
      <c r="FCW64" s="857">
        <f t="shared" si="106"/>
        <v>0</v>
      </c>
      <c r="FCX64" s="857">
        <f t="shared" si="106"/>
        <v>0</v>
      </c>
      <c r="FCY64" s="857">
        <f t="shared" si="106"/>
        <v>0</v>
      </c>
      <c r="FCZ64" s="857">
        <f t="shared" si="106"/>
        <v>0</v>
      </c>
      <c r="FDA64" s="857">
        <f t="shared" si="106"/>
        <v>0</v>
      </c>
      <c r="FDB64" s="857">
        <f t="shared" si="106"/>
        <v>0</v>
      </c>
      <c r="FDC64" s="857">
        <f t="shared" si="106"/>
        <v>0</v>
      </c>
      <c r="FDD64" s="857">
        <f t="shared" si="106"/>
        <v>0</v>
      </c>
      <c r="FDE64" s="857">
        <f t="shared" si="106"/>
        <v>0</v>
      </c>
      <c r="FDF64" s="857">
        <f t="shared" ref="FDF64:FFQ64" si="107">(FDF57-FDF59)*$C$64</f>
        <v>0</v>
      </c>
      <c r="FDG64" s="857">
        <f t="shared" si="107"/>
        <v>0</v>
      </c>
      <c r="FDH64" s="857">
        <f t="shared" si="107"/>
        <v>0</v>
      </c>
      <c r="FDI64" s="857">
        <f t="shared" si="107"/>
        <v>0</v>
      </c>
      <c r="FDJ64" s="857">
        <f t="shared" si="107"/>
        <v>0</v>
      </c>
      <c r="FDK64" s="857">
        <f t="shared" si="107"/>
        <v>0</v>
      </c>
      <c r="FDL64" s="857">
        <f t="shared" si="107"/>
        <v>0</v>
      </c>
      <c r="FDM64" s="857">
        <f t="shared" si="107"/>
        <v>0</v>
      </c>
      <c r="FDN64" s="857">
        <f t="shared" si="107"/>
        <v>0</v>
      </c>
      <c r="FDO64" s="857">
        <f t="shared" si="107"/>
        <v>0</v>
      </c>
      <c r="FDP64" s="857">
        <f t="shared" si="107"/>
        <v>0</v>
      </c>
      <c r="FDQ64" s="857">
        <f t="shared" si="107"/>
        <v>0</v>
      </c>
      <c r="FDR64" s="857">
        <f t="shared" si="107"/>
        <v>0</v>
      </c>
      <c r="FDS64" s="857">
        <f t="shared" si="107"/>
        <v>0</v>
      </c>
      <c r="FDT64" s="857">
        <f t="shared" si="107"/>
        <v>0</v>
      </c>
      <c r="FDU64" s="857">
        <f t="shared" si="107"/>
        <v>0</v>
      </c>
      <c r="FDV64" s="857">
        <f t="shared" si="107"/>
        <v>0</v>
      </c>
      <c r="FDW64" s="857">
        <f t="shared" si="107"/>
        <v>0</v>
      </c>
      <c r="FDX64" s="857">
        <f t="shared" si="107"/>
        <v>0</v>
      </c>
      <c r="FDY64" s="857">
        <f t="shared" si="107"/>
        <v>0</v>
      </c>
      <c r="FDZ64" s="857">
        <f t="shared" si="107"/>
        <v>0</v>
      </c>
      <c r="FEA64" s="857">
        <f t="shared" si="107"/>
        <v>0</v>
      </c>
      <c r="FEB64" s="857">
        <f t="shared" si="107"/>
        <v>0</v>
      </c>
      <c r="FEC64" s="857">
        <f t="shared" si="107"/>
        <v>0</v>
      </c>
      <c r="FED64" s="857">
        <f t="shared" si="107"/>
        <v>0</v>
      </c>
      <c r="FEE64" s="857">
        <f t="shared" si="107"/>
        <v>0</v>
      </c>
      <c r="FEF64" s="857">
        <f t="shared" si="107"/>
        <v>0</v>
      </c>
      <c r="FEG64" s="857">
        <f t="shared" si="107"/>
        <v>0</v>
      </c>
      <c r="FEH64" s="857">
        <f t="shared" si="107"/>
        <v>0</v>
      </c>
      <c r="FEI64" s="857">
        <f t="shared" si="107"/>
        <v>0</v>
      </c>
      <c r="FEJ64" s="857">
        <f t="shared" si="107"/>
        <v>0</v>
      </c>
      <c r="FEK64" s="857">
        <f t="shared" si="107"/>
        <v>0</v>
      </c>
      <c r="FEL64" s="857">
        <f t="shared" si="107"/>
        <v>0</v>
      </c>
      <c r="FEM64" s="857">
        <f t="shared" si="107"/>
        <v>0</v>
      </c>
      <c r="FEN64" s="857">
        <f t="shared" si="107"/>
        <v>0</v>
      </c>
      <c r="FEO64" s="857">
        <f t="shared" si="107"/>
        <v>0</v>
      </c>
      <c r="FEP64" s="857">
        <f t="shared" si="107"/>
        <v>0</v>
      </c>
      <c r="FEQ64" s="857">
        <f t="shared" si="107"/>
        <v>0</v>
      </c>
      <c r="FER64" s="857">
        <f t="shared" si="107"/>
        <v>0</v>
      </c>
      <c r="FES64" s="857">
        <f t="shared" si="107"/>
        <v>0</v>
      </c>
      <c r="FET64" s="857">
        <f t="shared" si="107"/>
        <v>0</v>
      </c>
      <c r="FEU64" s="857">
        <f t="shared" si="107"/>
        <v>0</v>
      </c>
      <c r="FEV64" s="857">
        <f t="shared" si="107"/>
        <v>0</v>
      </c>
      <c r="FEW64" s="857">
        <f t="shared" si="107"/>
        <v>0</v>
      </c>
      <c r="FEX64" s="857">
        <f t="shared" si="107"/>
        <v>0</v>
      </c>
      <c r="FEY64" s="857">
        <f t="shared" si="107"/>
        <v>0</v>
      </c>
      <c r="FEZ64" s="857">
        <f t="shared" si="107"/>
        <v>0</v>
      </c>
      <c r="FFA64" s="857">
        <f t="shared" si="107"/>
        <v>0</v>
      </c>
      <c r="FFB64" s="857">
        <f t="shared" si="107"/>
        <v>0</v>
      </c>
      <c r="FFC64" s="857">
        <f t="shared" si="107"/>
        <v>0</v>
      </c>
      <c r="FFD64" s="857">
        <f t="shared" si="107"/>
        <v>0</v>
      </c>
      <c r="FFE64" s="857">
        <f t="shared" si="107"/>
        <v>0</v>
      </c>
      <c r="FFF64" s="857">
        <f t="shared" si="107"/>
        <v>0</v>
      </c>
      <c r="FFG64" s="857">
        <f t="shared" si="107"/>
        <v>0</v>
      </c>
      <c r="FFH64" s="857">
        <f t="shared" si="107"/>
        <v>0</v>
      </c>
      <c r="FFI64" s="857">
        <f t="shared" si="107"/>
        <v>0</v>
      </c>
      <c r="FFJ64" s="857">
        <f t="shared" si="107"/>
        <v>0</v>
      </c>
      <c r="FFK64" s="857">
        <f t="shared" si="107"/>
        <v>0</v>
      </c>
      <c r="FFL64" s="857">
        <f t="shared" si="107"/>
        <v>0</v>
      </c>
      <c r="FFM64" s="857">
        <f t="shared" si="107"/>
        <v>0</v>
      </c>
      <c r="FFN64" s="857">
        <f t="shared" si="107"/>
        <v>0</v>
      </c>
      <c r="FFO64" s="857">
        <f t="shared" si="107"/>
        <v>0</v>
      </c>
      <c r="FFP64" s="857">
        <f t="shared" si="107"/>
        <v>0</v>
      </c>
      <c r="FFQ64" s="857">
        <f t="shared" si="107"/>
        <v>0</v>
      </c>
      <c r="FFR64" s="857">
        <f t="shared" ref="FFR64:FIC64" si="108">(FFR57-FFR59)*$C$64</f>
        <v>0</v>
      </c>
      <c r="FFS64" s="857">
        <f t="shared" si="108"/>
        <v>0</v>
      </c>
      <c r="FFT64" s="857">
        <f t="shared" si="108"/>
        <v>0</v>
      </c>
      <c r="FFU64" s="857">
        <f t="shared" si="108"/>
        <v>0</v>
      </c>
      <c r="FFV64" s="857">
        <f t="shared" si="108"/>
        <v>0</v>
      </c>
      <c r="FFW64" s="857">
        <f t="shared" si="108"/>
        <v>0</v>
      </c>
      <c r="FFX64" s="857">
        <f t="shared" si="108"/>
        <v>0</v>
      </c>
      <c r="FFY64" s="857">
        <f t="shared" si="108"/>
        <v>0</v>
      </c>
      <c r="FFZ64" s="857">
        <f t="shared" si="108"/>
        <v>0</v>
      </c>
      <c r="FGA64" s="857">
        <f t="shared" si="108"/>
        <v>0</v>
      </c>
      <c r="FGB64" s="857">
        <f t="shared" si="108"/>
        <v>0</v>
      </c>
      <c r="FGC64" s="857">
        <f t="shared" si="108"/>
        <v>0</v>
      </c>
      <c r="FGD64" s="857">
        <f t="shared" si="108"/>
        <v>0</v>
      </c>
      <c r="FGE64" s="857">
        <f t="shared" si="108"/>
        <v>0</v>
      </c>
      <c r="FGF64" s="857">
        <f t="shared" si="108"/>
        <v>0</v>
      </c>
      <c r="FGG64" s="857">
        <f t="shared" si="108"/>
        <v>0</v>
      </c>
      <c r="FGH64" s="857">
        <f t="shared" si="108"/>
        <v>0</v>
      </c>
      <c r="FGI64" s="857">
        <f t="shared" si="108"/>
        <v>0</v>
      </c>
      <c r="FGJ64" s="857">
        <f t="shared" si="108"/>
        <v>0</v>
      </c>
      <c r="FGK64" s="857">
        <f t="shared" si="108"/>
        <v>0</v>
      </c>
      <c r="FGL64" s="857">
        <f t="shared" si="108"/>
        <v>0</v>
      </c>
      <c r="FGM64" s="857">
        <f t="shared" si="108"/>
        <v>0</v>
      </c>
      <c r="FGN64" s="857">
        <f t="shared" si="108"/>
        <v>0</v>
      </c>
      <c r="FGO64" s="857">
        <f t="shared" si="108"/>
        <v>0</v>
      </c>
      <c r="FGP64" s="857">
        <f t="shared" si="108"/>
        <v>0</v>
      </c>
      <c r="FGQ64" s="857">
        <f t="shared" si="108"/>
        <v>0</v>
      </c>
      <c r="FGR64" s="857">
        <f t="shared" si="108"/>
        <v>0</v>
      </c>
      <c r="FGS64" s="857">
        <f t="shared" si="108"/>
        <v>0</v>
      </c>
      <c r="FGT64" s="857">
        <f t="shared" si="108"/>
        <v>0</v>
      </c>
      <c r="FGU64" s="857">
        <f t="shared" si="108"/>
        <v>0</v>
      </c>
      <c r="FGV64" s="857">
        <f t="shared" si="108"/>
        <v>0</v>
      </c>
      <c r="FGW64" s="857">
        <f t="shared" si="108"/>
        <v>0</v>
      </c>
      <c r="FGX64" s="857">
        <f t="shared" si="108"/>
        <v>0</v>
      </c>
      <c r="FGY64" s="857">
        <f t="shared" si="108"/>
        <v>0</v>
      </c>
      <c r="FGZ64" s="857">
        <f t="shared" si="108"/>
        <v>0</v>
      </c>
      <c r="FHA64" s="857">
        <f t="shared" si="108"/>
        <v>0</v>
      </c>
      <c r="FHB64" s="857">
        <f t="shared" si="108"/>
        <v>0</v>
      </c>
      <c r="FHC64" s="857">
        <f t="shared" si="108"/>
        <v>0</v>
      </c>
      <c r="FHD64" s="857">
        <f t="shared" si="108"/>
        <v>0</v>
      </c>
      <c r="FHE64" s="857">
        <f t="shared" si="108"/>
        <v>0</v>
      </c>
      <c r="FHF64" s="857">
        <f t="shared" si="108"/>
        <v>0</v>
      </c>
      <c r="FHG64" s="857">
        <f t="shared" si="108"/>
        <v>0</v>
      </c>
      <c r="FHH64" s="857">
        <f t="shared" si="108"/>
        <v>0</v>
      </c>
      <c r="FHI64" s="857">
        <f t="shared" si="108"/>
        <v>0</v>
      </c>
      <c r="FHJ64" s="857">
        <f t="shared" si="108"/>
        <v>0</v>
      </c>
      <c r="FHK64" s="857">
        <f t="shared" si="108"/>
        <v>0</v>
      </c>
      <c r="FHL64" s="857">
        <f t="shared" si="108"/>
        <v>0</v>
      </c>
      <c r="FHM64" s="857">
        <f t="shared" si="108"/>
        <v>0</v>
      </c>
      <c r="FHN64" s="857">
        <f t="shared" si="108"/>
        <v>0</v>
      </c>
      <c r="FHO64" s="857">
        <f t="shared" si="108"/>
        <v>0</v>
      </c>
      <c r="FHP64" s="857">
        <f t="shared" si="108"/>
        <v>0</v>
      </c>
      <c r="FHQ64" s="857">
        <f t="shared" si="108"/>
        <v>0</v>
      </c>
      <c r="FHR64" s="857">
        <f t="shared" si="108"/>
        <v>0</v>
      </c>
      <c r="FHS64" s="857">
        <f t="shared" si="108"/>
        <v>0</v>
      </c>
      <c r="FHT64" s="857">
        <f t="shared" si="108"/>
        <v>0</v>
      </c>
      <c r="FHU64" s="857">
        <f t="shared" si="108"/>
        <v>0</v>
      </c>
      <c r="FHV64" s="857">
        <f t="shared" si="108"/>
        <v>0</v>
      </c>
      <c r="FHW64" s="857">
        <f t="shared" si="108"/>
        <v>0</v>
      </c>
      <c r="FHX64" s="857">
        <f t="shared" si="108"/>
        <v>0</v>
      </c>
      <c r="FHY64" s="857">
        <f t="shared" si="108"/>
        <v>0</v>
      </c>
      <c r="FHZ64" s="857">
        <f t="shared" si="108"/>
        <v>0</v>
      </c>
      <c r="FIA64" s="857">
        <f t="shared" si="108"/>
        <v>0</v>
      </c>
      <c r="FIB64" s="857">
        <f t="shared" si="108"/>
        <v>0</v>
      </c>
      <c r="FIC64" s="857">
        <f t="shared" si="108"/>
        <v>0</v>
      </c>
      <c r="FID64" s="857">
        <f t="shared" ref="FID64:FKO64" si="109">(FID57-FID59)*$C$64</f>
        <v>0</v>
      </c>
      <c r="FIE64" s="857">
        <f t="shared" si="109"/>
        <v>0</v>
      </c>
      <c r="FIF64" s="857">
        <f t="shared" si="109"/>
        <v>0</v>
      </c>
      <c r="FIG64" s="857">
        <f t="shared" si="109"/>
        <v>0</v>
      </c>
      <c r="FIH64" s="857">
        <f t="shared" si="109"/>
        <v>0</v>
      </c>
      <c r="FII64" s="857">
        <f t="shared" si="109"/>
        <v>0</v>
      </c>
      <c r="FIJ64" s="857">
        <f t="shared" si="109"/>
        <v>0</v>
      </c>
      <c r="FIK64" s="857">
        <f t="shared" si="109"/>
        <v>0</v>
      </c>
      <c r="FIL64" s="857">
        <f t="shared" si="109"/>
        <v>0</v>
      </c>
      <c r="FIM64" s="857">
        <f t="shared" si="109"/>
        <v>0</v>
      </c>
      <c r="FIN64" s="857">
        <f t="shared" si="109"/>
        <v>0</v>
      </c>
      <c r="FIO64" s="857">
        <f t="shared" si="109"/>
        <v>0</v>
      </c>
      <c r="FIP64" s="857">
        <f t="shared" si="109"/>
        <v>0</v>
      </c>
      <c r="FIQ64" s="857">
        <f t="shared" si="109"/>
        <v>0</v>
      </c>
      <c r="FIR64" s="857">
        <f t="shared" si="109"/>
        <v>0</v>
      </c>
      <c r="FIS64" s="857">
        <f t="shared" si="109"/>
        <v>0</v>
      </c>
      <c r="FIT64" s="857">
        <f t="shared" si="109"/>
        <v>0</v>
      </c>
      <c r="FIU64" s="857">
        <f t="shared" si="109"/>
        <v>0</v>
      </c>
      <c r="FIV64" s="857">
        <f t="shared" si="109"/>
        <v>0</v>
      </c>
      <c r="FIW64" s="857">
        <f t="shared" si="109"/>
        <v>0</v>
      </c>
      <c r="FIX64" s="857">
        <f t="shared" si="109"/>
        <v>0</v>
      </c>
      <c r="FIY64" s="857">
        <f t="shared" si="109"/>
        <v>0</v>
      </c>
      <c r="FIZ64" s="857">
        <f t="shared" si="109"/>
        <v>0</v>
      </c>
      <c r="FJA64" s="857">
        <f t="shared" si="109"/>
        <v>0</v>
      </c>
      <c r="FJB64" s="857">
        <f t="shared" si="109"/>
        <v>0</v>
      </c>
      <c r="FJC64" s="857">
        <f t="shared" si="109"/>
        <v>0</v>
      </c>
      <c r="FJD64" s="857">
        <f t="shared" si="109"/>
        <v>0</v>
      </c>
      <c r="FJE64" s="857">
        <f t="shared" si="109"/>
        <v>0</v>
      </c>
      <c r="FJF64" s="857">
        <f t="shared" si="109"/>
        <v>0</v>
      </c>
      <c r="FJG64" s="857">
        <f t="shared" si="109"/>
        <v>0</v>
      </c>
      <c r="FJH64" s="857">
        <f t="shared" si="109"/>
        <v>0</v>
      </c>
      <c r="FJI64" s="857">
        <f t="shared" si="109"/>
        <v>0</v>
      </c>
      <c r="FJJ64" s="857">
        <f t="shared" si="109"/>
        <v>0</v>
      </c>
      <c r="FJK64" s="857">
        <f t="shared" si="109"/>
        <v>0</v>
      </c>
      <c r="FJL64" s="857">
        <f t="shared" si="109"/>
        <v>0</v>
      </c>
      <c r="FJM64" s="857">
        <f t="shared" si="109"/>
        <v>0</v>
      </c>
      <c r="FJN64" s="857">
        <f t="shared" si="109"/>
        <v>0</v>
      </c>
      <c r="FJO64" s="857">
        <f t="shared" si="109"/>
        <v>0</v>
      </c>
      <c r="FJP64" s="857">
        <f t="shared" si="109"/>
        <v>0</v>
      </c>
      <c r="FJQ64" s="857">
        <f t="shared" si="109"/>
        <v>0</v>
      </c>
      <c r="FJR64" s="857">
        <f t="shared" si="109"/>
        <v>0</v>
      </c>
      <c r="FJS64" s="857">
        <f t="shared" si="109"/>
        <v>0</v>
      </c>
      <c r="FJT64" s="857">
        <f t="shared" si="109"/>
        <v>0</v>
      </c>
      <c r="FJU64" s="857">
        <f t="shared" si="109"/>
        <v>0</v>
      </c>
      <c r="FJV64" s="857">
        <f t="shared" si="109"/>
        <v>0</v>
      </c>
      <c r="FJW64" s="857">
        <f t="shared" si="109"/>
        <v>0</v>
      </c>
      <c r="FJX64" s="857">
        <f t="shared" si="109"/>
        <v>0</v>
      </c>
      <c r="FJY64" s="857">
        <f t="shared" si="109"/>
        <v>0</v>
      </c>
      <c r="FJZ64" s="857">
        <f t="shared" si="109"/>
        <v>0</v>
      </c>
      <c r="FKA64" s="857">
        <f t="shared" si="109"/>
        <v>0</v>
      </c>
      <c r="FKB64" s="857">
        <f t="shared" si="109"/>
        <v>0</v>
      </c>
      <c r="FKC64" s="857">
        <f t="shared" si="109"/>
        <v>0</v>
      </c>
      <c r="FKD64" s="857">
        <f t="shared" si="109"/>
        <v>0</v>
      </c>
      <c r="FKE64" s="857">
        <f t="shared" si="109"/>
        <v>0</v>
      </c>
      <c r="FKF64" s="857">
        <f t="shared" si="109"/>
        <v>0</v>
      </c>
      <c r="FKG64" s="857">
        <f t="shared" si="109"/>
        <v>0</v>
      </c>
      <c r="FKH64" s="857">
        <f t="shared" si="109"/>
        <v>0</v>
      </c>
      <c r="FKI64" s="857">
        <f t="shared" si="109"/>
        <v>0</v>
      </c>
      <c r="FKJ64" s="857">
        <f t="shared" si="109"/>
        <v>0</v>
      </c>
      <c r="FKK64" s="857">
        <f t="shared" si="109"/>
        <v>0</v>
      </c>
      <c r="FKL64" s="857">
        <f t="shared" si="109"/>
        <v>0</v>
      </c>
      <c r="FKM64" s="857">
        <f t="shared" si="109"/>
        <v>0</v>
      </c>
      <c r="FKN64" s="857">
        <f t="shared" si="109"/>
        <v>0</v>
      </c>
      <c r="FKO64" s="857">
        <f t="shared" si="109"/>
        <v>0</v>
      </c>
      <c r="FKP64" s="857">
        <f t="shared" ref="FKP64:FNA64" si="110">(FKP57-FKP59)*$C$64</f>
        <v>0</v>
      </c>
      <c r="FKQ64" s="857">
        <f t="shared" si="110"/>
        <v>0</v>
      </c>
      <c r="FKR64" s="857">
        <f t="shared" si="110"/>
        <v>0</v>
      </c>
      <c r="FKS64" s="857">
        <f t="shared" si="110"/>
        <v>0</v>
      </c>
      <c r="FKT64" s="857">
        <f t="shared" si="110"/>
        <v>0</v>
      </c>
      <c r="FKU64" s="857">
        <f t="shared" si="110"/>
        <v>0</v>
      </c>
      <c r="FKV64" s="857">
        <f t="shared" si="110"/>
        <v>0</v>
      </c>
      <c r="FKW64" s="857">
        <f t="shared" si="110"/>
        <v>0</v>
      </c>
      <c r="FKX64" s="857">
        <f t="shared" si="110"/>
        <v>0</v>
      </c>
      <c r="FKY64" s="857">
        <f t="shared" si="110"/>
        <v>0</v>
      </c>
      <c r="FKZ64" s="857">
        <f t="shared" si="110"/>
        <v>0</v>
      </c>
      <c r="FLA64" s="857">
        <f t="shared" si="110"/>
        <v>0</v>
      </c>
      <c r="FLB64" s="857">
        <f t="shared" si="110"/>
        <v>0</v>
      </c>
      <c r="FLC64" s="857">
        <f t="shared" si="110"/>
        <v>0</v>
      </c>
      <c r="FLD64" s="857">
        <f t="shared" si="110"/>
        <v>0</v>
      </c>
      <c r="FLE64" s="857">
        <f t="shared" si="110"/>
        <v>0</v>
      </c>
      <c r="FLF64" s="857">
        <f t="shared" si="110"/>
        <v>0</v>
      </c>
      <c r="FLG64" s="857">
        <f t="shared" si="110"/>
        <v>0</v>
      </c>
      <c r="FLH64" s="857">
        <f t="shared" si="110"/>
        <v>0</v>
      </c>
      <c r="FLI64" s="857">
        <f t="shared" si="110"/>
        <v>0</v>
      </c>
      <c r="FLJ64" s="857">
        <f t="shared" si="110"/>
        <v>0</v>
      </c>
      <c r="FLK64" s="857">
        <f t="shared" si="110"/>
        <v>0</v>
      </c>
      <c r="FLL64" s="857">
        <f t="shared" si="110"/>
        <v>0</v>
      </c>
      <c r="FLM64" s="857">
        <f t="shared" si="110"/>
        <v>0</v>
      </c>
      <c r="FLN64" s="857">
        <f t="shared" si="110"/>
        <v>0</v>
      </c>
      <c r="FLO64" s="857">
        <f t="shared" si="110"/>
        <v>0</v>
      </c>
      <c r="FLP64" s="857">
        <f t="shared" si="110"/>
        <v>0</v>
      </c>
      <c r="FLQ64" s="857">
        <f t="shared" si="110"/>
        <v>0</v>
      </c>
      <c r="FLR64" s="857">
        <f t="shared" si="110"/>
        <v>0</v>
      </c>
      <c r="FLS64" s="857">
        <f t="shared" si="110"/>
        <v>0</v>
      </c>
      <c r="FLT64" s="857">
        <f t="shared" si="110"/>
        <v>0</v>
      </c>
      <c r="FLU64" s="857">
        <f t="shared" si="110"/>
        <v>0</v>
      </c>
      <c r="FLV64" s="857">
        <f t="shared" si="110"/>
        <v>0</v>
      </c>
      <c r="FLW64" s="857">
        <f t="shared" si="110"/>
        <v>0</v>
      </c>
      <c r="FLX64" s="857">
        <f t="shared" si="110"/>
        <v>0</v>
      </c>
      <c r="FLY64" s="857">
        <f t="shared" si="110"/>
        <v>0</v>
      </c>
      <c r="FLZ64" s="857">
        <f t="shared" si="110"/>
        <v>0</v>
      </c>
      <c r="FMA64" s="857">
        <f t="shared" si="110"/>
        <v>0</v>
      </c>
      <c r="FMB64" s="857">
        <f t="shared" si="110"/>
        <v>0</v>
      </c>
      <c r="FMC64" s="857">
        <f t="shared" si="110"/>
        <v>0</v>
      </c>
      <c r="FMD64" s="857">
        <f t="shared" si="110"/>
        <v>0</v>
      </c>
      <c r="FME64" s="857">
        <f t="shared" si="110"/>
        <v>0</v>
      </c>
      <c r="FMF64" s="857">
        <f t="shared" si="110"/>
        <v>0</v>
      </c>
      <c r="FMG64" s="857">
        <f t="shared" si="110"/>
        <v>0</v>
      </c>
      <c r="FMH64" s="857">
        <f t="shared" si="110"/>
        <v>0</v>
      </c>
      <c r="FMI64" s="857">
        <f t="shared" si="110"/>
        <v>0</v>
      </c>
      <c r="FMJ64" s="857">
        <f t="shared" si="110"/>
        <v>0</v>
      </c>
      <c r="FMK64" s="857">
        <f t="shared" si="110"/>
        <v>0</v>
      </c>
      <c r="FML64" s="857">
        <f t="shared" si="110"/>
        <v>0</v>
      </c>
      <c r="FMM64" s="857">
        <f t="shared" si="110"/>
        <v>0</v>
      </c>
      <c r="FMN64" s="857">
        <f t="shared" si="110"/>
        <v>0</v>
      </c>
      <c r="FMO64" s="857">
        <f t="shared" si="110"/>
        <v>0</v>
      </c>
      <c r="FMP64" s="857">
        <f t="shared" si="110"/>
        <v>0</v>
      </c>
      <c r="FMQ64" s="857">
        <f t="shared" si="110"/>
        <v>0</v>
      </c>
      <c r="FMR64" s="857">
        <f t="shared" si="110"/>
        <v>0</v>
      </c>
      <c r="FMS64" s="857">
        <f t="shared" si="110"/>
        <v>0</v>
      </c>
      <c r="FMT64" s="857">
        <f t="shared" si="110"/>
        <v>0</v>
      </c>
      <c r="FMU64" s="857">
        <f t="shared" si="110"/>
        <v>0</v>
      </c>
      <c r="FMV64" s="857">
        <f t="shared" si="110"/>
        <v>0</v>
      </c>
      <c r="FMW64" s="857">
        <f t="shared" si="110"/>
        <v>0</v>
      </c>
      <c r="FMX64" s="857">
        <f t="shared" si="110"/>
        <v>0</v>
      </c>
      <c r="FMY64" s="857">
        <f t="shared" si="110"/>
        <v>0</v>
      </c>
      <c r="FMZ64" s="857">
        <f t="shared" si="110"/>
        <v>0</v>
      </c>
      <c r="FNA64" s="857">
        <f t="shared" si="110"/>
        <v>0</v>
      </c>
      <c r="FNB64" s="857">
        <f t="shared" ref="FNB64:FPM64" si="111">(FNB57-FNB59)*$C$64</f>
        <v>0</v>
      </c>
      <c r="FNC64" s="857">
        <f t="shared" si="111"/>
        <v>0</v>
      </c>
      <c r="FND64" s="857">
        <f t="shared" si="111"/>
        <v>0</v>
      </c>
      <c r="FNE64" s="857">
        <f t="shared" si="111"/>
        <v>0</v>
      </c>
      <c r="FNF64" s="857">
        <f t="shared" si="111"/>
        <v>0</v>
      </c>
      <c r="FNG64" s="857">
        <f t="shared" si="111"/>
        <v>0</v>
      </c>
      <c r="FNH64" s="857">
        <f t="shared" si="111"/>
        <v>0</v>
      </c>
      <c r="FNI64" s="857">
        <f t="shared" si="111"/>
        <v>0</v>
      </c>
      <c r="FNJ64" s="857">
        <f t="shared" si="111"/>
        <v>0</v>
      </c>
      <c r="FNK64" s="857">
        <f t="shared" si="111"/>
        <v>0</v>
      </c>
      <c r="FNL64" s="857">
        <f t="shared" si="111"/>
        <v>0</v>
      </c>
      <c r="FNM64" s="857">
        <f t="shared" si="111"/>
        <v>0</v>
      </c>
      <c r="FNN64" s="857">
        <f t="shared" si="111"/>
        <v>0</v>
      </c>
      <c r="FNO64" s="857">
        <f t="shared" si="111"/>
        <v>0</v>
      </c>
      <c r="FNP64" s="857">
        <f t="shared" si="111"/>
        <v>0</v>
      </c>
      <c r="FNQ64" s="857">
        <f t="shared" si="111"/>
        <v>0</v>
      </c>
      <c r="FNR64" s="857">
        <f t="shared" si="111"/>
        <v>0</v>
      </c>
      <c r="FNS64" s="857">
        <f t="shared" si="111"/>
        <v>0</v>
      </c>
      <c r="FNT64" s="857">
        <f t="shared" si="111"/>
        <v>0</v>
      </c>
      <c r="FNU64" s="857">
        <f t="shared" si="111"/>
        <v>0</v>
      </c>
      <c r="FNV64" s="857">
        <f t="shared" si="111"/>
        <v>0</v>
      </c>
      <c r="FNW64" s="857">
        <f t="shared" si="111"/>
        <v>0</v>
      </c>
      <c r="FNX64" s="857">
        <f t="shared" si="111"/>
        <v>0</v>
      </c>
      <c r="FNY64" s="857">
        <f t="shared" si="111"/>
        <v>0</v>
      </c>
      <c r="FNZ64" s="857">
        <f t="shared" si="111"/>
        <v>0</v>
      </c>
      <c r="FOA64" s="857">
        <f t="shared" si="111"/>
        <v>0</v>
      </c>
      <c r="FOB64" s="857">
        <f t="shared" si="111"/>
        <v>0</v>
      </c>
      <c r="FOC64" s="857">
        <f t="shared" si="111"/>
        <v>0</v>
      </c>
      <c r="FOD64" s="857">
        <f t="shared" si="111"/>
        <v>0</v>
      </c>
      <c r="FOE64" s="857">
        <f t="shared" si="111"/>
        <v>0</v>
      </c>
      <c r="FOF64" s="857">
        <f t="shared" si="111"/>
        <v>0</v>
      </c>
      <c r="FOG64" s="857">
        <f t="shared" si="111"/>
        <v>0</v>
      </c>
      <c r="FOH64" s="857">
        <f t="shared" si="111"/>
        <v>0</v>
      </c>
      <c r="FOI64" s="857">
        <f t="shared" si="111"/>
        <v>0</v>
      </c>
      <c r="FOJ64" s="857">
        <f t="shared" si="111"/>
        <v>0</v>
      </c>
      <c r="FOK64" s="857">
        <f t="shared" si="111"/>
        <v>0</v>
      </c>
      <c r="FOL64" s="857">
        <f t="shared" si="111"/>
        <v>0</v>
      </c>
      <c r="FOM64" s="857">
        <f t="shared" si="111"/>
        <v>0</v>
      </c>
      <c r="FON64" s="857">
        <f t="shared" si="111"/>
        <v>0</v>
      </c>
      <c r="FOO64" s="857">
        <f t="shared" si="111"/>
        <v>0</v>
      </c>
      <c r="FOP64" s="857">
        <f t="shared" si="111"/>
        <v>0</v>
      </c>
      <c r="FOQ64" s="857">
        <f t="shared" si="111"/>
        <v>0</v>
      </c>
      <c r="FOR64" s="857">
        <f t="shared" si="111"/>
        <v>0</v>
      </c>
      <c r="FOS64" s="857">
        <f t="shared" si="111"/>
        <v>0</v>
      </c>
      <c r="FOT64" s="857">
        <f t="shared" si="111"/>
        <v>0</v>
      </c>
      <c r="FOU64" s="857">
        <f t="shared" si="111"/>
        <v>0</v>
      </c>
      <c r="FOV64" s="857">
        <f t="shared" si="111"/>
        <v>0</v>
      </c>
      <c r="FOW64" s="857">
        <f t="shared" si="111"/>
        <v>0</v>
      </c>
      <c r="FOX64" s="857">
        <f t="shared" si="111"/>
        <v>0</v>
      </c>
      <c r="FOY64" s="857">
        <f t="shared" si="111"/>
        <v>0</v>
      </c>
      <c r="FOZ64" s="857">
        <f t="shared" si="111"/>
        <v>0</v>
      </c>
      <c r="FPA64" s="857">
        <f t="shared" si="111"/>
        <v>0</v>
      </c>
      <c r="FPB64" s="857">
        <f t="shared" si="111"/>
        <v>0</v>
      </c>
      <c r="FPC64" s="857">
        <f t="shared" si="111"/>
        <v>0</v>
      </c>
      <c r="FPD64" s="857">
        <f t="shared" si="111"/>
        <v>0</v>
      </c>
      <c r="FPE64" s="857">
        <f t="shared" si="111"/>
        <v>0</v>
      </c>
      <c r="FPF64" s="857">
        <f t="shared" si="111"/>
        <v>0</v>
      </c>
      <c r="FPG64" s="857">
        <f t="shared" si="111"/>
        <v>0</v>
      </c>
      <c r="FPH64" s="857">
        <f t="shared" si="111"/>
        <v>0</v>
      </c>
      <c r="FPI64" s="857">
        <f t="shared" si="111"/>
        <v>0</v>
      </c>
      <c r="FPJ64" s="857">
        <f t="shared" si="111"/>
        <v>0</v>
      </c>
      <c r="FPK64" s="857">
        <f t="shared" si="111"/>
        <v>0</v>
      </c>
      <c r="FPL64" s="857">
        <f t="shared" si="111"/>
        <v>0</v>
      </c>
      <c r="FPM64" s="857">
        <f t="shared" si="111"/>
        <v>0</v>
      </c>
      <c r="FPN64" s="857">
        <f t="shared" ref="FPN64:FRY64" si="112">(FPN57-FPN59)*$C$64</f>
        <v>0</v>
      </c>
      <c r="FPO64" s="857">
        <f t="shared" si="112"/>
        <v>0</v>
      </c>
      <c r="FPP64" s="857">
        <f t="shared" si="112"/>
        <v>0</v>
      </c>
      <c r="FPQ64" s="857">
        <f t="shared" si="112"/>
        <v>0</v>
      </c>
      <c r="FPR64" s="857">
        <f t="shared" si="112"/>
        <v>0</v>
      </c>
      <c r="FPS64" s="857">
        <f t="shared" si="112"/>
        <v>0</v>
      </c>
      <c r="FPT64" s="857">
        <f t="shared" si="112"/>
        <v>0</v>
      </c>
      <c r="FPU64" s="857">
        <f t="shared" si="112"/>
        <v>0</v>
      </c>
      <c r="FPV64" s="857">
        <f t="shared" si="112"/>
        <v>0</v>
      </c>
      <c r="FPW64" s="857">
        <f t="shared" si="112"/>
        <v>0</v>
      </c>
      <c r="FPX64" s="857">
        <f t="shared" si="112"/>
        <v>0</v>
      </c>
      <c r="FPY64" s="857">
        <f t="shared" si="112"/>
        <v>0</v>
      </c>
      <c r="FPZ64" s="857">
        <f t="shared" si="112"/>
        <v>0</v>
      </c>
      <c r="FQA64" s="857">
        <f t="shared" si="112"/>
        <v>0</v>
      </c>
      <c r="FQB64" s="857">
        <f t="shared" si="112"/>
        <v>0</v>
      </c>
      <c r="FQC64" s="857">
        <f t="shared" si="112"/>
        <v>0</v>
      </c>
      <c r="FQD64" s="857">
        <f t="shared" si="112"/>
        <v>0</v>
      </c>
      <c r="FQE64" s="857">
        <f t="shared" si="112"/>
        <v>0</v>
      </c>
      <c r="FQF64" s="857">
        <f t="shared" si="112"/>
        <v>0</v>
      </c>
      <c r="FQG64" s="857">
        <f t="shared" si="112"/>
        <v>0</v>
      </c>
      <c r="FQH64" s="857">
        <f t="shared" si="112"/>
        <v>0</v>
      </c>
      <c r="FQI64" s="857">
        <f t="shared" si="112"/>
        <v>0</v>
      </c>
      <c r="FQJ64" s="857">
        <f t="shared" si="112"/>
        <v>0</v>
      </c>
      <c r="FQK64" s="857">
        <f t="shared" si="112"/>
        <v>0</v>
      </c>
      <c r="FQL64" s="857">
        <f t="shared" si="112"/>
        <v>0</v>
      </c>
      <c r="FQM64" s="857">
        <f t="shared" si="112"/>
        <v>0</v>
      </c>
      <c r="FQN64" s="857">
        <f t="shared" si="112"/>
        <v>0</v>
      </c>
      <c r="FQO64" s="857">
        <f t="shared" si="112"/>
        <v>0</v>
      </c>
      <c r="FQP64" s="857">
        <f t="shared" si="112"/>
        <v>0</v>
      </c>
      <c r="FQQ64" s="857">
        <f t="shared" si="112"/>
        <v>0</v>
      </c>
      <c r="FQR64" s="857">
        <f t="shared" si="112"/>
        <v>0</v>
      </c>
      <c r="FQS64" s="857">
        <f t="shared" si="112"/>
        <v>0</v>
      </c>
      <c r="FQT64" s="857">
        <f t="shared" si="112"/>
        <v>0</v>
      </c>
      <c r="FQU64" s="857">
        <f t="shared" si="112"/>
        <v>0</v>
      </c>
      <c r="FQV64" s="857">
        <f t="shared" si="112"/>
        <v>0</v>
      </c>
      <c r="FQW64" s="857">
        <f t="shared" si="112"/>
        <v>0</v>
      </c>
      <c r="FQX64" s="857">
        <f t="shared" si="112"/>
        <v>0</v>
      </c>
      <c r="FQY64" s="857">
        <f t="shared" si="112"/>
        <v>0</v>
      </c>
      <c r="FQZ64" s="857">
        <f t="shared" si="112"/>
        <v>0</v>
      </c>
      <c r="FRA64" s="857">
        <f t="shared" si="112"/>
        <v>0</v>
      </c>
      <c r="FRB64" s="857">
        <f t="shared" si="112"/>
        <v>0</v>
      </c>
      <c r="FRC64" s="857">
        <f t="shared" si="112"/>
        <v>0</v>
      </c>
      <c r="FRD64" s="857">
        <f t="shared" si="112"/>
        <v>0</v>
      </c>
      <c r="FRE64" s="857">
        <f t="shared" si="112"/>
        <v>0</v>
      </c>
      <c r="FRF64" s="857">
        <f t="shared" si="112"/>
        <v>0</v>
      </c>
      <c r="FRG64" s="857">
        <f t="shared" si="112"/>
        <v>0</v>
      </c>
      <c r="FRH64" s="857">
        <f t="shared" si="112"/>
        <v>0</v>
      </c>
      <c r="FRI64" s="857">
        <f t="shared" si="112"/>
        <v>0</v>
      </c>
      <c r="FRJ64" s="857">
        <f t="shared" si="112"/>
        <v>0</v>
      </c>
      <c r="FRK64" s="857">
        <f t="shared" si="112"/>
        <v>0</v>
      </c>
      <c r="FRL64" s="857">
        <f t="shared" si="112"/>
        <v>0</v>
      </c>
      <c r="FRM64" s="857">
        <f t="shared" si="112"/>
        <v>0</v>
      </c>
      <c r="FRN64" s="857">
        <f t="shared" si="112"/>
        <v>0</v>
      </c>
      <c r="FRO64" s="857">
        <f t="shared" si="112"/>
        <v>0</v>
      </c>
      <c r="FRP64" s="857">
        <f t="shared" si="112"/>
        <v>0</v>
      </c>
      <c r="FRQ64" s="857">
        <f t="shared" si="112"/>
        <v>0</v>
      </c>
      <c r="FRR64" s="857">
        <f t="shared" si="112"/>
        <v>0</v>
      </c>
      <c r="FRS64" s="857">
        <f t="shared" si="112"/>
        <v>0</v>
      </c>
      <c r="FRT64" s="857">
        <f t="shared" si="112"/>
        <v>0</v>
      </c>
      <c r="FRU64" s="857">
        <f t="shared" si="112"/>
        <v>0</v>
      </c>
      <c r="FRV64" s="857">
        <f t="shared" si="112"/>
        <v>0</v>
      </c>
      <c r="FRW64" s="857">
        <f t="shared" si="112"/>
        <v>0</v>
      </c>
      <c r="FRX64" s="857">
        <f t="shared" si="112"/>
        <v>0</v>
      </c>
      <c r="FRY64" s="857">
        <f t="shared" si="112"/>
        <v>0</v>
      </c>
      <c r="FRZ64" s="857">
        <f t="shared" ref="FRZ64:FUK64" si="113">(FRZ57-FRZ59)*$C$64</f>
        <v>0</v>
      </c>
      <c r="FSA64" s="857">
        <f t="shared" si="113"/>
        <v>0</v>
      </c>
      <c r="FSB64" s="857">
        <f t="shared" si="113"/>
        <v>0</v>
      </c>
      <c r="FSC64" s="857">
        <f t="shared" si="113"/>
        <v>0</v>
      </c>
      <c r="FSD64" s="857">
        <f t="shared" si="113"/>
        <v>0</v>
      </c>
      <c r="FSE64" s="857">
        <f t="shared" si="113"/>
        <v>0</v>
      </c>
      <c r="FSF64" s="857">
        <f t="shared" si="113"/>
        <v>0</v>
      </c>
      <c r="FSG64" s="857">
        <f t="shared" si="113"/>
        <v>0</v>
      </c>
      <c r="FSH64" s="857">
        <f t="shared" si="113"/>
        <v>0</v>
      </c>
      <c r="FSI64" s="857">
        <f t="shared" si="113"/>
        <v>0</v>
      </c>
      <c r="FSJ64" s="857">
        <f t="shared" si="113"/>
        <v>0</v>
      </c>
      <c r="FSK64" s="857">
        <f t="shared" si="113"/>
        <v>0</v>
      </c>
      <c r="FSL64" s="857">
        <f t="shared" si="113"/>
        <v>0</v>
      </c>
      <c r="FSM64" s="857">
        <f t="shared" si="113"/>
        <v>0</v>
      </c>
      <c r="FSN64" s="857">
        <f t="shared" si="113"/>
        <v>0</v>
      </c>
      <c r="FSO64" s="857">
        <f t="shared" si="113"/>
        <v>0</v>
      </c>
      <c r="FSP64" s="857">
        <f t="shared" si="113"/>
        <v>0</v>
      </c>
      <c r="FSQ64" s="857">
        <f t="shared" si="113"/>
        <v>0</v>
      </c>
      <c r="FSR64" s="857">
        <f t="shared" si="113"/>
        <v>0</v>
      </c>
      <c r="FSS64" s="857">
        <f t="shared" si="113"/>
        <v>0</v>
      </c>
      <c r="FST64" s="857">
        <f t="shared" si="113"/>
        <v>0</v>
      </c>
      <c r="FSU64" s="857">
        <f t="shared" si="113"/>
        <v>0</v>
      </c>
      <c r="FSV64" s="857">
        <f t="shared" si="113"/>
        <v>0</v>
      </c>
      <c r="FSW64" s="857">
        <f t="shared" si="113"/>
        <v>0</v>
      </c>
      <c r="FSX64" s="857">
        <f t="shared" si="113"/>
        <v>0</v>
      </c>
      <c r="FSY64" s="857">
        <f t="shared" si="113"/>
        <v>0</v>
      </c>
      <c r="FSZ64" s="857">
        <f t="shared" si="113"/>
        <v>0</v>
      </c>
      <c r="FTA64" s="857">
        <f t="shared" si="113"/>
        <v>0</v>
      </c>
      <c r="FTB64" s="857">
        <f t="shared" si="113"/>
        <v>0</v>
      </c>
      <c r="FTC64" s="857">
        <f t="shared" si="113"/>
        <v>0</v>
      </c>
      <c r="FTD64" s="857">
        <f t="shared" si="113"/>
        <v>0</v>
      </c>
      <c r="FTE64" s="857">
        <f t="shared" si="113"/>
        <v>0</v>
      </c>
      <c r="FTF64" s="857">
        <f t="shared" si="113"/>
        <v>0</v>
      </c>
      <c r="FTG64" s="857">
        <f t="shared" si="113"/>
        <v>0</v>
      </c>
      <c r="FTH64" s="857">
        <f t="shared" si="113"/>
        <v>0</v>
      </c>
      <c r="FTI64" s="857">
        <f t="shared" si="113"/>
        <v>0</v>
      </c>
      <c r="FTJ64" s="857">
        <f t="shared" si="113"/>
        <v>0</v>
      </c>
      <c r="FTK64" s="857">
        <f t="shared" si="113"/>
        <v>0</v>
      </c>
      <c r="FTL64" s="857">
        <f t="shared" si="113"/>
        <v>0</v>
      </c>
      <c r="FTM64" s="857">
        <f t="shared" si="113"/>
        <v>0</v>
      </c>
      <c r="FTN64" s="857">
        <f t="shared" si="113"/>
        <v>0</v>
      </c>
      <c r="FTO64" s="857">
        <f t="shared" si="113"/>
        <v>0</v>
      </c>
      <c r="FTP64" s="857">
        <f t="shared" si="113"/>
        <v>0</v>
      </c>
      <c r="FTQ64" s="857">
        <f t="shared" si="113"/>
        <v>0</v>
      </c>
      <c r="FTR64" s="857">
        <f t="shared" si="113"/>
        <v>0</v>
      </c>
      <c r="FTS64" s="857">
        <f t="shared" si="113"/>
        <v>0</v>
      </c>
      <c r="FTT64" s="857">
        <f t="shared" si="113"/>
        <v>0</v>
      </c>
      <c r="FTU64" s="857">
        <f t="shared" si="113"/>
        <v>0</v>
      </c>
      <c r="FTV64" s="857">
        <f t="shared" si="113"/>
        <v>0</v>
      </c>
      <c r="FTW64" s="857">
        <f t="shared" si="113"/>
        <v>0</v>
      </c>
      <c r="FTX64" s="857">
        <f t="shared" si="113"/>
        <v>0</v>
      </c>
      <c r="FTY64" s="857">
        <f t="shared" si="113"/>
        <v>0</v>
      </c>
      <c r="FTZ64" s="857">
        <f t="shared" si="113"/>
        <v>0</v>
      </c>
      <c r="FUA64" s="857">
        <f t="shared" si="113"/>
        <v>0</v>
      </c>
      <c r="FUB64" s="857">
        <f t="shared" si="113"/>
        <v>0</v>
      </c>
      <c r="FUC64" s="857">
        <f t="shared" si="113"/>
        <v>0</v>
      </c>
      <c r="FUD64" s="857">
        <f t="shared" si="113"/>
        <v>0</v>
      </c>
      <c r="FUE64" s="857">
        <f t="shared" si="113"/>
        <v>0</v>
      </c>
      <c r="FUF64" s="857">
        <f t="shared" si="113"/>
        <v>0</v>
      </c>
      <c r="FUG64" s="857">
        <f t="shared" si="113"/>
        <v>0</v>
      </c>
      <c r="FUH64" s="857">
        <f t="shared" si="113"/>
        <v>0</v>
      </c>
      <c r="FUI64" s="857">
        <f t="shared" si="113"/>
        <v>0</v>
      </c>
      <c r="FUJ64" s="857">
        <f t="shared" si="113"/>
        <v>0</v>
      </c>
      <c r="FUK64" s="857">
        <f t="shared" si="113"/>
        <v>0</v>
      </c>
      <c r="FUL64" s="857">
        <f t="shared" ref="FUL64:FWW64" si="114">(FUL57-FUL59)*$C$64</f>
        <v>0</v>
      </c>
      <c r="FUM64" s="857">
        <f t="shared" si="114"/>
        <v>0</v>
      </c>
      <c r="FUN64" s="857">
        <f t="shared" si="114"/>
        <v>0</v>
      </c>
      <c r="FUO64" s="857">
        <f t="shared" si="114"/>
        <v>0</v>
      </c>
      <c r="FUP64" s="857">
        <f t="shared" si="114"/>
        <v>0</v>
      </c>
      <c r="FUQ64" s="857">
        <f t="shared" si="114"/>
        <v>0</v>
      </c>
      <c r="FUR64" s="857">
        <f t="shared" si="114"/>
        <v>0</v>
      </c>
      <c r="FUS64" s="857">
        <f t="shared" si="114"/>
        <v>0</v>
      </c>
      <c r="FUT64" s="857">
        <f t="shared" si="114"/>
        <v>0</v>
      </c>
      <c r="FUU64" s="857">
        <f t="shared" si="114"/>
        <v>0</v>
      </c>
      <c r="FUV64" s="857">
        <f t="shared" si="114"/>
        <v>0</v>
      </c>
      <c r="FUW64" s="857">
        <f t="shared" si="114"/>
        <v>0</v>
      </c>
      <c r="FUX64" s="857">
        <f t="shared" si="114"/>
        <v>0</v>
      </c>
      <c r="FUY64" s="857">
        <f t="shared" si="114"/>
        <v>0</v>
      </c>
      <c r="FUZ64" s="857">
        <f t="shared" si="114"/>
        <v>0</v>
      </c>
      <c r="FVA64" s="857">
        <f t="shared" si="114"/>
        <v>0</v>
      </c>
      <c r="FVB64" s="857">
        <f t="shared" si="114"/>
        <v>0</v>
      </c>
      <c r="FVC64" s="857">
        <f t="shared" si="114"/>
        <v>0</v>
      </c>
      <c r="FVD64" s="857">
        <f t="shared" si="114"/>
        <v>0</v>
      </c>
      <c r="FVE64" s="857">
        <f t="shared" si="114"/>
        <v>0</v>
      </c>
      <c r="FVF64" s="857">
        <f t="shared" si="114"/>
        <v>0</v>
      </c>
      <c r="FVG64" s="857">
        <f t="shared" si="114"/>
        <v>0</v>
      </c>
      <c r="FVH64" s="857">
        <f t="shared" si="114"/>
        <v>0</v>
      </c>
      <c r="FVI64" s="857">
        <f t="shared" si="114"/>
        <v>0</v>
      </c>
      <c r="FVJ64" s="857">
        <f t="shared" si="114"/>
        <v>0</v>
      </c>
      <c r="FVK64" s="857">
        <f t="shared" si="114"/>
        <v>0</v>
      </c>
      <c r="FVL64" s="857">
        <f t="shared" si="114"/>
        <v>0</v>
      </c>
      <c r="FVM64" s="857">
        <f t="shared" si="114"/>
        <v>0</v>
      </c>
      <c r="FVN64" s="857">
        <f t="shared" si="114"/>
        <v>0</v>
      </c>
      <c r="FVO64" s="857">
        <f t="shared" si="114"/>
        <v>0</v>
      </c>
      <c r="FVP64" s="857">
        <f t="shared" si="114"/>
        <v>0</v>
      </c>
      <c r="FVQ64" s="857">
        <f t="shared" si="114"/>
        <v>0</v>
      </c>
      <c r="FVR64" s="857">
        <f t="shared" si="114"/>
        <v>0</v>
      </c>
      <c r="FVS64" s="857">
        <f t="shared" si="114"/>
        <v>0</v>
      </c>
      <c r="FVT64" s="857">
        <f t="shared" si="114"/>
        <v>0</v>
      </c>
      <c r="FVU64" s="857">
        <f t="shared" si="114"/>
        <v>0</v>
      </c>
      <c r="FVV64" s="857">
        <f t="shared" si="114"/>
        <v>0</v>
      </c>
      <c r="FVW64" s="857">
        <f t="shared" si="114"/>
        <v>0</v>
      </c>
      <c r="FVX64" s="857">
        <f t="shared" si="114"/>
        <v>0</v>
      </c>
      <c r="FVY64" s="857">
        <f t="shared" si="114"/>
        <v>0</v>
      </c>
      <c r="FVZ64" s="857">
        <f t="shared" si="114"/>
        <v>0</v>
      </c>
      <c r="FWA64" s="857">
        <f t="shared" si="114"/>
        <v>0</v>
      </c>
      <c r="FWB64" s="857">
        <f t="shared" si="114"/>
        <v>0</v>
      </c>
      <c r="FWC64" s="857">
        <f t="shared" si="114"/>
        <v>0</v>
      </c>
      <c r="FWD64" s="857">
        <f t="shared" si="114"/>
        <v>0</v>
      </c>
      <c r="FWE64" s="857">
        <f t="shared" si="114"/>
        <v>0</v>
      </c>
      <c r="FWF64" s="857">
        <f t="shared" si="114"/>
        <v>0</v>
      </c>
      <c r="FWG64" s="857">
        <f t="shared" si="114"/>
        <v>0</v>
      </c>
      <c r="FWH64" s="857">
        <f t="shared" si="114"/>
        <v>0</v>
      </c>
      <c r="FWI64" s="857">
        <f t="shared" si="114"/>
        <v>0</v>
      </c>
      <c r="FWJ64" s="857">
        <f t="shared" si="114"/>
        <v>0</v>
      </c>
      <c r="FWK64" s="857">
        <f t="shared" si="114"/>
        <v>0</v>
      </c>
      <c r="FWL64" s="857">
        <f t="shared" si="114"/>
        <v>0</v>
      </c>
      <c r="FWM64" s="857">
        <f t="shared" si="114"/>
        <v>0</v>
      </c>
      <c r="FWN64" s="857">
        <f t="shared" si="114"/>
        <v>0</v>
      </c>
      <c r="FWO64" s="857">
        <f t="shared" si="114"/>
        <v>0</v>
      </c>
      <c r="FWP64" s="857">
        <f t="shared" si="114"/>
        <v>0</v>
      </c>
      <c r="FWQ64" s="857">
        <f t="shared" si="114"/>
        <v>0</v>
      </c>
      <c r="FWR64" s="857">
        <f t="shared" si="114"/>
        <v>0</v>
      </c>
      <c r="FWS64" s="857">
        <f t="shared" si="114"/>
        <v>0</v>
      </c>
      <c r="FWT64" s="857">
        <f t="shared" si="114"/>
        <v>0</v>
      </c>
      <c r="FWU64" s="857">
        <f t="shared" si="114"/>
        <v>0</v>
      </c>
      <c r="FWV64" s="857">
        <f t="shared" si="114"/>
        <v>0</v>
      </c>
      <c r="FWW64" s="857">
        <f t="shared" si="114"/>
        <v>0</v>
      </c>
      <c r="FWX64" s="857">
        <f t="shared" ref="FWX64:FZI64" si="115">(FWX57-FWX59)*$C$64</f>
        <v>0</v>
      </c>
      <c r="FWY64" s="857">
        <f t="shared" si="115"/>
        <v>0</v>
      </c>
      <c r="FWZ64" s="857">
        <f t="shared" si="115"/>
        <v>0</v>
      </c>
      <c r="FXA64" s="857">
        <f t="shared" si="115"/>
        <v>0</v>
      </c>
      <c r="FXB64" s="857">
        <f t="shared" si="115"/>
        <v>0</v>
      </c>
      <c r="FXC64" s="857">
        <f t="shared" si="115"/>
        <v>0</v>
      </c>
      <c r="FXD64" s="857">
        <f t="shared" si="115"/>
        <v>0</v>
      </c>
      <c r="FXE64" s="857">
        <f t="shared" si="115"/>
        <v>0</v>
      </c>
      <c r="FXF64" s="857">
        <f t="shared" si="115"/>
        <v>0</v>
      </c>
      <c r="FXG64" s="857">
        <f t="shared" si="115"/>
        <v>0</v>
      </c>
      <c r="FXH64" s="857">
        <f t="shared" si="115"/>
        <v>0</v>
      </c>
      <c r="FXI64" s="857">
        <f t="shared" si="115"/>
        <v>0</v>
      </c>
      <c r="FXJ64" s="857">
        <f t="shared" si="115"/>
        <v>0</v>
      </c>
      <c r="FXK64" s="857">
        <f t="shared" si="115"/>
        <v>0</v>
      </c>
      <c r="FXL64" s="857">
        <f t="shared" si="115"/>
        <v>0</v>
      </c>
      <c r="FXM64" s="857">
        <f t="shared" si="115"/>
        <v>0</v>
      </c>
      <c r="FXN64" s="857">
        <f t="shared" si="115"/>
        <v>0</v>
      </c>
      <c r="FXO64" s="857">
        <f t="shared" si="115"/>
        <v>0</v>
      </c>
      <c r="FXP64" s="857">
        <f t="shared" si="115"/>
        <v>0</v>
      </c>
      <c r="FXQ64" s="857">
        <f t="shared" si="115"/>
        <v>0</v>
      </c>
      <c r="FXR64" s="857">
        <f t="shared" si="115"/>
        <v>0</v>
      </c>
      <c r="FXS64" s="857">
        <f t="shared" si="115"/>
        <v>0</v>
      </c>
      <c r="FXT64" s="857">
        <f t="shared" si="115"/>
        <v>0</v>
      </c>
      <c r="FXU64" s="857">
        <f t="shared" si="115"/>
        <v>0</v>
      </c>
      <c r="FXV64" s="857">
        <f t="shared" si="115"/>
        <v>0</v>
      </c>
      <c r="FXW64" s="857">
        <f t="shared" si="115"/>
        <v>0</v>
      </c>
      <c r="FXX64" s="857">
        <f t="shared" si="115"/>
        <v>0</v>
      </c>
      <c r="FXY64" s="857">
        <f t="shared" si="115"/>
        <v>0</v>
      </c>
      <c r="FXZ64" s="857">
        <f t="shared" si="115"/>
        <v>0</v>
      </c>
      <c r="FYA64" s="857">
        <f t="shared" si="115"/>
        <v>0</v>
      </c>
      <c r="FYB64" s="857">
        <f t="shared" si="115"/>
        <v>0</v>
      </c>
      <c r="FYC64" s="857">
        <f t="shared" si="115"/>
        <v>0</v>
      </c>
      <c r="FYD64" s="857">
        <f t="shared" si="115"/>
        <v>0</v>
      </c>
      <c r="FYE64" s="857">
        <f t="shared" si="115"/>
        <v>0</v>
      </c>
      <c r="FYF64" s="857">
        <f t="shared" si="115"/>
        <v>0</v>
      </c>
      <c r="FYG64" s="857">
        <f t="shared" si="115"/>
        <v>0</v>
      </c>
      <c r="FYH64" s="857">
        <f t="shared" si="115"/>
        <v>0</v>
      </c>
      <c r="FYI64" s="857">
        <f t="shared" si="115"/>
        <v>0</v>
      </c>
      <c r="FYJ64" s="857">
        <f t="shared" si="115"/>
        <v>0</v>
      </c>
      <c r="FYK64" s="857">
        <f t="shared" si="115"/>
        <v>0</v>
      </c>
      <c r="FYL64" s="857">
        <f t="shared" si="115"/>
        <v>0</v>
      </c>
      <c r="FYM64" s="857">
        <f t="shared" si="115"/>
        <v>0</v>
      </c>
      <c r="FYN64" s="857">
        <f t="shared" si="115"/>
        <v>0</v>
      </c>
      <c r="FYO64" s="857">
        <f t="shared" si="115"/>
        <v>0</v>
      </c>
      <c r="FYP64" s="857">
        <f t="shared" si="115"/>
        <v>0</v>
      </c>
      <c r="FYQ64" s="857">
        <f t="shared" si="115"/>
        <v>0</v>
      </c>
      <c r="FYR64" s="857">
        <f t="shared" si="115"/>
        <v>0</v>
      </c>
      <c r="FYS64" s="857">
        <f t="shared" si="115"/>
        <v>0</v>
      </c>
      <c r="FYT64" s="857">
        <f t="shared" si="115"/>
        <v>0</v>
      </c>
      <c r="FYU64" s="857">
        <f t="shared" si="115"/>
        <v>0</v>
      </c>
      <c r="FYV64" s="857">
        <f t="shared" si="115"/>
        <v>0</v>
      </c>
      <c r="FYW64" s="857">
        <f t="shared" si="115"/>
        <v>0</v>
      </c>
      <c r="FYX64" s="857">
        <f t="shared" si="115"/>
        <v>0</v>
      </c>
      <c r="FYY64" s="857">
        <f t="shared" si="115"/>
        <v>0</v>
      </c>
      <c r="FYZ64" s="857">
        <f t="shared" si="115"/>
        <v>0</v>
      </c>
      <c r="FZA64" s="857">
        <f t="shared" si="115"/>
        <v>0</v>
      </c>
      <c r="FZB64" s="857">
        <f t="shared" si="115"/>
        <v>0</v>
      </c>
      <c r="FZC64" s="857">
        <f t="shared" si="115"/>
        <v>0</v>
      </c>
      <c r="FZD64" s="857">
        <f t="shared" si="115"/>
        <v>0</v>
      </c>
      <c r="FZE64" s="857">
        <f t="shared" si="115"/>
        <v>0</v>
      </c>
      <c r="FZF64" s="857">
        <f t="shared" si="115"/>
        <v>0</v>
      </c>
      <c r="FZG64" s="857">
        <f t="shared" si="115"/>
        <v>0</v>
      </c>
      <c r="FZH64" s="857">
        <f t="shared" si="115"/>
        <v>0</v>
      </c>
      <c r="FZI64" s="857">
        <f t="shared" si="115"/>
        <v>0</v>
      </c>
      <c r="FZJ64" s="857">
        <f t="shared" ref="FZJ64:GBU64" si="116">(FZJ57-FZJ59)*$C$64</f>
        <v>0</v>
      </c>
      <c r="FZK64" s="857">
        <f t="shared" si="116"/>
        <v>0</v>
      </c>
      <c r="FZL64" s="857">
        <f t="shared" si="116"/>
        <v>0</v>
      </c>
      <c r="FZM64" s="857">
        <f t="shared" si="116"/>
        <v>0</v>
      </c>
      <c r="FZN64" s="857">
        <f t="shared" si="116"/>
        <v>0</v>
      </c>
      <c r="FZO64" s="857">
        <f t="shared" si="116"/>
        <v>0</v>
      </c>
      <c r="FZP64" s="857">
        <f t="shared" si="116"/>
        <v>0</v>
      </c>
      <c r="FZQ64" s="857">
        <f t="shared" si="116"/>
        <v>0</v>
      </c>
      <c r="FZR64" s="857">
        <f t="shared" si="116"/>
        <v>0</v>
      </c>
      <c r="FZS64" s="857">
        <f t="shared" si="116"/>
        <v>0</v>
      </c>
      <c r="FZT64" s="857">
        <f t="shared" si="116"/>
        <v>0</v>
      </c>
      <c r="FZU64" s="857">
        <f t="shared" si="116"/>
        <v>0</v>
      </c>
      <c r="FZV64" s="857">
        <f t="shared" si="116"/>
        <v>0</v>
      </c>
      <c r="FZW64" s="857">
        <f t="shared" si="116"/>
        <v>0</v>
      </c>
      <c r="FZX64" s="857">
        <f t="shared" si="116"/>
        <v>0</v>
      </c>
      <c r="FZY64" s="857">
        <f t="shared" si="116"/>
        <v>0</v>
      </c>
      <c r="FZZ64" s="857">
        <f t="shared" si="116"/>
        <v>0</v>
      </c>
      <c r="GAA64" s="857">
        <f t="shared" si="116"/>
        <v>0</v>
      </c>
      <c r="GAB64" s="857">
        <f t="shared" si="116"/>
        <v>0</v>
      </c>
      <c r="GAC64" s="857">
        <f t="shared" si="116"/>
        <v>0</v>
      </c>
      <c r="GAD64" s="857">
        <f t="shared" si="116"/>
        <v>0</v>
      </c>
      <c r="GAE64" s="857">
        <f t="shared" si="116"/>
        <v>0</v>
      </c>
      <c r="GAF64" s="857">
        <f t="shared" si="116"/>
        <v>0</v>
      </c>
      <c r="GAG64" s="857">
        <f t="shared" si="116"/>
        <v>0</v>
      </c>
      <c r="GAH64" s="857">
        <f t="shared" si="116"/>
        <v>0</v>
      </c>
      <c r="GAI64" s="857">
        <f t="shared" si="116"/>
        <v>0</v>
      </c>
      <c r="GAJ64" s="857">
        <f t="shared" si="116"/>
        <v>0</v>
      </c>
      <c r="GAK64" s="857">
        <f t="shared" si="116"/>
        <v>0</v>
      </c>
      <c r="GAL64" s="857">
        <f t="shared" si="116"/>
        <v>0</v>
      </c>
      <c r="GAM64" s="857">
        <f t="shared" si="116"/>
        <v>0</v>
      </c>
      <c r="GAN64" s="857">
        <f t="shared" si="116"/>
        <v>0</v>
      </c>
      <c r="GAO64" s="857">
        <f t="shared" si="116"/>
        <v>0</v>
      </c>
      <c r="GAP64" s="857">
        <f t="shared" si="116"/>
        <v>0</v>
      </c>
      <c r="GAQ64" s="857">
        <f t="shared" si="116"/>
        <v>0</v>
      </c>
      <c r="GAR64" s="857">
        <f t="shared" si="116"/>
        <v>0</v>
      </c>
      <c r="GAS64" s="857">
        <f t="shared" si="116"/>
        <v>0</v>
      </c>
      <c r="GAT64" s="857">
        <f t="shared" si="116"/>
        <v>0</v>
      </c>
      <c r="GAU64" s="857">
        <f t="shared" si="116"/>
        <v>0</v>
      </c>
      <c r="GAV64" s="857">
        <f t="shared" si="116"/>
        <v>0</v>
      </c>
      <c r="GAW64" s="857">
        <f t="shared" si="116"/>
        <v>0</v>
      </c>
      <c r="GAX64" s="857">
        <f t="shared" si="116"/>
        <v>0</v>
      </c>
      <c r="GAY64" s="857">
        <f t="shared" si="116"/>
        <v>0</v>
      </c>
      <c r="GAZ64" s="857">
        <f t="shared" si="116"/>
        <v>0</v>
      </c>
      <c r="GBA64" s="857">
        <f t="shared" si="116"/>
        <v>0</v>
      </c>
      <c r="GBB64" s="857">
        <f t="shared" si="116"/>
        <v>0</v>
      </c>
      <c r="GBC64" s="857">
        <f t="shared" si="116"/>
        <v>0</v>
      </c>
      <c r="GBD64" s="857">
        <f t="shared" si="116"/>
        <v>0</v>
      </c>
      <c r="GBE64" s="857">
        <f t="shared" si="116"/>
        <v>0</v>
      </c>
      <c r="GBF64" s="857">
        <f t="shared" si="116"/>
        <v>0</v>
      </c>
      <c r="GBG64" s="857">
        <f t="shared" si="116"/>
        <v>0</v>
      </c>
      <c r="GBH64" s="857">
        <f t="shared" si="116"/>
        <v>0</v>
      </c>
      <c r="GBI64" s="857">
        <f t="shared" si="116"/>
        <v>0</v>
      </c>
      <c r="GBJ64" s="857">
        <f t="shared" si="116"/>
        <v>0</v>
      </c>
      <c r="GBK64" s="857">
        <f t="shared" si="116"/>
        <v>0</v>
      </c>
      <c r="GBL64" s="857">
        <f t="shared" si="116"/>
        <v>0</v>
      </c>
      <c r="GBM64" s="857">
        <f t="shared" si="116"/>
        <v>0</v>
      </c>
      <c r="GBN64" s="857">
        <f t="shared" si="116"/>
        <v>0</v>
      </c>
      <c r="GBO64" s="857">
        <f t="shared" si="116"/>
        <v>0</v>
      </c>
      <c r="GBP64" s="857">
        <f t="shared" si="116"/>
        <v>0</v>
      </c>
      <c r="GBQ64" s="857">
        <f t="shared" si="116"/>
        <v>0</v>
      </c>
      <c r="GBR64" s="857">
        <f t="shared" si="116"/>
        <v>0</v>
      </c>
      <c r="GBS64" s="857">
        <f t="shared" si="116"/>
        <v>0</v>
      </c>
      <c r="GBT64" s="857">
        <f t="shared" si="116"/>
        <v>0</v>
      </c>
      <c r="GBU64" s="857">
        <f t="shared" si="116"/>
        <v>0</v>
      </c>
      <c r="GBV64" s="857">
        <f t="shared" ref="GBV64:GEG64" si="117">(GBV57-GBV59)*$C$64</f>
        <v>0</v>
      </c>
      <c r="GBW64" s="857">
        <f t="shared" si="117"/>
        <v>0</v>
      </c>
      <c r="GBX64" s="857">
        <f t="shared" si="117"/>
        <v>0</v>
      </c>
      <c r="GBY64" s="857">
        <f t="shared" si="117"/>
        <v>0</v>
      </c>
      <c r="GBZ64" s="857">
        <f t="shared" si="117"/>
        <v>0</v>
      </c>
      <c r="GCA64" s="857">
        <f t="shared" si="117"/>
        <v>0</v>
      </c>
      <c r="GCB64" s="857">
        <f t="shared" si="117"/>
        <v>0</v>
      </c>
      <c r="GCC64" s="857">
        <f t="shared" si="117"/>
        <v>0</v>
      </c>
      <c r="GCD64" s="857">
        <f t="shared" si="117"/>
        <v>0</v>
      </c>
      <c r="GCE64" s="857">
        <f t="shared" si="117"/>
        <v>0</v>
      </c>
      <c r="GCF64" s="857">
        <f t="shared" si="117"/>
        <v>0</v>
      </c>
      <c r="GCG64" s="857">
        <f t="shared" si="117"/>
        <v>0</v>
      </c>
      <c r="GCH64" s="857">
        <f t="shared" si="117"/>
        <v>0</v>
      </c>
      <c r="GCI64" s="857">
        <f t="shared" si="117"/>
        <v>0</v>
      </c>
      <c r="GCJ64" s="857">
        <f t="shared" si="117"/>
        <v>0</v>
      </c>
      <c r="GCK64" s="857">
        <f t="shared" si="117"/>
        <v>0</v>
      </c>
      <c r="GCL64" s="857">
        <f t="shared" si="117"/>
        <v>0</v>
      </c>
      <c r="GCM64" s="857">
        <f t="shared" si="117"/>
        <v>0</v>
      </c>
      <c r="GCN64" s="857">
        <f t="shared" si="117"/>
        <v>0</v>
      </c>
      <c r="GCO64" s="857">
        <f t="shared" si="117"/>
        <v>0</v>
      </c>
      <c r="GCP64" s="857">
        <f t="shared" si="117"/>
        <v>0</v>
      </c>
      <c r="GCQ64" s="857">
        <f t="shared" si="117"/>
        <v>0</v>
      </c>
      <c r="GCR64" s="857">
        <f t="shared" si="117"/>
        <v>0</v>
      </c>
      <c r="GCS64" s="857">
        <f t="shared" si="117"/>
        <v>0</v>
      </c>
      <c r="GCT64" s="857">
        <f t="shared" si="117"/>
        <v>0</v>
      </c>
      <c r="GCU64" s="857">
        <f t="shared" si="117"/>
        <v>0</v>
      </c>
      <c r="GCV64" s="857">
        <f t="shared" si="117"/>
        <v>0</v>
      </c>
      <c r="GCW64" s="857">
        <f t="shared" si="117"/>
        <v>0</v>
      </c>
      <c r="GCX64" s="857">
        <f t="shared" si="117"/>
        <v>0</v>
      </c>
      <c r="GCY64" s="857">
        <f t="shared" si="117"/>
        <v>0</v>
      </c>
      <c r="GCZ64" s="857">
        <f t="shared" si="117"/>
        <v>0</v>
      </c>
      <c r="GDA64" s="857">
        <f t="shared" si="117"/>
        <v>0</v>
      </c>
      <c r="GDB64" s="857">
        <f t="shared" si="117"/>
        <v>0</v>
      </c>
      <c r="GDC64" s="857">
        <f t="shared" si="117"/>
        <v>0</v>
      </c>
      <c r="GDD64" s="857">
        <f t="shared" si="117"/>
        <v>0</v>
      </c>
      <c r="GDE64" s="857">
        <f t="shared" si="117"/>
        <v>0</v>
      </c>
      <c r="GDF64" s="857">
        <f t="shared" si="117"/>
        <v>0</v>
      </c>
      <c r="GDG64" s="857">
        <f t="shared" si="117"/>
        <v>0</v>
      </c>
      <c r="GDH64" s="857">
        <f t="shared" si="117"/>
        <v>0</v>
      </c>
      <c r="GDI64" s="857">
        <f t="shared" si="117"/>
        <v>0</v>
      </c>
      <c r="GDJ64" s="857">
        <f t="shared" si="117"/>
        <v>0</v>
      </c>
      <c r="GDK64" s="857">
        <f t="shared" si="117"/>
        <v>0</v>
      </c>
      <c r="GDL64" s="857">
        <f t="shared" si="117"/>
        <v>0</v>
      </c>
      <c r="GDM64" s="857">
        <f t="shared" si="117"/>
        <v>0</v>
      </c>
      <c r="GDN64" s="857">
        <f t="shared" si="117"/>
        <v>0</v>
      </c>
      <c r="GDO64" s="857">
        <f t="shared" si="117"/>
        <v>0</v>
      </c>
      <c r="GDP64" s="857">
        <f t="shared" si="117"/>
        <v>0</v>
      </c>
      <c r="GDQ64" s="857">
        <f t="shared" si="117"/>
        <v>0</v>
      </c>
      <c r="GDR64" s="857">
        <f t="shared" si="117"/>
        <v>0</v>
      </c>
      <c r="GDS64" s="857">
        <f t="shared" si="117"/>
        <v>0</v>
      </c>
      <c r="GDT64" s="857">
        <f t="shared" si="117"/>
        <v>0</v>
      </c>
      <c r="GDU64" s="857">
        <f t="shared" si="117"/>
        <v>0</v>
      </c>
      <c r="GDV64" s="857">
        <f t="shared" si="117"/>
        <v>0</v>
      </c>
      <c r="GDW64" s="857">
        <f t="shared" si="117"/>
        <v>0</v>
      </c>
      <c r="GDX64" s="857">
        <f t="shared" si="117"/>
        <v>0</v>
      </c>
      <c r="GDY64" s="857">
        <f t="shared" si="117"/>
        <v>0</v>
      </c>
      <c r="GDZ64" s="857">
        <f t="shared" si="117"/>
        <v>0</v>
      </c>
      <c r="GEA64" s="857">
        <f t="shared" si="117"/>
        <v>0</v>
      </c>
      <c r="GEB64" s="857">
        <f t="shared" si="117"/>
        <v>0</v>
      </c>
      <c r="GEC64" s="857">
        <f t="shared" si="117"/>
        <v>0</v>
      </c>
      <c r="GED64" s="857">
        <f t="shared" si="117"/>
        <v>0</v>
      </c>
      <c r="GEE64" s="857">
        <f t="shared" si="117"/>
        <v>0</v>
      </c>
      <c r="GEF64" s="857">
        <f t="shared" si="117"/>
        <v>0</v>
      </c>
      <c r="GEG64" s="857">
        <f t="shared" si="117"/>
        <v>0</v>
      </c>
      <c r="GEH64" s="857">
        <f t="shared" ref="GEH64:GGS64" si="118">(GEH57-GEH59)*$C$64</f>
        <v>0</v>
      </c>
      <c r="GEI64" s="857">
        <f t="shared" si="118"/>
        <v>0</v>
      </c>
      <c r="GEJ64" s="857">
        <f t="shared" si="118"/>
        <v>0</v>
      </c>
      <c r="GEK64" s="857">
        <f t="shared" si="118"/>
        <v>0</v>
      </c>
      <c r="GEL64" s="857">
        <f t="shared" si="118"/>
        <v>0</v>
      </c>
      <c r="GEM64" s="857">
        <f t="shared" si="118"/>
        <v>0</v>
      </c>
      <c r="GEN64" s="857">
        <f t="shared" si="118"/>
        <v>0</v>
      </c>
      <c r="GEO64" s="857">
        <f t="shared" si="118"/>
        <v>0</v>
      </c>
      <c r="GEP64" s="857">
        <f t="shared" si="118"/>
        <v>0</v>
      </c>
      <c r="GEQ64" s="857">
        <f t="shared" si="118"/>
        <v>0</v>
      </c>
      <c r="GER64" s="857">
        <f t="shared" si="118"/>
        <v>0</v>
      </c>
      <c r="GES64" s="857">
        <f t="shared" si="118"/>
        <v>0</v>
      </c>
      <c r="GET64" s="857">
        <f t="shared" si="118"/>
        <v>0</v>
      </c>
      <c r="GEU64" s="857">
        <f t="shared" si="118"/>
        <v>0</v>
      </c>
      <c r="GEV64" s="857">
        <f t="shared" si="118"/>
        <v>0</v>
      </c>
      <c r="GEW64" s="857">
        <f t="shared" si="118"/>
        <v>0</v>
      </c>
      <c r="GEX64" s="857">
        <f t="shared" si="118"/>
        <v>0</v>
      </c>
      <c r="GEY64" s="857">
        <f t="shared" si="118"/>
        <v>0</v>
      </c>
      <c r="GEZ64" s="857">
        <f t="shared" si="118"/>
        <v>0</v>
      </c>
      <c r="GFA64" s="857">
        <f t="shared" si="118"/>
        <v>0</v>
      </c>
      <c r="GFB64" s="857">
        <f t="shared" si="118"/>
        <v>0</v>
      </c>
      <c r="GFC64" s="857">
        <f t="shared" si="118"/>
        <v>0</v>
      </c>
      <c r="GFD64" s="857">
        <f t="shared" si="118"/>
        <v>0</v>
      </c>
      <c r="GFE64" s="857">
        <f t="shared" si="118"/>
        <v>0</v>
      </c>
      <c r="GFF64" s="857">
        <f t="shared" si="118"/>
        <v>0</v>
      </c>
      <c r="GFG64" s="857">
        <f t="shared" si="118"/>
        <v>0</v>
      </c>
      <c r="GFH64" s="857">
        <f t="shared" si="118"/>
        <v>0</v>
      </c>
      <c r="GFI64" s="857">
        <f t="shared" si="118"/>
        <v>0</v>
      </c>
      <c r="GFJ64" s="857">
        <f t="shared" si="118"/>
        <v>0</v>
      </c>
      <c r="GFK64" s="857">
        <f t="shared" si="118"/>
        <v>0</v>
      </c>
      <c r="GFL64" s="857">
        <f t="shared" si="118"/>
        <v>0</v>
      </c>
      <c r="GFM64" s="857">
        <f t="shared" si="118"/>
        <v>0</v>
      </c>
      <c r="GFN64" s="857">
        <f t="shared" si="118"/>
        <v>0</v>
      </c>
      <c r="GFO64" s="857">
        <f t="shared" si="118"/>
        <v>0</v>
      </c>
      <c r="GFP64" s="857">
        <f t="shared" si="118"/>
        <v>0</v>
      </c>
      <c r="GFQ64" s="857">
        <f t="shared" si="118"/>
        <v>0</v>
      </c>
      <c r="GFR64" s="857">
        <f t="shared" si="118"/>
        <v>0</v>
      </c>
      <c r="GFS64" s="857">
        <f t="shared" si="118"/>
        <v>0</v>
      </c>
      <c r="GFT64" s="857">
        <f t="shared" si="118"/>
        <v>0</v>
      </c>
      <c r="GFU64" s="857">
        <f t="shared" si="118"/>
        <v>0</v>
      </c>
      <c r="GFV64" s="857">
        <f t="shared" si="118"/>
        <v>0</v>
      </c>
      <c r="GFW64" s="857">
        <f t="shared" si="118"/>
        <v>0</v>
      </c>
      <c r="GFX64" s="857">
        <f t="shared" si="118"/>
        <v>0</v>
      </c>
      <c r="GFY64" s="857">
        <f t="shared" si="118"/>
        <v>0</v>
      </c>
      <c r="GFZ64" s="857">
        <f t="shared" si="118"/>
        <v>0</v>
      </c>
      <c r="GGA64" s="857">
        <f t="shared" si="118"/>
        <v>0</v>
      </c>
      <c r="GGB64" s="857">
        <f t="shared" si="118"/>
        <v>0</v>
      </c>
      <c r="GGC64" s="857">
        <f t="shared" si="118"/>
        <v>0</v>
      </c>
      <c r="GGD64" s="857">
        <f t="shared" si="118"/>
        <v>0</v>
      </c>
      <c r="GGE64" s="857">
        <f t="shared" si="118"/>
        <v>0</v>
      </c>
      <c r="GGF64" s="857">
        <f t="shared" si="118"/>
        <v>0</v>
      </c>
      <c r="GGG64" s="857">
        <f t="shared" si="118"/>
        <v>0</v>
      </c>
      <c r="GGH64" s="857">
        <f t="shared" si="118"/>
        <v>0</v>
      </c>
      <c r="GGI64" s="857">
        <f t="shared" si="118"/>
        <v>0</v>
      </c>
      <c r="GGJ64" s="857">
        <f t="shared" si="118"/>
        <v>0</v>
      </c>
      <c r="GGK64" s="857">
        <f t="shared" si="118"/>
        <v>0</v>
      </c>
      <c r="GGL64" s="857">
        <f t="shared" si="118"/>
        <v>0</v>
      </c>
      <c r="GGM64" s="857">
        <f t="shared" si="118"/>
        <v>0</v>
      </c>
      <c r="GGN64" s="857">
        <f t="shared" si="118"/>
        <v>0</v>
      </c>
      <c r="GGO64" s="857">
        <f t="shared" si="118"/>
        <v>0</v>
      </c>
      <c r="GGP64" s="857">
        <f t="shared" si="118"/>
        <v>0</v>
      </c>
      <c r="GGQ64" s="857">
        <f t="shared" si="118"/>
        <v>0</v>
      </c>
      <c r="GGR64" s="857">
        <f t="shared" si="118"/>
        <v>0</v>
      </c>
      <c r="GGS64" s="857">
        <f t="shared" si="118"/>
        <v>0</v>
      </c>
      <c r="GGT64" s="857">
        <f t="shared" ref="GGT64:GJE64" si="119">(GGT57-GGT59)*$C$64</f>
        <v>0</v>
      </c>
      <c r="GGU64" s="857">
        <f t="shared" si="119"/>
        <v>0</v>
      </c>
      <c r="GGV64" s="857">
        <f t="shared" si="119"/>
        <v>0</v>
      </c>
      <c r="GGW64" s="857">
        <f t="shared" si="119"/>
        <v>0</v>
      </c>
      <c r="GGX64" s="857">
        <f t="shared" si="119"/>
        <v>0</v>
      </c>
      <c r="GGY64" s="857">
        <f t="shared" si="119"/>
        <v>0</v>
      </c>
      <c r="GGZ64" s="857">
        <f t="shared" si="119"/>
        <v>0</v>
      </c>
      <c r="GHA64" s="857">
        <f t="shared" si="119"/>
        <v>0</v>
      </c>
      <c r="GHB64" s="857">
        <f t="shared" si="119"/>
        <v>0</v>
      </c>
      <c r="GHC64" s="857">
        <f t="shared" si="119"/>
        <v>0</v>
      </c>
      <c r="GHD64" s="857">
        <f t="shared" si="119"/>
        <v>0</v>
      </c>
      <c r="GHE64" s="857">
        <f t="shared" si="119"/>
        <v>0</v>
      </c>
      <c r="GHF64" s="857">
        <f t="shared" si="119"/>
        <v>0</v>
      </c>
      <c r="GHG64" s="857">
        <f t="shared" si="119"/>
        <v>0</v>
      </c>
      <c r="GHH64" s="857">
        <f t="shared" si="119"/>
        <v>0</v>
      </c>
      <c r="GHI64" s="857">
        <f t="shared" si="119"/>
        <v>0</v>
      </c>
      <c r="GHJ64" s="857">
        <f t="shared" si="119"/>
        <v>0</v>
      </c>
      <c r="GHK64" s="857">
        <f t="shared" si="119"/>
        <v>0</v>
      </c>
      <c r="GHL64" s="857">
        <f t="shared" si="119"/>
        <v>0</v>
      </c>
      <c r="GHM64" s="857">
        <f t="shared" si="119"/>
        <v>0</v>
      </c>
      <c r="GHN64" s="857">
        <f t="shared" si="119"/>
        <v>0</v>
      </c>
      <c r="GHO64" s="857">
        <f t="shared" si="119"/>
        <v>0</v>
      </c>
      <c r="GHP64" s="857">
        <f t="shared" si="119"/>
        <v>0</v>
      </c>
      <c r="GHQ64" s="857">
        <f t="shared" si="119"/>
        <v>0</v>
      </c>
      <c r="GHR64" s="857">
        <f t="shared" si="119"/>
        <v>0</v>
      </c>
      <c r="GHS64" s="857">
        <f t="shared" si="119"/>
        <v>0</v>
      </c>
      <c r="GHT64" s="857">
        <f t="shared" si="119"/>
        <v>0</v>
      </c>
      <c r="GHU64" s="857">
        <f t="shared" si="119"/>
        <v>0</v>
      </c>
      <c r="GHV64" s="857">
        <f t="shared" si="119"/>
        <v>0</v>
      </c>
      <c r="GHW64" s="857">
        <f t="shared" si="119"/>
        <v>0</v>
      </c>
      <c r="GHX64" s="857">
        <f t="shared" si="119"/>
        <v>0</v>
      </c>
      <c r="GHY64" s="857">
        <f t="shared" si="119"/>
        <v>0</v>
      </c>
      <c r="GHZ64" s="857">
        <f t="shared" si="119"/>
        <v>0</v>
      </c>
      <c r="GIA64" s="857">
        <f t="shared" si="119"/>
        <v>0</v>
      </c>
      <c r="GIB64" s="857">
        <f t="shared" si="119"/>
        <v>0</v>
      </c>
      <c r="GIC64" s="857">
        <f t="shared" si="119"/>
        <v>0</v>
      </c>
      <c r="GID64" s="857">
        <f t="shared" si="119"/>
        <v>0</v>
      </c>
      <c r="GIE64" s="857">
        <f t="shared" si="119"/>
        <v>0</v>
      </c>
      <c r="GIF64" s="857">
        <f t="shared" si="119"/>
        <v>0</v>
      </c>
      <c r="GIG64" s="857">
        <f t="shared" si="119"/>
        <v>0</v>
      </c>
      <c r="GIH64" s="857">
        <f t="shared" si="119"/>
        <v>0</v>
      </c>
      <c r="GII64" s="857">
        <f t="shared" si="119"/>
        <v>0</v>
      </c>
      <c r="GIJ64" s="857">
        <f t="shared" si="119"/>
        <v>0</v>
      </c>
      <c r="GIK64" s="857">
        <f t="shared" si="119"/>
        <v>0</v>
      </c>
      <c r="GIL64" s="857">
        <f t="shared" si="119"/>
        <v>0</v>
      </c>
      <c r="GIM64" s="857">
        <f t="shared" si="119"/>
        <v>0</v>
      </c>
      <c r="GIN64" s="857">
        <f t="shared" si="119"/>
        <v>0</v>
      </c>
      <c r="GIO64" s="857">
        <f t="shared" si="119"/>
        <v>0</v>
      </c>
      <c r="GIP64" s="857">
        <f t="shared" si="119"/>
        <v>0</v>
      </c>
      <c r="GIQ64" s="857">
        <f t="shared" si="119"/>
        <v>0</v>
      </c>
      <c r="GIR64" s="857">
        <f t="shared" si="119"/>
        <v>0</v>
      </c>
      <c r="GIS64" s="857">
        <f t="shared" si="119"/>
        <v>0</v>
      </c>
      <c r="GIT64" s="857">
        <f t="shared" si="119"/>
        <v>0</v>
      </c>
      <c r="GIU64" s="857">
        <f t="shared" si="119"/>
        <v>0</v>
      </c>
      <c r="GIV64" s="857">
        <f t="shared" si="119"/>
        <v>0</v>
      </c>
      <c r="GIW64" s="857">
        <f t="shared" si="119"/>
        <v>0</v>
      </c>
      <c r="GIX64" s="857">
        <f t="shared" si="119"/>
        <v>0</v>
      </c>
      <c r="GIY64" s="857">
        <f t="shared" si="119"/>
        <v>0</v>
      </c>
      <c r="GIZ64" s="857">
        <f t="shared" si="119"/>
        <v>0</v>
      </c>
      <c r="GJA64" s="857">
        <f t="shared" si="119"/>
        <v>0</v>
      </c>
      <c r="GJB64" s="857">
        <f t="shared" si="119"/>
        <v>0</v>
      </c>
      <c r="GJC64" s="857">
        <f t="shared" si="119"/>
        <v>0</v>
      </c>
      <c r="GJD64" s="857">
        <f t="shared" si="119"/>
        <v>0</v>
      </c>
      <c r="GJE64" s="857">
        <f t="shared" si="119"/>
        <v>0</v>
      </c>
      <c r="GJF64" s="857">
        <f t="shared" ref="GJF64:GLQ64" si="120">(GJF57-GJF59)*$C$64</f>
        <v>0</v>
      </c>
      <c r="GJG64" s="857">
        <f t="shared" si="120"/>
        <v>0</v>
      </c>
      <c r="GJH64" s="857">
        <f t="shared" si="120"/>
        <v>0</v>
      </c>
      <c r="GJI64" s="857">
        <f t="shared" si="120"/>
        <v>0</v>
      </c>
      <c r="GJJ64" s="857">
        <f t="shared" si="120"/>
        <v>0</v>
      </c>
      <c r="GJK64" s="857">
        <f t="shared" si="120"/>
        <v>0</v>
      </c>
      <c r="GJL64" s="857">
        <f t="shared" si="120"/>
        <v>0</v>
      </c>
      <c r="GJM64" s="857">
        <f t="shared" si="120"/>
        <v>0</v>
      </c>
      <c r="GJN64" s="857">
        <f t="shared" si="120"/>
        <v>0</v>
      </c>
      <c r="GJO64" s="857">
        <f t="shared" si="120"/>
        <v>0</v>
      </c>
      <c r="GJP64" s="857">
        <f t="shared" si="120"/>
        <v>0</v>
      </c>
      <c r="GJQ64" s="857">
        <f t="shared" si="120"/>
        <v>0</v>
      </c>
      <c r="GJR64" s="857">
        <f t="shared" si="120"/>
        <v>0</v>
      </c>
      <c r="GJS64" s="857">
        <f t="shared" si="120"/>
        <v>0</v>
      </c>
      <c r="GJT64" s="857">
        <f t="shared" si="120"/>
        <v>0</v>
      </c>
      <c r="GJU64" s="857">
        <f t="shared" si="120"/>
        <v>0</v>
      </c>
      <c r="GJV64" s="857">
        <f t="shared" si="120"/>
        <v>0</v>
      </c>
      <c r="GJW64" s="857">
        <f t="shared" si="120"/>
        <v>0</v>
      </c>
      <c r="GJX64" s="857">
        <f t="shared" si="120"/>
        <v>0</v>
      </c>
      <c r="GJY64" s="857">
        <f t="shared" si="120"/>
        <v>0</v>
      </c>
      <c r="GJZ64" s="857">
        <f t="shared" si="120"/>
        <v>0</v>
      </c>
      <c r="GKA64" s="857">
        <f t="shared" si="120"/>
        <v>0</v>
      </c>
      <c r="GKB64" s="857">
        <f t="shared" si="120"/>
        <v>0</v>
      </c>
      <c r="GKC64" s="857">
        <f t="shared" si="120"/>
        <v>0</v>
      </c>
      <c r="GKD64" s="857">
        <f t="shared" si="120"/>
        <v>0</v>
      </c>
      <c r="GKE64" s="857">
        <f t="shared" si="120"/>
        <v>0</v>
      </c>
      <c r="GKF64" s="857">
        <f t="shared" si="120"/>
        <v>0</v>
      </c>
      <c r="GKG64" s="857">
        <f t="shared" si="120"/>
        <v>0</v>
      </c>
      <c r="GKH64" s="857">
        <f t="shared" si="120"/>
        <v>0</v>
      </c>
      <c r="GKI64" s="857">
        <f t="shared" si="120"/>
        <v>0</v>
      </c>
      <c r="GKJ64" s="857">
        <f t="shared" si="120"/>
        <v>0</v>
      </c>
      <c r="GKK64" s="857">
        <f t="shared" si="120"/>
        <v>0</v>
      </c>
      <c r="GKL64" s="857">
        <f t="shared" si="120"/>
        <v>0</v>
      </c>
      <c r="GKM64" s="857">
        <f t="shared" si="120"/>
        <v>0</v>
      </c>
      <c r="GKN64" s="857">
        <f t="shared" si="120"/>
        <v>0</v>
      </c>
      <c r="GKO64" s="857">
        <f t="shared" si="120"/>
        <v>0</v>
      </c>
      <c r="GKP64" s="857">
        <f t="shared" si="120"/>
        <v>0</v>
      </c>
      <c r="GKQ64" s="857">
        <f t="shared" si="120"/>
        <v>0</v>
      </c>
      <c r="GKR64" s="857">
        <f t="shared" si="120"/>
        <v>0</v>
      </c>
      <c r="GKS64" s="857">
        <f t="shared" si="120"/>
        <v>0</v>
      </c>
      <c r="GKT64" s="857">
        <f t="shared" si="120"/>
        <v>0</v>
      </c>
      <c r="GKU64" s="857">
        <f t="shared" si="120"/>
        <v>0</v>
      </c>
      <c r="GKV64" s="857">
        <f t="shared" si="120"/>
        <v>0</v>
      </c>
      <c r="GKW64" s="857">
        <f t="shared" si="120"/>
        <v>0</v>
      </c>
      <c r="GKX64" s="857">
        <f t="shared" si="120"/>
        <v>0</v>
      </c>
      <c r="GKY64" s="857">
        <f t="shared" si="120"/>
        <v>0</v>
      </c>
      <c r="GKZ64" s="857">
        <f t="shared" si="120"/>
        <v>0</v>
      </c>
      <c r="GLA64" s="857">
        <f t="shared" si="120"/>
        <v>0</v>
      </c>
      <c r="GLB64" s="857">
        <f t="shared" si="120"/>
        <v>0</v>
      </c>
      <c r="GLC64" s="857">
        <f t="shared" si="120"/>
        <v>0</v>
      </c>
      <c r="GLD64" s="857">
        <f t="shared" si="120"/>
        <v>0</v>
      </c>
      <c r="GLE64" s="857">
        <f t="shared" si="120"/>
        <v>0</v>
      </c>
      <c r="GLF64" s="857">
        <f t="shared" si="120"/>
        <v>0</v>
      </c>
      <c r="GLG64" s="857">
        <f t="shared" si="120"/>
        <v>0</v>
      </c>
      <c r="GLH64" s="857">
        <f t="shared" si="120"/>
        <v>0</v>
      </c>
      <c r="GLI64" s="857">
        <f t="shared" si="120"/>
        <v>0</v>
      </c>
      <c r="GLJ64" s="857">
        <f t="shared" si="120"/>
        <v>0</v>
      </c>
      <c r="GLK64" s="857">
        <f t="shared" si="120"/>
        <v>0</v>
      </c>
      <c r="GLL64" s="857">
        <f t="shared" si="120"/>
        <v>0</v>
      </c>
      <c r="GLM64" s="857">
        <f t="shared" si="120"/>
        <v>0</v>
      </c>
      <c r="GLN64" s="857">
        <f t="shared" si="120"/>
        <v>0</v>
      </c>
      <c r="GLO64" s="857">
        <f t="shared" si="120"/>
        <v>0</v>
      </c>
      <c r="GLP64" s="857">
        <f t="shared" si="120"/>
        <v>0</v>
      </c>
      <c r="GLQ64" s="857">
        <f t="shared" si="120"/>
        <v>0</v>
      </c>
      <c r="GLR64" s="857">
        <f t="shared" ref="GLR64:GOC64" si="121">(GLR57-GLR59)*$C$64</f>
        <v>0</v>
      </c>
      <c r="GLS64" s="857">
        <f t="shared" si="121"/>
        <v>0</v>
      </c>
      <c r="GLT64" s="857">
        <f t="shared" si="121"/>
        <v>0</v>
      </c>
      <c r="GLU64" s="857">
        <f t="shared" si="121"/>
        <v>0</v>
      </c>
      <c r="GLV64" s="857">
        <f t="shared" si="121"/>
        <v>0</v>
      </c>
      <c r="GLW64" s="857">
        <f t="shared" si="121"/>
        <v>0</v>
      </c>
      <c r="GLX64" s="857">
        <f t="shared" si="121"/>
        <v>0</v>
      </c>
      <c r="GLY64" s="857">
        <f t="shared" si="121"/>
        <v>0</v>
      </c>
      <c r="GLZ64" s="857">
        <f t="shared" si="121"/>
        <v>0</v>
      </c>
      <c r="GMA64" s="857">
        <f t="shared" si="121"/>
        <v>0</v>
      </c>
      <c r="GMB64" s="857">
        <f t="shared" si="121"/>
        <v>0</v>
      </c>
      <c r="GMC64" s="857">
        <f t="shared" si="121"/>
        <v>0</v>
      </c>
      <c r="GMD64" s="857">
        <f t="shared" si="121"/>
        <v>0</v>
      </c>
      <c r="GME64" s="857">
        <f t="shared" si="121"/>
        <v>0</v>
      </c>
      <c r="GMF64" s="857">
        <f t="shared" si="121"/>
        <v>0</v>
      </c>
      <c r="GMG64" s="857">
        <f t="shared" si="121"/>
        <v>0</v>
      </c>
      <c r="GMH64" s="857">
        <f t="shared" si="121"/>
        <v>0</v>
      </c>
      <c r="GMI64" s="857">
        <f t="shared" si="121"/>
        <v>0</v>
      </c>
      <c r="GMJ64" s="857">
        <f t="shared" si="121"/>
        <v>0</v>
      </c>
      <c r="GMK64" s="857">
        <f t="shared" si="121"/>
        <v>0</v>
      </c>
      <c r="GML64" s="857">
        <f t="shared" si="121"/>
        <v>0</v>
      </c>
      <c r="GMM64" s="857">
        <f t="shared" si="121"/>
        <v>0</v>
      </c>
      <c r="GMN64" s="857">
        <f t="shared" si="121"/>
        <v>0</v>
      </c>
      <c r="GMO64" s="857">
        <f t="shared" si="121"/>
        <v>0</v>
      </c>
      <c r="GMP64" s="857">
        <f t="shared" si="121"/>
        <v>0</v>
      </c>
      <c r="GMQ64" s="857">
        <f t="shared" si="121"/>
        <v>0</v>
      </c>
      <c r="GMR64" s="857">
        <f t="shared" si="121"/>
        <v>0</v>
      </c>
      <c r="GMS64" s="857">
        <f t="shared" si="121"/>
        <v>0</v>
      </c>
      <c r="GMT64" s="857">
        <f t="shared" si="121"/>
        <v>0</v>
      </c>
      <c r="GMU64" s="857">
        <f t="shared" si="121"/>
        <v>0</v>
      </c>
      <c r="GMV64" s="857">
        <f t="shared" si="121"/>
        <v>0</v>
      </c>
      <c r="GMW64" s="857">
        <f t="shared" si="121"/>
        <v>0</v>
      </c>
      <c r="GMX64" s="857">
        <f t="shared" si="121"/>
        <v>0</v>
      </c>
      <c r="GMY64" s="857">
        <f t="shared" si="121"/>
        <v>0</v>
      </c>
      <c r="GMZ64" s="857">
        <f t="shared" si="121"/>
        <v>0</v>
      </c>
      <c r="GNA64" s="857">
        <f t="shared" si="121"/>
        <v>0</v>
      </c>
      <c r="GNB64" s="857">
        <f t="shared" si="121"/>
        <v>0</v>
      </c>
      <c r="GNC64" s="857">
        <f t="shared" si="121"/>
        <v>0</v>
      </c>
      <c r="GND64" s="857">
        <f t="shared" si="121"/>
        <v>0</v>
      </c>
      <c r="GNE64" s="857">
        <f t="shared" si="121"/>
        <v>0</v>
      </c>
      <c r="GNF64" s="857">
        <f t="shared" si="121"/>
        <v>0</v>
      </c>
      <c r="GNG64" s="857">
        <f t="shared" si="121"/>
        <v>0</v>
      </c>
      <c r="GNH64" s="857">
        <f t="shared" si="121"/>
        <v>0</v>
      </c>
      <c r="GNI64" s="857">
        <f t="shared" si="121"/>
        <v>0</v>
      </c>
      <c r="GNJ64" s="857">
        <f t="shared" si="121"/>
        <v>0</v>
      </c>
      <c r="GNK64" s="857">
        <f t="shared" si="121"/>
        <v>0</v>
      </c>
      <c r="GNL64" s="857">
        <f t="shared" si="121"/>
        <v>0</v>
      </c>
      <c r="GNM64" s="857">
        <f t="shared" si="121"/>
        <v>0</v>
      </c>
      <c r="GNN64" s="857">
        <f t="shared" si="121"/>
        <v>0</v>
      </c>
      <c r="GNO64" s="857">
        <f t="shared" si="121"/>
        <v>0</v>
      </c>
      <c r="GNP64" s="857">
        <f t="shared" si="121"/>
        <v>0</v>
      </c>
      <c r="GNQ64" s="857">
        <f t="shared" si="121"/>
        <v>0</v>
      </c>
      <c r="GNR64" s="857">
        <f t="shared" si="121"/>
        <v>0</v>
      </c>
      <c r="GNS64" s="857">
        <f t="shared" si="121"/>
        <v>0</v>
      </c>
      <c r="GNT64" s="857">
        <f t="shared" si="121"/>
        <v>0</v>
      </c>
      <c r="GNU64" s="857">
        <f t="shared" si="121"/>
        <v>0</v>
      </c>
      <c r="GNV64" s="857">
        <f t="shared" si="121"/>
        <v>0</v>
      </c>
      <c r="GNW64" s="857">
        <f t="shared" si="121"/>
        <v>0</v>
      </c>
      <c r="GNX64" s="857">
        <f t="shared" si="121"/>
        <v>0</v>
      </c>
      <c r="GNY64" s="857">
        <f t="shared" si="121"/>
        <v>0</v>
      </c>
      <c r="GNZ64" s="857">
        <f t="shared" si="121"/>
        <v>0</v>
      </c>
      <c r="GOA64" s="857">
        <f t="shared" si="121"/>
        <v>0</v>
      </c>
      <c r="GOB64" s="857">
        <f t="shared" si="121"/>
        <v>0</v>
      </c>
      <c r="GOC64" s="857">
        <f t="shared" si="121"/>
        <v>0</v>
      </c>
      <c r="GOD64" s="857">
        <f t="shared" ref="GOD64:GQO64" si="122">(GOD57-GOD59)*$C$64</f>
        <v>0</v>
      </c>
      <c r="GOE64" s="857">
        <f t="shared" si="122"/>
        <v>0</v>
      </c>
      <c r="GOF64" s="857">
        <f t="shared" si="122"/>
        <v>0</v>
      </c>
      <c r="GOG64" s="857">
        <f t="shared" si="122"/>
        <v>0</v>
      </c>
      <c r="GOH64" s="857">
        <f t="shared" si="122"/>
        <v>0</v>
      </c>
      <c r="GOI64" s="857">
        <f t="shared" si="122"/>
        <v>0</v>
      </c>
      <c r="GOJ64" s="857">
        <f t="shared" si="122"/>
        <v>0</v>
      </c>
      <c r="GOK64" s="857">
        <f t="shared" si="122"/>
        <v>0</v>
      </c>
      <c r="GOL64" s="857">
        <f t="shared" si="122"/>
        <v>0</v>
      </c>
      <c r="GOM64" s="857">
        <f t="shared" si="122"/>
        <v>0</v>
      </c>
      <c r="GON64" s="857">
        <f t="shared" si="122"/>
        <v>0</v>
      </c>
      <c r="GOO64" s="857">
        <f t="shared" si="122"/>
        <v>0</v>
      </c>
      <c r="GOP64" s="857">
        <f t="shared" si="122"/>
        <v>0</v>
      </c>
      <c r="GOQ64" s="857">
        <f t="shared" si="122"/>
        <v>0</v>
      </c>
      <c r="GOR64" s="857">
        <f t="shared" si="122"/>
        <v>0</v>
      </c>
      <c r="GOS64" s="857">
        <f t="shared" si="122"/>
        <v>0</v>
      </c>
      <c r="GOT64" s="857">
        <f t="shared" si="122"/>
        <v>0</v>
      </c>
      <c r="GOU64" s="857">
        <f t="shared" si="122"/>
        <v>0</v>
      </c>
      <c r="GOV64" s="857">
        <f t="shared" si="122"/>
        <v>0</v>
      </c>
      <c r="GOW64" s="857">
        <f t="shared" si="122"/>
        <v>0</v>
      </c>
      <c r="GOX64" s="857">
        <f t="shared" si="122"/>
        <v>0</v>
      </c>
      <c r="GOY64" s="857">
        <f t="shared" si="122"/>
        <v>0</v>
      </c>
      <c r="GOZ64" s="857">
        <f t="shared" si="122"/>
        <v>0</v>
      </c>
      <c r="GPA64" s="857">
        <f t="shared" si="122"/>
        <v>0</v>
      </c>
      <c r="GPB64" s="857">
        <f t="shared" si="122"/>
        <v>0</v>
      </c>
      <c r="GPC64" s="857">
        <f t="shared" si="122"/>
        <v>0</v>
      </c>
      <c r="GPD64" s="857">
        <f t="shared" si="122"/>
        <v>0</v>
      </c>
      <c r="GPE64" s="857">
        <f t="shared" si="122"/>
        <v>0</v>
      </c>
      <c r="GPF64" s="857">
        <f t="shared" si="122"/>
        <v>0</v>
      </c>
      <c r="GPG64" s="857">
        <f t="shared" si="122"/>
        <v>0</v>
      </c>
      <c r="GPH64" s="857">
        <f t="shared" si="122"/>
        <v>0</v>
      </c>
      <c r="GPI64" s="857">
        <f t="shared" si="122"/>
        <v>0</v>
      </c>
      <c r="GPJ64" s="857">
        <f t="shared" si="122"/>
        <v>0</v>
      </c>
      <c r="GPK64" s="857">
        <f t="shared" si="122"/>
        <v>0</v>
      </c>
      <c r="GPL64" s="857">
        <f t="shared" si="122"/>
        <v>0</v>
      </c>
      <c r="GPM64" s="857">
        <f t="shared" si="122"/>
        <v>0</v>
      </c>
      <c r="GPN64" s="857">
        <f t="shared" si="122"/>
        <v>0</v>
      </c>
      <c r="GPO64" s="857">
        <f t="shared" si="122"/>
        <v>0</v>
      </c>
      <c r="GPP64" s="857">
        <f t="shared" si="122"/>
        <v>0</v>
      </c>
      <c r="GPQ64" s="857">
        <f t="shared" si="122"/>
        <v>0</v>
      </c>
      <c r="GPR64" s="857">
        <f t="shared" si="122"/>
        <v>0</v>
      </c>
      <c r="GPS64" s="857">
        <f t="shared" si="122"/>
        <v>0</v>
      </c>
      <c r="GPT64" s="857">
        <f t="shared" si="122"/>
        <v>0</v>
      </c>
      <c r="GPU64" s="857">
        <f t="shared" si="122"/>
        <v>0</v>
      </c>
      <c r="GPV64" s="857">
        <f t="shared" si="122"/>
        <v>0</v>
      </c>
      <c r="GPW64" s="857">
        <f t="shared" si="122"/>
        <v>0</v>
      </c>
      <c r="GPX64" s="857">
        <f t="shared" si="122"/>
        <v>0</v>
      </c>
      <c r="GPY64" s="857">
        <f t="shared" si="122"/>
        <v>0</v>
      </c>
      <c r="GPZ64" s="857">
        <f t="shared" si="122"/>
        <v>0</v>
      </c>
      <c r="GQA64" s="857">
        <f t="shared" si="122"/>
        <v>0</v>
      </c>
      <c r="GQB64" s="857">
        <f t="shared" si="122"/>
        <v>0</v>
      </c>
      <c r="GQC64" s="857">
        <f t="shared" si="122"/>
        <v>0</v>
      </c>
      <c r="GQD64" s="857">
        <f t="shared" si="122"/>
        <v>0</v>
      </c>
      <c r="GQE64" s="857">
        <f t="shared" si="122"/>
        <v>0</v>
      </c>
      <c r="GQF64" s="857">
        <f t="shared" si="122"/>
        <v>0</v>
      </c>
      <c r="GQG64" s="857">
        <f t="shared" si="122"/>
        <v>0</v>
      </c>
      <c r="GQH64" s="857">
        <f t="shared" si="122"/>
        <v>0</v>
      </c>
      <c r="GQI64" s="857">
        <f t="shared" si="122"/>
        <v>0</v>
      </c>
      <c r="GQJ64" s="857">
        <f t="shared" si="122"/>
        <v>0</v>
      </c>
      <c r="GQK64" s="857">
        <f t="shared" si="122"/>
        <v>0</v>
      </c>
      <c r="GQL64" s="857">
        <f t="shared" si="122"/>
        <v>0</v>
      </c>
      <c r="GQM64" s="857">
        <f t="shared" si="122"/>
        <v>0</v>
      </c>
      <c r="GQN64" s="857">
        <f t="shared" si="122"/>
        <v>0</v>
      </c>
      <c r="GQO64" s="857">
        <f t="shared" si="122"/>
        <v>0</v>
      </c>
      <c r="GQP64" s="857">
        <f t="shared" ref="GQP64:GTA64" si="123">(GQP57-GQP59)*$C$64</f>
        <v>0</v>
      </c>
      <c r="GQQ64" s="857">
        <f t="shared" si="123"/>
        <v>0</v>
      </c>
      <c r="GQR64" s="857">
        <f t="shared" si="123"/>
        <v>0</v>
      </c>
      <c r="GQS64" s="857">
        <f t="shared" si="123"/>
        <v>0</v>
      </c>
      <c r="GQT64" s="857">
        <f t="shared" si="123"/>
        <v>0</v>
      </c>
      <c r="GQU64" s="857">
        <f t="shared" si="123"/>
        <v>0</v>
      </c>
      <c r="GQV64" s="857">
        <f t="shared" si="123"/>
        <v>0</v>
      </c>
      <c r="GQW64" s="857">
        <f t="shared" si="123"/>
        <v>0</v>
      </c>
      <c r="GQX64" s="857">
        <f t="shared" si="123"/>
        <v>0</v>
      </c>
      <c r="GQY64" s="857">
        <f t="shared" si="123"/>
        <v>0</v>
      </c>
      <c r="GQZ64" s="857">
        <f t="shared" si="123"/>
        <v>0</v>
      </c>
      <c r="GRA64" s="857">
        <f t="shared" si="123"/>
        <v>0</v>
      </c>
      <c r="GRB64" s="857">
        <f t="shared" si="123"/>
        <v>0</v>
      </c>
      <c r="GRC64" s="857">
        <f t="shared" si="123"/>
        <v>0</v>
      </c>
      <c r="GRD64" s="857">
        <f t="shared" si="123"/>
        <v>0</v>
      </c>
      <c r="GRE64" s="857">
        <f t="shared" si="123"/>
        <v>0</v>
      </c>
      <c r="GRF64" s="857">
        <f t="shared" si="123"/>
        <v>0</v>
      </c>
      <c r="GRG64" s="857">
        <f t="shared" si="123"/>
        <v>0</v>
      </c>
      <c r="GRH64" s="857">
        <f t="shared" si="123"/>
        <v>0</v>
      </c>
      <c r="GRI64" s="857">
        <f t="shared" si="123"/>
        <v>0</v>
      </c>
      <c r="GRJ64" s="857">
        <f t="shared" si="123"/>
        <v>0</v>
      </c>
      <c r="GRK64" s="857">
        <f t="shared" si="123"/>
        <v>0</v>
      </c>
      <c r="GRL64" s="857">
        <f t="shared" si="123"/>
        <v>0</v>
      </c>
      <c r="GRM64" s="857">
        <f t="shared" si="123"/>
        <v>0</v>
      </c>
      <c r="GRN64" s="857">
        <f t="shared" si="123"/>
        <v>0</v>
      </c>
      <c r="GRO64" s="857">
        <f t="shared" si="123"/>
        <v>0</v>
      </c>
      <c r="GRP64" s="857">
        <f t="shared" si="123"/>
        <v>0</v>
      </c>
      <c r="GRQ64" s="857">
        <f t="shared" si="123"/>
        <v>0</v>
      </c>
      <c r="GRR64" s="857">
        <f t="shared" si="123"/>
        <v>0</v>
      </c>
      <c r="GRS64" s="857">
        <f t="shared" si="123"/>
        <v>0</v>
      </c>
      <c r="GRT64" s="857">
        <f t="shared" si="123"/>
        <v>0</v>
      </c>
      <c r="GRU64" s="857">
        <f t="shared" si="123"/>
        <v>0</v>
      </c>
      <c r="GRV64" s="857">
        <f t="shared" si="123"/>
        <v>0</v>
      </c>
      <c r="GRW64" s="857">
        <f t="shared" si="123"/>
        <v>0</v>
      </c>
      <c r="GRX64" s="857">
        <f t="shared" si="123"/>
        <v>0</v>
      </c>
      <c r="GRY64" s="857">
        <f t="shared" si="123"/>
        <v>0</v>
      </c>
      <c r="GRZ64" s="857">
        <f t="shared" si="123"/>
        <v>0</v>
      </c>
      <c r="GSA64" s="857">
        <f t="shared" si="123"/>
        <v>0</v>
      </c>
      <c r="GSB64" s="857">
        <f t="shared" si="123"/>
        <v>0</v>
      </c>
      <c r="GSC64" s="857">
        <f t="shared" si="123"/>
        <v>0</v>
      </c>
      <c r="GSD64" s="857">
        <f t="shared" si="123"/>
        <v>0</v>
      </c>
      <c r="GSE64" s="857">
        <f t="shared" si="123"/>
        <v>0</v>
      </c>
      <c r="GSF64" s="857">
        <f t="shared" si="123"/>
        <v>0</v>
      </c>
      <c r="GSG64" s="857">
        <f t="shared" si="123"/>
        <v>0</v>
      </c>
      <c r="GSH64" s="857">
        <f t="shared" si="123"/>
        <v>0</v>
      </c>
      <c r="GSI64" s="857">
        <f t="shared" si="123"/>
        <v>0</v>
      </c>
      <c r="GSJ64" s="857">
        <f t="shared" si="123"/>
        <v>0</v>
      </c>
      <c r="GSK64" s="857">
        <f t="shared" si="123"/>
        <v>0</v>
      </c>
      <c r="GSL64" s="857">
        <f t="shared" si="123"/>
        <v>0</v>
      </c>
      <c r="GSM64" s="857">
        <f t="shared" si="123"/>
        <v>0</v>
      </c>
      <c r="GSN64" s="857">
        <f t="shared" si="123"/>
        <v>0</v>
      </c>
      <c r="GSO64" s="857">
        <f t="shared" si="123"/>
        <v>0</v>
      </c>
      <c r="GSP64" s="857">
        <f t="shared" si="123"/>
        <v>0</v>
      </c>
      <c r="GSQ64" s="857">
        <f t="shared" si="123"/>
        <v>0</v>
      </c>
      <c r="GSR64" s="857">
        <f t="shared" si="123"/>
        <v>0</v>
      </c>
      <c r="GSS64" s="857">
        <f t="shared" si="123"/>
        <v>0</v>
      </c>
      <c r="GST64" s="857">
        <f t="shared" si="123"/>
        <v>0</v>
      </c>
      <c r="GSU64" s="857">
        <f t="shared" si="123"/>
        <v>0</v>
      </c>
      <c r="GSV64" s="857">
        <f t="shared" si="123"/>
        <v>0</v>
      </c>
      <c r="GSW64" s="857">
        <f t="shared" si="123"/>
        <v>0</v>
      </c>
      <c r="GSX64" s="857">
        <f t="shared" si="123"/>
        <v>0</v>
      </c>
      <c r="GSY64" s="857">
        <f t="shared" si="123"/>
        <v>0</v>
      </c>
      <c r="GSZ64" s="857">
        <f t="shared" si="123"/>
        <v>0</v>
      </c>
      <c r="GTA64" s="857">
        <f t="shared" si="123"/>
        <v>0</v>
      </c>
      <c r="GTB64" s="857">
        <f t="shared" ref="GTB64:GVM64" si="124">(GTB57-GTB59)*$C$64</f>
        <v>0</v>
      </c>
      <c r="GTC64" s="857">
        <f t="shared" si="124"/>
        <v>0</v>
      </c>
      <c r="GTD64" s="857">
        <f t="shared" si="124"/>
        <v>0</v>
      </c>
      <c r="GTE64" s="857">
        <f t="shared" si="124"/>
        <v>0</v>
      </c>
      <c r="GTF64" s="857">
        <f t="shared" si="124"/>
        <v>0</v>
      </c>
      <c r="GTG64" s="857">
        <f t="shared" si="124"/>
        <v>0</v>
      </c>
      <c r="GTH64" s="857">
        <f t="shared" si="124"/>
        <v>0</v>
      </c>
      <c r="GTI64" s="857">
        <f t="shared" si="124"/>
        <v>0</v>
      </c>
      <c r="GTJ64" s="857">
        <f t="shared" si="124"/>
        <v>0</v>
      </c>
      <c r="GTK64" s="857">
        <f t="shared" si="124"/>
        <v>0</v>
      </c>
      <c r="GTL64" s="857">
        <f t="shared" si="124"/>
        <v>0</v>
      </c>
      <c r="GTM64" s="857">
        <f t="shared" si="124"/>
        <v>0</v>
      </c>
      <c r="GTN64" s="857">
        <f t="shared" si="124"/>
        <v>0</v>
      </c>
      <c r="GTO64" s="857">
        <f t="shared" si="124"/>
        <v>0</v>
      </c>
      <c r="GTP64" s="857">
        <f t="shared" si="124"/>
        <v>0</v>
      </c>
      <c r="GTQ64" s="857">
        <f t="shared" si="124"/>
        <v>0</v>
      </c>
      <c r="GTR64" s="857">
        <f t="shared" si="124"/>
        <v>0</v>
      </c>
      <c r="GTS64" s="857">
        <f t="shared" si="124"/>
        <v>0</v>
      </c>
      <c r="GTT64" s="857">
        <f t="shared" si="124"/>
        <v>0</v>
      </c>
      <c r="GTU64" s="857">
        <f t="shared" si="124"/>
        <v>0</v>
      </c>
      <c r="GTV64" s="857">
        <f t="shared" si="124"/>
        <v>0</v>
      </c>
      <c r="GTW64" s="857">
        <f t="shared" si="124"/>
        <v>0</v>
      </c>
      <c r="GTX64" s="857">
        <f t="shared" si="124"/>
        <v>0</v>
      </c>
      <c r="GTY64" s="857">
        <f t="shared" si="124"/>
        <v>0</v>
      </c>
      <c r="GTZ64" s="857">
        <f t="shared" si="124"/>
        <v>0</v>
      </c>
      <c r="GUA64" s="857">
        <f t="shared" si="124"/>
        <v>0</v>
      </c>
      <c r="GUB64" s="857">
        <f t="shared" si="124"/>
        <v>0</v>
      </c>
      <c r="GUC64" s="857">
        <f t="shared" si="124"/>
        <v>0</v>
      </c>
      <c r="GUD64" s="857">
        <f t="shared" si="124"/>
        <v>0</v>
      </c>
      <c r="GUE64" s="857">
        <f t="shared" si="124"/>
        <v>0</v>
      </c>
      <c r="GUF64" s="857">
        <f t="shared" si="124"/>
        <v>0</v>
      </c>
      <c r="GUG64" s="857">
        <f t="shared" si="124"/>
        <v>0</v>
      </c>
      <c r="GUH64" s="857">
        <f t="shared" si="124"/>
        <v>0</v>
      </c>
      <c r="GUI64" s="857">
        <f t="shared" si="124"/>
        <v>0</v>
      </c>
      <c r="GUJ64" s="857">
        <f t="shared" si="124"/>
        <v>0</v>
      </c>
      <c r="GUK64" s="857">
        <f t="shared" si="124"/>
        <v>0</v>
      </c>
      <c r="GUL64" s="857">
        <f t="shared" si="124"/>
        <v>0</v>
      </c>
      <c r="GUM64" s="857">
        <f t="shared" si="124"/>
        <v>0</v>
      </c>
      <c r="GUN64" s="857">
        <f t="shared" si="124"/>
        <v>0</v>
      </c>
      <c r="GUO64" s="857">
        <f t="shared" si="124"/>
        <v>0</v>
      </c>
      <c r="GUP64" s="857">
        <f t="shared" si="124"/>
        <v>0</v>
      </c>
      <c r="GUQ64" s="857">
        <f t="shared" si="124"/>
        <v>0</v>
      </c>
      <c r="GUR64" s="857">
        <f t="shared" si="124"/>
        <v>0</v>
      </c>
      <c r="GUS64" s="857">
        <f t="shared" si="124"/>
        <v>0</v>
      </c>
      <c r="GUT64" s="857">
        <f t="shared" si="124"/>
        <v>0</v>
      </c>
      <c r="GUU64" s="857">
        <f t="shared" si="124"/>
        <v>0</v>
      </c>
      <c r="GUV64" s="857">
        <f t="shared" si="124"/>
        <v>0</v>
      </c>
      <c r="GUW64" s="857">
        <f t="shared" si="124"/>
        <v>0</v>
      </c>
      <c r="GUX64" s="857">
        <f t="shared" si="124"/>
        <v>0</v>
      </c>
      <c r="GUY64" s="857">
        <f t="shared" si="124"/>
        <v>0</v>
      </c>
      <c r="GUZ64" s="857">
        <f t="shared" si="124"/>
        <v>0</v>
      </c>
      <c r="GVA64" s="857">
        <f t="shared" si="124"/>
        <v>0</v>
      </c>
      <c r="GVB64" s="857">
        <f t="shared" si="124"/>
        <v>0</v>
      </c>
      <c r="GVC64" s="857">
        <f t="shared" si="124"/>
        <v>0</v>
      </c>
      <c r="GVD64" s="857">
        <f t="shared" si="124"/>
        <v>0</v>
      </c>
      <c r="GVE64" s="857">
        <f t="shared" si="124"/>
        <v>0</v>
      </c>
      <c r="GVF64" s="857">
        <f t="shared" si="124"/>
        <v>0</v>
      </c>
      <c r="GVG64" s="857">
        <f t="shared" si="124"/>
        <v>0</v>
      </c>
      <c r="GVH64" s="857">
        <f t="shared" si="124"/>
        <v>0</v>
      </c>
      <c r="GVI64" s="857">
        <f t="shared" si="124"/>
        <v>0</v>
      </c>
      <c r="GVJ64" s="857">
        <f t="shared" si="124"/>
        <v>0</v>
      </c>
      <c r="GVK64" s="857">
        <f t="shared" si="124"/>
        <v>0</v>
      </c>
      <c r="GVL64" s="857">
        <f t="shared" si="124"/>
        <v>0</v>
      </c>
      <c r="GVM64" s="857">
        <f t="shared" si="124"/>
        <v>0</v>
      </c>
      <c r="GVN64" s="857">
        <f t="shared" ref="GVN64:GXY64" si="125">(GVN57-GVN59)*$C$64</f>
        <v>0</v>
      </c>
      <c r="GVO64" s="857">
        <f t="shared" si="125"/>
        <v>0</v>
      </c>
      <c r="GVP64" s="857">
        <f t="shared" si="125"/>
        <v>0</v>
      </c>
      <c r="GVQ64" s="857">
        <f t="shared" si="125"/>
        <v>0</v>
      </c>
      <c r="GVR64" s="857">
        <f t="shared" si="125"/>
        <v>0</v>
      </c>
      <c r="GVS64" s="857">
        <f t="shared" si="125"/>
        <v>0</v>
      </c>
      <c r="GVT64" s="857">
        <f t="shared" si="125"/>
        <v>0</v>
      </c>
      <c r="GVU64" s="857">
        <f t="shared" si="125"/>
        <v>0</v>
      </c>
      <c r="GVV64" s="857">
        <f t="shared" si="125"/>
        <v>0</v>
      </c>
      <c r="GVW64" s="857">
        <f t="shared" si="125"/>
        <v>0</v>
      </c>
      <c r="GVX64" s="857">
        <f t="shared" si="125"/>
        <v>0</v>
      </c>
      <c r="GVY64" s="857">
        <f t="shared" si="125"/>
        <v>0</v>
      </c>
      <c r="GVZ64" s="857">
        <f t="shared" si="125"/>
        <v>0</v>
      </c>
      <c r="GWA64" s="857">
        <f t="shared" si="125"/>
        <v>0</v>
      </c>
      <c r="GWB64" s="857">
        <f t="shared" si="125"/>
        <v>0</v>
      </c>
      <c r="GWC64" s="857">
        <f t="shared" si="125"/>
        <v>0</v>
      </c>
      <c r="GWD64" s="857">
        <f t="shared" si="125"/>
        <v>0</v>
      </c>
      <c r="GWE64" s="857">
        <f t="shared" si="125"/>
        <v>0</v>
      </c>
      <c r="GWF64" s="857">
        <f t="shared" si="125"/>
        <v>0</v>
      </c>
      <c r="GWG64" s="857">
        <f t="shared" si="125"/>
        <v>0</v>
      </c>
      <c r="GWH64" s="857">
        <f t="shared" si="125"/>
        <v>0</v>
      </c>
      <c r="GWI64" s="857">
        <f t="shared" si="125"/>
        <v>0</v>
      </c>
      <c r="GWJ64" s="857">
        <f t="shared" si="125"/>
        <v>0</v>
      </c>
      <c r="GWK64" s="857">
        <f t="shared" si="125"/>
        <v>0</v>
      </c>
      <c r="GWL64" s="857">
        <f t="shared" si="125"/>
        <v>0</v>
      </c>
      <c r="GWM64" s="857">
        <f t="shared" si="125"/>
        <v>0</v>
      </c>
      <c r="GWN64" s="857">
        <f t="shared" si="125"/>
        <v>0</v>
      </c>
      <c r="GWO64" s="857">
        <f t="shared" si="125"/>
        <v>0</v>
      </c>
      <c r="GWP64" s="857">
        <f t="shared" si="125"/>
        <v>0</v>
      </c>
      <c r="GWQ64" s="857">
        <f t="shared" si="125"/>
        <v>0</v>
      </c>
      <c r="GWR64" s="857">
        <f t="shared" si="125"/>
        <v>0</v>
      </c>
      <c r="GWS64" s="857">
        <f t="shared" si="125"/>
        <v>0</v>
      </c>
      <c r="GWT64" s="857">
        <f t="shared" si="125"/>
        <v>0</v>
      </c>
      <c r="GWU64" s="857">
        <f t="shared" si="125"/>
        <v>0</v>
      </c>
      <c r="GWV64" s="857">
        <f t="shared" si="125"/>
        <v>0</v>
      </c>
      <c r="GWW64" s="857">
        <f t="shared" si="125"/>
        <v>0</v>
      </c>
      <c r="GWX64" s="857">
        <f t="shared" si="125"/>
        <v>0</v>
      </c>
      <c r="GWY64" s="857">
        <f t="shared" si="125"/>
        <v>0</v>
      </c>
      <c r="GWZ64" s="857">
        <f t="shared" si="125"/>
        <v>0</v>
      </c>
      <c r="GXA64" s="857">
        <f t="shared" si="125"/>
        <v>0</v>
      </c>
      <c r="GXB64" s="857">
        <f t="shared" si="125"/>
        <v>0</v>
      </c>
      <c r="GXC64" s="857">
        <f t="shared" si="125"/>
        <v>0</v>
      </c>
      <c r="GXD64" s="857">
        <f t="shared" si="125"/>
        <v>0</v>
      </c>
      <c r="GXE64" s="857">
        <f t="shared" si="125"/>
        <v>0</v>
      </c>
      <c r="GXF64" s="857">
        <f t="shared" si="125"/>
        <v>0</v>
      </c>
      <c r="GXG64" s="857">
        <f t="shared" si="125"/>
        <v>0</v>
      </c>
      <c r="GXH64" s="857">
        <f t="shared" si="125"/>
        <v>0</v>
      </c>
      <c r="GXI64" s="857">
        <f t="shared" si="125"/>
        <v>0</v>
      </c>
      <c r="GXJ64" s="857">
        <f t="shared" si="125"/>
        <v>0</v>
      </c>
      <c r="GXK64" s="857">
        <f t="shared" si="125"/>
        <v>0</v>
      </c>
      <c r="GXL64" s="857">
        <f t="shared" si="125"/>
        <v>0</v>
      </c>
      <c r="GXM64" s="857">
        <f t="shared" si="125"/>
        <v>0</v>
      </c>
      <c r="GXN64" s="857">
        <f t="shared" si="125"/>
        <v>0</v>
      </c>
      <c r="GXO64" s="857">
        <f t="shared" si="125"/>
        <v>0</v>
      </c>
      <c r="GXP64" s="857">
        <f t="shared" si="125"/>
        <v>0</v>
      </c>
      <c r="GXQ64" s="857">
        <f t="shared" si="125"/>
        <v>0</v>
      </c>
      <c r="GXR64" s="857">
        <f t="shared" si="125"/>
        <v>0</v>
      </c>
      <c r="GXS64" s="857">
        <f t="shared" si="125"/>
        <v>0</v>
      </c>
      <c r="GXT64" s="857">
        <f t="shared" si="125"/>
        <v>0</v>
      </c>
      <c r="GXU64" s="857">
        <f t="shared" si="125"/>
        <v>0</v>
      </c>
      <c r="GXV64" s="857">
        <f t="shared" si="125"/>
        <v>0</v>
      </c>
      <c r="GXW64" s="857">
        <f t="shared" si="125"/>
        <v>0</v>
      </c>
      <c r="GXX64" s="857">
        <f t="shared" si="125"/>
        <v>0</v>
      </c>
      <c r="GXY64" s="857">
        <f t="shared" si="125"/>
        <v>0</v>
      </c>
      <c r="GXZ64" s="857">
        <f t="shared" ref="GXZ64:HAK64" si="126">(GXZ57-GXZ59)*$C$64</f>
        <v>0</v>
      </c>
      <c r="GYA64" s="857">
        <f t="shared" si="126"/>
        <v>0</v>
      </c>
      <c r="GYB64" s="857">
        <f t="shared" si="126"/>
        <v>0</v>
      </c>
      <c r="GYC64" s="857">
        <f t="shared" si="126"/>
        <v>0</v>
      </c>
      <c r="GYD64" s="857">
        <f t="shared" si="126"/>
        <v>0</v>
      </c>
      <c r="GYE64" s="857">
        <f t="shared" si="126"/>
        <v>0</v>
      </c>
      <c r="GYF64" s="857">
        <f t="shared" si="126"/>
        <v>0</v>
      </c>
      <c r="GYG64" s="857">
        <f t="shared" si="126"/>
        <v>0</v>
      </c>
      <c r="GYH64" s="857">
        <f t="shared" si="126"/>
        <v>0</v>
      </c>
      <c r="GYI64" s="857">
        <f t="shared" si="126"/>
        <v>0</v>
      </c>
      <c r="GYJ64" s="857">
        <f t="shared" si="126"/>
        <v>0</v>
      </c>
      <c r="GYK64" s="857">
        <f t="shared" si="126"/>
        <v>0</v>
      </c>
      <c r="GYL64" s="857">
        <f t="shared" si="126"/>
        <v>0</v>
      </c>
      <c r="GYM64" s="857">
        <f t="shared" si="126"/>
        <v>0</v>
      </c>
      <c r="GYN64" s="857">
        <f t="shared" si="126"/>
        <v>0</v>
      </c>
      <c r="GYO64" s="857">
        <f t="shared" si="126"/>
        <v>0</v>
      </c>
      <c r="GYP64" s="857">
        <f t="shared" si="126"/>
        <v>0</v>
      </c>
      <c r="GYQ64" s="857">
        <f t="shared" si="126"/>
        <v>0</v>
      </c>
      <c r="GYR64" s="857">
        <f t="shared" si="126"/>
        <v>0</v>
      </c>
      <c r="GYS64" s="857">
        <f t="shared" si="126"/>
        <v>0</v>
      </c>
      <c r="GYT64" s="857">
        <f t="shared" si="126"/>
        <v>0</v>
      </c>
      <c r="GYU64" s="857">
        <f t="shared" si="126"/>
        <v>0</v>
      </c>
      <c r="GYV64" s="857">
        <f t="shared" si="126"/>
        <v>0</v>
      </c>
      <c r="GYW64" s="857">
        <f t="shared" si="126"/>
        <v>0</v>
      </c>
      <c r="GYX64" s="857">
        <f t="shared" si="126"/>
        <v>0</v>
      </c>
      <c r="GYY64" s="857">
        <f t="shared" si="126"/>
        <v>0</v>
      </c>
      <c r="GYZ64" s="857">
        <f t="shared" si="126"/>
        <v>0</v>
      </c>
      <c r="GZA64" s="857">
        <f t="shared" si="126"/>
        <v>0</v>
      </c>
      <c r="GZB64" s="857">
        <f t="shared" si="126"/>
        <v>0</v>
      </c>
      <c r="GZC64" s="857">
        <f t="shared" si="126"/>
        <v>0</v>
      </c>
      <c r="GZD64" s="857">
        <f t="shared" si="126"/>
        <v>0</v>
      </c>
      <c r="GZE64" s="857">
        <f t="shared" si="126"/>
        <v>0</v>
      </c>
      <c r="GZF64" s="857">
        <f t="shared" si="126"/>
        <v>0</v>
      </c>
      <c r="GZG64" s="857">
        <f t="shared" si="126"/>
        <v>0</v>
      </c>
      <c r="GZH64" s="857">
        <f t="shared" si="126"/>
        <v>0</v>
      </c>
      <c r="GZI64" s="857">
        <f t="shared" si="126"/>
        <v>0</v>
      </c>
      <c r="GZJ64" s="857">
        <f t="shared" si="126"/>
        <v>0</v>
      </c>
      <c r="GZK64" s="857">
        <f t="shared" si="126"/>
        <v>0</v>
      </c>
      <c r="GZL64" s="857">
        <f t="shared" si="126"/>
        <v>0</v>
      </c>
      <c r="GZM64" s="857">
        <f t="shared" si="126"/>
        <v>0</v>
      </c>
      <c r="GZN64" s="857">
        <f t="shared" si="126"/>
        <v>0</v>
      </c>
      <c r="GZO64" s="857">
        <f t="shared" si="126"/>
        <v>0</v>
      </c>
      <c r="GZP64" s="857">
        <f t="shared" si="126"/>
        <v>0</v>
      </c>
      <c r="GZQ64" s="857">
        <f t="shared" si="126"/>
        <v>0</v>
      </c>
      <c r="GZR64" s="857">
        <f t="shared" si="126"/>
        <v>0</v>
      </c>
      <c r="GZS64" s="857">
        <f t="shared" si="126"/>
        <v>0</v>
      </c>
      <c r="GZT64" s="857">
        <f t="shared" si="126"/>
        <v>0</v>
      </c>
      <c r="GZU64" s="857">
        <f t="shared" si="126"/>
        <v>0</v>
      </c>
      <c r="GZV64" s="857">
        <f t="shared" si="126"/>
        <v>0</v>
      </c>
      <c r="GZW64" s="857">
        <f t="shared" si="126"/>
        <v>0</v>
      </c>
      <c r="GZX64" s="857">
        <f t="shared" si="126"/>
        <v>0</v>
      </c>
      <c r="GZY64" s="857">
        <f t="shared" si="126"/>
        <v>0</v>
      </c>
      <c r="GZZ64" s="857">
        <f t="shared" si="126"/>
        <v>0</v>
      </c>
      <c r="HAA64" s="857">
        <f t="shared" si="126"/>
        <v>0</v>
      </c>
      <c r="HAB64" s="857">
        <f t="shared" si="126"/>
        <v>0</v>
      </c>
      <c r="HAC64" s="857">
        <f t="shared" si="126"/>
        <v>0</v>
      </c>
      <c r="HAD64" s="857">
        <f t="shared" si="126"/>
        <v>0</v>
      </c>
      <c r="HAE64" s="857">
        <f t="shared" si="126"/>
        <v>0</v>
      </c>
      <c r="HAF64" s="857">
        <f t="shared" si="126"/>
        <v>0</v>
      </c>
      <c r="HAG64" s="857">
        <f t="shared" si="126"/>
        <v>0</v>
      </c>
      <c r="HAH64" s="857">
        <f t="shared" si="126"/>
        <v>0</v>
      </c>
      <c r="HAI64" s="857">
        <f t="shared" si="126"/>
        <v>0</v>
      </c>
      <c r="HAJ64" s="857">
        <f t="shared" si="126"/>
        <v>0</v>
      </c>
      <c r="HAK64" s="857">
        <f t="shared" si="126"/>
        <v>0</v>
      </c>
      <c r="HAL64" s="857">
        <f t="shared" ref="HAL64:HCW64" si="127">(HAL57-HAL59)*$C$64</f>
        <v>0</v>
      </c>
      <c r="HAM64" s="857">
        <f t="shared" si="127"/>
        <v>0</v>
      </c>
      <c r="HAN64" s="857">
        <f t="shared" si="127"/>
        <v>0</v>
      </c>
      <c r="HAO64" s="857">
        <f t="shared" si="127"/>
        <v>0</v>
      </c>
      <c r="HAP64" s="857">
        <f t="shared" si="127"/>
        <v>0</v>
      </c>
      <c r="HAQ64" s="857">
        <f t="shared" si="127"/>
        <v>0</v>
      </c>
      <c r="HAR64" s="857">
        <f t="shared" si="127"/>
        <v>0</v>
      </c>
      <c r="HAS64" s="857">
        <f t="shared" si="127"/>
        <v>0</v>
      </c>
      <c r="HAT64" s="857">
        <f t="shared" si="127"/>
        <v>0</v>
      </c>
      <c r="HAU64" s="857">
        <f t="shared" si="127"/>
        <v>0</v>
      </c>
      <c r="HAV64" s="857">
        <f t="shared" si="127"/>
        <v>0</v>
      </c>
      <c r="HAW64" s="857">
        <f t="shared" si="127"/>
        <v>0</v>
      </c>
      <c r="HAX64" s="857">
        <f t="shared" si="127"/>
        <v>0</v>
      </c>
      <c r="HAY64" s="857">
        <f t="shared" si="127"/>
        <v>0</v>
      </c>
      <c r="HAZ64" s="857">
        <f t="shared" si="127"/>
        <v>0</v>
      </c>
      <c r="HBA64" s="857">
        <f t="shared" si="127"/>
        <v>0</v>
      </c>
      <c r="HBB64" s="857">
        <f t="shared" si="127"/>
        <v>0</v>
      </c>
      <c r="HBC64" s="857">
        <f t="shared" si="127"/>
        <v>0</v>
      </c>
      <c r="HBD64" s="857">
        <f t="shared" si="127"/>
        <v>0</v>
      </c>
      <c r="HBE64" s="857">
        <f t="shared" si="127"/>
        <v>0</v>
      </c>
      <c r="HBF64" s="857">
        <f t="shared" si="127"/>
        <v>0</v>
      </c>
      <c r="HBG64" s="857">
        <f t="shared" si="127"/>
        <v>0</v>
      </c>
      <c r="HBH64" s="857">
        <f t="shared" si="127"/>
        <v>0</v>
      </c>
      <c r="HBI64" s="857">
        <f t="shared" si="127"/>
        <v>0</v>
      </c>
      <c r="HBJ64" s="857">
        <f t="shared" si="127"/>
        <v>0</v>
      </c>
      <c r="HBK64" s="857">
        <f t="shared" si="127"/>
        <v>0</v>
      </c>
      <c r="HBL64" s="857">
        <f t="shared" si="127"/>
        <v>0</v>
      </c>
      <c r="HBM64" s="857">
        <f t="shared" si="127"/>
        <v>0</v>
      </c>
      <c r="HBN64" s="857">
        <f t="shared" si="127"/>
        <v>0</v>
      </c>
      <c r="HBO64" s="857">
        <f t="shared" si="127"/>
        <v>0</v>
      </c>
      <c r="HBP64" s="857">
        <f t="shared" si="127"/>
        <v>0</v>
      </c>
      <c r="HBQ64" s="857">
        <f t="shared" si="127"/>
        <v>0</v>
      </c>
      <c r="HBR64" s="857">
        <f t="shared" si="127"/>
        <v>0</v>
      </c>
      <c r="HBS64" s="857">
        <f t="shared" si="127"/>
        <v>0</v>
      </c>
      <c r="HBT64" s="857">
        <f t="shared" si="127"/>
        <v>0</v>
      </c>
      <c r="HBU64" s="857">
        <f t="shared" si="127"/>
        <v>0</v>
      </c>
      <c r="HBV64" s="857">
        <f t="shared" si="127"/>
        <v>0</v>
      </c>
      <c r="HBW64" s="857">
        <f t="shared" si="127"/>
        <v>0</v>
      </c>
      <c r="HBX64" s="857">
        <f t="shared" si="127"/>
        <v>0</v>
      </c>
      <c r="HBY64" s="857">
        <f t="shared" si="127"/>
        <v>0</v>
      </c>
      <c r="HBZ64" s="857">
        <f t="shared" si="127"/>
        <v>0</v>
      </c>
      <c r="HCA64" s="857">
        <f t="shared" si="127"/>
        <v>0</v>
      </c>
      <c r="HCB64" s="857">
        <f t="shared" si="127"/>
        <v>0</v>
      </c>
      <c r="HCC64" s="857">
        <f t="shared" si="127"/>
        <v>0</v>
      </c>
      <c r="HCD64" s="857">
        <f t="shared" si="127"/>
        <v>0</v>
      </c>
      <c r="HCE64" s="857">
        <f t="shared" si="127"/>
        <v>0</v>
      </c>
      <c r="HCF64" s="857">
        <f t="shared" si="127"/>
        <v>0</v>
      </c>
      <c r="HCG64" s="857">
        <f t="shared" si="127"/>
        <v>0</v>
      </c>
      <c r="HCH64" s="857">
        <f t="shared" si="127"/>
        <v>0</v>
      </c>
      <c r="HCI64" s="857">
        <f t="shared" si="127"/>
        <v>0</v>
      </c>
      <c r="HCJ64" s="857">
        <f t="shared" si="127"/>
        <v>0</v>
      </c>
      <c r="HCK64" s="857">
        <f t="shared" si="127"/>
        <v>0</v>
      </c>
      <c r="HCL64" s="857">
        <f t="shared" si="127"/>
        <v>0</v>
      </c>
      <c r="HCM64" s="857">
        <f t="shared" si="127"/>
        <v>0</v>
      </c>
      <c r="HCN64" s="857">
        <f t="shared" si="127"/>
        <v>0</v>
      </c>
      <c r="HCO64" s="857">
        <f t="shared" si="127"/>
        <v>0</v>
      </c>
      <c r="HCP64" s="857">
        <f t="shared" si="127"/>
        <v>0</v>
      </c>
      <c r="HCQ64" s="857">
        <f t="shared" si="127"/>
        <v>0</v>
      </c>
      <c r="HCR64" s="857">
        <f t="shared" si="127"/>
        <v>0</v>
      </c>
      <c r="HCS64" s="857">
        <f t="shared" si="127"/>
        <v>0</v>
      </c>
      <c r="HCT64" s="857">
        <f t="shared" si="127"/>
        <v>0</v>
      </c>
      <c r="HCU64" s="857">
        <f t="shared" si="127"/>
        <v>0</v>
      </c>
      <c r="HCV64" s="857">
        <f t="shared" si="127"/>
        <v>0</v>
      </c>
      <c r="HCW64" s="857">
        <f t="shared" si="127"/>
        <v>0</v>
      </c>
      <c r="HCX64" s="857">
        <f t="shared" ref="HCX64:HFI64" si="128">(HCX57-HCX59)*$C$64</f>
        <v>0</v>
      </c>
      <c r="HCY64" s="857">
        <f t="shared" si="128"/>
        <v>0</v>
      </c>
      <c r="HCZ64" s="857">
        <f t="shared" si="128"/>
        <v>0</v>
      </c>
      <c r="HDA64" s="857">
        <f t="shared" si="128"/>
        <v>0</v>
      </c>
      <c r="HDB64" s="857">
        <f t="shared" si="128"/>
        <v>0</v>
      </c>
      <c r="HDC64" s="857">
        <f t="shared" si="128"/>
        <v>0</v>
      </c>
      <c r="HDD64" s="857">
        <f t="shared" si="128"/>
        <v>0</v>
      </c>
      <c r="HDE64" s="857">
        <f t="shared" si="128"/>
        <v>0</v>
      </c>
      <c r="HDF64" s="857">
        <f t="shared" si="128"/>
        <v>0</v>
      </c>
      <c r="HDG64" s="857">
        <f t="shared" si="128"/>
        <v>0</v>
      </c>
      <c r="HDH64" s="857">
        <f t="shared" si="128"/>
        <v>0</v>
      </c>
      <c r="HDI64" s="857">
        <f t="shared" si="128"/>
        <v>0</v>
      </c>
      <c r="HDJ64" s="857">
        <f t="shared" si="128"/>
        <v>0</v>
      </c>
      <c r="HDK64" s="857">
        <f t="shared" si="128"/>
        <v>0</v>
      </c>
      <c r="HDL64" s="857">
        <f t="shared" si="128"/>
        <v>0</v>
      </c>
      <c r="HDM64" s="857">
        <f t="shared" si="128"/>
        <v>0</v>
      </c>
      <c r="HDN64" s="857">
        <f t="shared" si="128"/>
        <v>0</v>
      </c>
      <c r="HDO64" s="857">
        <f t="shared" si="128"/>
        <v>0</v>
      </c>
      <c r="HDP64" s="857">
        <f t="shared" si="128"/>
        <v>0</v>
      </c>
      <c r="HDQ64" s="857">
        <f t="shared" si="128"/>
        <v>0</v>
      </c>
      <c r="HDR64" s="857">
        <f t="shared" si="128"/>
        <v>0</v>
      </c>
      <c r="HDS64" s="857">
        <f t="shared" si="128"/>
        <v>0</v>
      </c>
      <c r="HDT64" s="857">
        <f t="shared" si="128"/>
        <v>0</v>
      </c>
      <c r="HDU64" s="857">
        <f t="shared" si="128"/>
        <v>0</v>
      </c>
      <c r="HDV64" s="857">
        <f t="shared" si="128"/>
        <v>0</v>
      </c>
      <c r="HDW64" s="857">
        <f t="shared" si="128"/>
        <v>0</v>
      </c>
      <c r="HDX64" s="857">
        <f t="shared" si="128"/>
        <v>0</v>
      </c>
      <c r="HDY64" s="857">
        <f t="shared" si="128"/>
        <v>0</v>
      </c>
      <c r="HDZ64" s="857">
        <f t="shared" si="128"/>
        <v>0</v>
      </c>
      <c r="HEA64" s="857">
        <f t="shared" si="128"/>
        <v>0</v>
      </c>
      <c r="HEB64" s="857">
        <f t="shared" si="128"/>
        <v>0</v>
      </c>
      <c r="HEC64" s="857">
        <f t="shared" si="128"/>
        <v>0</v>
      </c>
      <c r="HED64" s="857">
        <f t="shared" si="128"/>
        <v>0</v>
      </c>
      <c r="HEE64" s="857">
        <f t="shared" si="128"/>
        <v>0</v>
      </c>
      <c r="HEF64" s="857">
        <f t="shared" si="128"/>
        <v>0</v>
      </c>
      <c r="HEG64" s="857">
        <f t="shared" si="128"/>
        <v>0</v>
      </c>
      <c r="HEH64" s="857">
        <f t="shared" si="128"/>
        <v>0</v>
      </c>
      <c r="HEI64" s="857">
        <f t="shared" si="128"/>
        <v>0</v>
      </c>
      <c r="HEJ64" s="857">
        <f t="shared" si="128"/>
        <v>0</v>
      </c>
      <c r="HEK64" s="857">
        <f t="shared" si="128"/>
        <v>0</v>
      </c>
      <c r="HEL64" s="857">
        <f t="shared" si="128"/>
        <v>0</v>
      </c>
      <c r="HEM64" s="857">
        <f t="shared" si="128"/>
        <v>0</v>
      </c>
      <c r="HEN64" s="857">
        <f t="shared" si="128"/>
        <v>0</v>
      </c>
      <c r="HEO64" s="857">
        <f t="shared" si="128"/>
        <v>0</v>
      </c>
      <c r="HEP64" s="857">
        <f t="shared" si="128"/>
        <v>0</v>
      </c>
      <c r="HEQ64" s="857">
        <f t="shared" si="128"/>
        <v>0</v>
      </c>
      <c r="HER64" s="857">
        <f t="shared" si="128"/>
        <v>0</v>
      </c>
      <c r="HES64" s="857">
        <f t="shared" si="128"/>
        <v>0</v>
      </c>
      <c r="HET64" s="857">
        <f t="shared" si="128"/>
        <v>0</v>
      </c>
      <c r="HEU64" s="857">
        <f t="shared" si="128"/>
        <v>0</v>
      </c>
      <c r="HEV64" s="857">
        <f t="shared" si="128"/>
        <v>0</v>
      </c>
      <c r="HEW64" s="857">
        <f t="shared" si="128"/>
        <v>0</v>
      </c>
      <c r="HEX64" s="857">
        <f t="shared" si="128"/>
        <v>0</v>
      </c>
      <c r="HEY64" s="857">
        <f t="shared" si="128"/>
        <v>0</v>
      </c>
      <c r="HEZ64" s="857">
        <f t="shared" si="128"/>
        <v>0</v>
      </c>
      <c r="HFA64" s="857">
        <f t="shared" si="128"/>
        <v>0</v>
      </c>
      <c r="HFB64" s="857">
        <f t="shared" si="128"/>
        <v>0</v>
      </c>
      <c r="HFC64" s="857">
        <f t="shared" si="128"/>
        <v>0</v>
      </c>
      <c r="HFD64" s="857">
        <f t="shared" si="128"/>
        <v>0</v>
      </c>
      <c r="HFE64" s="857">
        <f t="shared" si="128"/>
        <v>0</v>
      </c>
      <c r="HFF64" s="857">
        <f t="shared" si="128"/>
        <v>0</v>
      </c>
      <c r="HFG64" s="857">
        <f t="shared" si="128"/>
        <v>0</v>
      </c>
      <c r="HFH64" s="857">
        <f t="shared" si="128"/>
        <v>0</v>
      </c>
      <c r="HFI64" s="857">
        <f t="shared" si="128"/>
        <v>0</v>
      </c>
      <c r="HFJ64" s="857">
        <f t="shared" ref="HFJ64:HHU64" si="129">(HFJ57-HFJ59)*$C$64</f>
        <v>0</v>
      </c>
      <c r="HFK64" s="857">
        <f t="shared" si="129"/>
        <v>0</v>
      </c>
      <c r="HFL64" s="857">
        <f t="shared" si="129"/>
        <v>0</v>
      </c>
      <c r="HFM64" s="857">
        <f t="shared" si="129"/>
        <v>0</v>
      </c>
      <c r="HFN64" s="857">
        <f t="shared" si="129"/>
        <v>0</v>
      </c>
      <c r="HFO64" s="857">
        <f t="shared" si="129"/>
        <v>0</v>
      </c>
      <c r="HFP64" s="857">
        <f t="shared" si="129"/>
        <v>0</v>
      </c>
      <c r="HFQ64" s="857">
        <f t="shared" si="129"/>
        <v>0</v>
      </c>
      <c r="HFR64" s="857">
        <f t="shared" si="129"/>
        <v>0</v>
      </c>
      <c r="HFS64" s="857">
        <f t="shared" si="129"/>
        <v>0</v>
      </c>
      <c r="HFT64" s="857">
        <f t="shared" si="129"/>
        <v>0</v>
      </c>
      <c r="HFU64" s="857">
        <f t="shared" si="129"/>
        <v>0</v>
      </c>
      <c r="HFV64" s="857">
        <f t="shared" si="129"/>
        <v>0</v>
      </c>
      <c r="HFW64" s="857">
        <f t="shared" si="129"/>
        <v>0</v>
      </c>
      <c r="HFX64" s="857">
        <f t="shared" si="129"/>
        <v>0</v>
      </c>
      <c r="HFY64" s="857">
        <f t="shared" si="129"/>
        <v>0</v>
      </c>
      <c r="HFZ64" s="857">
        <f t="shared" si="129"/>
        <v>0</v>
      </c>
      <c r="HGA64" s="857">
        <f t="shared" si="129"/>
        <v>0</v>
      </c>
      <c r="HGB64" s="857">
        <f t="shared" si="129"/>
        <v>0</v>
      </c>
      <c r="HGC64" s="857">
        <f t="shared" si="129"/>
        <v>0</v>
      </c>
      <c r="HGD64" s="857">
        <f t="shared" si="129"/>
        <v>0</v>
      </c>
      <c r="HGE64" s="857">
        <f t="shared" si="129"/>
        <v>0</v>
      </c>
      <c r="HGF64" s="857">
        <f t="shared" si="129"/>
        <v>0</v>
      </c>
      <c r="HGG64" s="857">
        <f t="shared" si="129"/>
        <v>0</v>
      </c>
      <c r="HGH64" s="857">
        <f t="shared" si="129"/>
        <v>0</v>
      </c>
      <c r="HGI64" s="857">
        <f t="shared" si="129"/>
        <v>0</v>
      </c>
      <c r="HGJ64" s="857">
        <f t="shared" si="129"/>
        <v>0</v>
      </c>
      <c r="HGK64" s="857">
        <f t="shared" si="129"/>
        <v>0</v>
      </c>
      <c r="HGL64" s="857">
        <f t="shared" si="129"/>
        <v>0</v>
      </c>
      <c r="HGM64" s="857">
        <f t="shared" si="129"/>
        <v>0</v>
      </c>
      <c r="HGN64" s="857">
        <f t="shared" si="129"/>
        <v>0</v>
      </c>
      <c r="HGO64" s="857">
        <f t="shared" si="129"/>
        <v>0</v>
      </c>
      <c r="HGP64" s="857">
        <f t="shared" si="129"/>
        <v>0</v>
      </c>
      <c r="HGQ64" s="857">
        <f t="shared" si="129"/>
        <v>0</v>
      </c>
      <c r="HGR64" s="857">
        <f t="shared" si="129"/>
        <v>0</v>
      </c>
      <c r="HGS64" s="857">
        <f t="shared" si="129"/>
        <v>0</v>
      </c>
      <c r="HGT64" s="857">
        <f t="shared" si="129"/>
        <v>0</v>
      </c>
      <c r="HGU64" s="857">
        <f t="shared" si="129"/>
        <v>0</v>
      </c>
      <c r="HGV64" s="857">
        <f t="shared" si="129"/>
        <v>0</v>
      </c>
      <c r="HGW64" s="857">
        <f t="shared" si="129"/>
        <v>0</v>
      </c>
      <c r="HGX64" s="857">
        <f t="shared" si="129"/>
        <v>0</v>
      </c>
      <c r="HGY64" s="857">
        <f t="shared" si="129"/>
        <v>0</v>
      </c>
      <c r="HGZ64" s="857">
        <f t="shared" si="129"/>
        <v>0</v>
      </c>
      <c r="HHA64" s="857">
        <f t="shared" si="129"/>
        <v>0</v>
      </c>
      <c r="HHB64" s="857">
        <f t="shared" si="129"/>
        <v>0</v>
      </c>
      <c r="HHC64" s="857">
        <f t="shared" si="129"/>
        <v>0</v>
      </c>
      <c r="HHD64" s="857">
        <f t="shared" si="129"/>
        <v>0</v>
      </c>
      <c r="HHE64" s="857">
        <f t="shared" si="129"/>
        <v>0</v>
      </c>
      <c r="HHF64" s="857">
        <f t="shared" si="129"/>
        <v>0</v>
      </c>
      <c r="HHG64" s="857">
        <f t="shared" si="129"/>
        <v>0</v>
      </c>
      <c r="HHH64" s="857">
        <f t="shared" si="129"/>
        <v>0</v>
      </c>
      <c r="HHI64" s="857">
        <f t="shared" si="129"/>
        <v>0</v>
      </c>
      <c r="HHJ64" s="857">
        <f t="shared" si="129"/>
        <v>0</v>
      </c>
      <c r="HHK64" s="857">
        <f t="shared" si="129"/>
        <v>0</v>
      </c>
      <c r="HHL64" s="857">
        <f t="shared" si="129"/>
        <v>0</v>
      </c>
      <c r="HHM64" s="857">
        <f t="shared" si="129"/>
        <v>0</v>
      </c>
      <c r="HHN64" s="857">
        <f t="shared" si="129"/>
        <v>0</v>
      </c>
      <c r="HHO64" s="857">
        <f t="shared" si="129"/>
        <v>0</v>
      </c>
      <c r="HHP64" s="857">
        <f t="shared" si="129"/>
        <v>0</v>
      </c>
      <c r="HHQ64" s="857">
        <f t="shared" si="129"/>
        <v>0</v>
      </c>
      <c r="HHR64" s="857">
        <f t="shared" si="129"/>
        <v>0</v>
      </c>
      <c r="HHS64" s="857">
        <f t="shared" si="129"/>
        <v>0</v>
      </c>
      <c r="HHT64" s="857">
        <f t="shared" si="129"/>
        <v>0</v>
      </c>
      <c r="HHU64" s="857">
        <f t="shared" si="129"/>
        <v>0</v>
      </c>
      <c r="HHV64" s="857">
        <f t="shared" ref="HHV64:HKG64" si="130">(HHV57-HHV59)*$C$64</f>
        <v>0</v>
      </c>
      <c r="HHW64" s="857">
        <f t="shared" si="130"/>
        <v>0</v>
      </c>
      <c r="HHX64" s="857">
        <f t="shared" si="130"/>
        <v>0</v>
      </c>
      <c r="HHY64" s="857">
        <f t="shared" si="130"/>
        <v>0</v>
      </c>
      <c r="HHZ64" s="857">
        <f t="shared" si="130"/>
        <v>0</v>
      </c>
      <c r="HIA64" s="857">
        <f t="shared" si="130"/>
        <v>0</v>
      </c>
      <c r="HIB64" s="857">
        <f t="shared" si="130"/>
        <v>0</v>
      </c>
      <c r="HIC64" s="857">
        <f t="shared" si="130"/>
        <v>0</v>
      </c>
      <c r="HID64" s="857">
        <f t="shared" si="130"/>
        <v>0</v>
      </c>
      <c r="HIE64" s="857">
        <f t="shared" si="130"/>
        <v>0</v>
      </c>
      <c r="HIF64" s="857">
        <f t="shared" si="130"/>
        <v>0</v>
      </c>
      <c r="HIG64" s="857">
        <f t="shared" si="130"/>
        <v>0</v>
      </c>
      <c r="HIH64" s="857">
        <f t="shared" si="130"/>
        <v>0</v>
      </c>
      <c r="HII64" s="857">
        <f t="shared" si="130"/>
        <v>0</v>
      </c>
      <c r="HIJ64" s="857">
        <f t="shared" si="130"/>
        <v>0</v>
      </c>
      <c r="HIK64" s="857">
        <f t="shared" si="130"/>
        <v>0</v>
      </c>
      <c r="HIL64" s="857">
        <f t="shared" si="130"/>
        <v>0</v>
      </c>
      <c r="HIM64" s="857">
        <f t="shared" si="130"/>
        <v>0</v>
      </c>
      <c r="HIN64" s="857">
        <f t="shared" si="130"/>
        <v>0</v>
      </c>
      <c r="HIO64" s="857">
        <f t="shared" si="130"/>
        <v>0</v>
      </c>
      <c r="HIP64" s="857">
        <f t="shared" si="130"/>
        <v>0</v>
      </c>
      <c r="HIQ64" s="857">
        <f t="shared" si="130"/>
        <v>0</v>
      </c>
      <c r="HIR64" s="857">
        <f t="shared" si="130"/>
        <v>0</v>
      </c>
      <c r="HIS64" s="857">
        <f t="shared" si="130"/>
        <v>0</v>
      </c>
      <c r="HIT64" s="857">
        <f t="shared" si="130"/>
        <v>0</v>
      </c>
      <c r="HIU64" s="857">
        <f t="shared" si="130"/>
        <v>0</v>
      </c>
      <c r="HIV64" s="857">
        <f t="shared" si="130"/>
        <v>0</v>
      </c>
      <c r="HIW64" s="857">
        <f t="shared" si="130"/>
        <v>0</v>
      </c>
      <c r="HIX64" s="857">
        <f t="shared" si="130"/>
        <v>0</v>
      </c>
      <c r="HIY64" s="857">
        <f t="shared" si="130"/>
        <v>0</v>
      </c>
      <c r="HIZ64" s="857">
        <f t="shared" si="130"/>
        <v>0</v>
      </c>
      <c r="HJA64" s="857">
        <f t="shared" si="130"/>
        <v>0</v>
      </c>
      <c r="HJB64" s="857">
        <f t="shared" si="130"/>
        <v>0</v>
      </c>
      <c r="HJC64" s="857">
        <f t="shared" si="130"/>
        <v>0</v>
      </c>
      <c r="HJD64" s="857">
        <f t="shared" si="130"/>
        <v>0</v>
      </c>
      <c r="HJE64" s="857">
        <f t="shared" si="130"/>
        <v>0</v>
      </c>
      <c r="HJF64" s="857">
        <f t="shared" si="130"/>
        <v>0</v>
      </c>
      <c r="HJG64" s="857">
        <f t="shared" si="130"/>
        <v>0</v>
      </c>
      <c r="HJH64" s="857">
        <f t="shared" si="130"/>
        <v>0</v>
      </c>
      <c r="HJI64" s="857">
        <f t="shared" si="130"/>
        <v>0</v>
      </c>
      <c r="HJJ64" s="857">
        <f t="shared" si="130"/>
        <v>0</v>
      </c>
      <c r="HJK64" s="857">
        <f t="shared" si="130"/>
        <v>0</v>
      </c>
      <c r="HJL64" s="857">
        <f t="shared" si="130"/>
        <v>0</v>
      </c>
      <c r="HJM64" s="857">
        <f t="shared" si="130"/>
        <v>0</v>
      </c>
      <c r="HJN64" s="857">
        <f t="shared" si="130"/>
        <v>0</v>
      </c>
      <c r="HJO64" s="857">
        <f t="shared" si="130"/>
        <v>0</v>
      </c>
      <c r="HJP64" s="857">
        <f t="shared" si="130"/>
        <v>0</v>
      </c>
      <c r="HJQ64" s="857">
        <f t="shared" si="130"/>
        <v>0</v>
      </c>
      <c r="HJR64" s="857">
        <f t="shared" si="130"/>
        <v>0</v>
      </c>
      <c r="HJS64" s="857">
        <f t="shared" si="130"/>
        <v>0</v>
      </c>
      <c r="HJT64" s="857">
        <f t="shared" si="130"/>
        <v>0</v>
      </c>
      <c r="HJU64" s="857">
        <f t="shared" si="130"/>
        <v>0</v>
      </c>
      <c r="HJV64" s="857">
        <f t="shared" si="130"/>
        <v>0</v>
      </c>
      <c r="HJW64" s="857">
        <f t="shared" si="130"/>
        <v>0</v>
      </c>
      <c r="HJX64" s="857">
        <f t="shared" si="130"/>
        <v>0</v>
      </c>
      <c r="HJY64" s="857">
        <f t="shared" si="130"/>
        <v>0</v>
      </c>
      <c r="HJZ64" s="857">
        <f t="shared" si="130"/>
        <v>0</v>
      </c>
      <c r="HKA64" s="857">
        <f t="shared" si="130"/>
        <v>0</v>
      </c>
      <c r="HKB64" s="857">
        <f t="shared" si="130"/>
        <v>0</v>
      </c>
      <c r="HKC64" s="857">
        <f t="shared" si="130"/>
        <v>0</v>
      </c>
      <c r="HKD64" s="857">
        <f t="shared" si="130"/>
        <v>0</v>
      </c>
      <c r="HKE64" s="857">
        <f t="shared" si="130"/>
        <v>0</v>
      </c>
      <c r="HKF64" s="857">
        <f t="shared" si="130"/>
        <v>0</v>
      </c>
      <c r="HKG64" s="857">
        <f t="shared" si="130"/>
        <v>0</v>
      </c>
      <c r="HKH64" s="857">
        <f t="shared" ref="HKH64:HMS64" si="131">(HKH57-HKH59)*$C$64</f>
        <v>0</v>
      </c>
      <c r="HKI64" s="857">
        <f t="shared" si="131"/>
        <v>0</v>
      </c>
      <c r="HKJ64" s="857">
        <f t="shared" si="131"/>
        <v>0</v>
      </c>
      <c r="HKK64" s="857">
        <f t="shared" si="131"/>
        <v>0</v>
      </c>
      <c r="HKL64" s="857">
        <f t="shared" si="131"/>
        <v>0</v>
      </c>
      <c r="HKM64" s="857">
        <f t="shared" si="131"/>
        <v>0</v>
      </c>
      <c r="HKN64" s="857">
        <f t="shared" si="131"/>
        <v>0</v>
      </c>
      <c r="HKO64" s="857">
        <f t="shared" si="131"/>
        <v>0</v>
      </c>
      <c r="HKP64" s="857">
        <f t="shared" si="131"/>
        <v>0</v>
      </c>
      <c r="HKQ64" s="857">
        <f t="shared" si="131"/>
        <v>0</v>
      </c>
      <c r="HKR64" s="857">
        <f t="shared" si="131"/>
        <v>0</v>
      </c>
      <c r="HKS64" s="857">
        <f t="shared" si="131"/>
        <v>0</v>
      </c>
      <c r="HKT64" s="857">
        <f t="shared" si="131"/>
        <v>0</v>
      </c>
      <c r="HKU64" s="857">
        <f t="shared" si="131"/>
        <v>0</v>
      </c>
      <c r="HKV64" s="857">
        <f t="shared" si="131"/>
        <v>0</v>
      </c>
      <c r="HKW64" s="857">
        <f t="shared" si="131"/>
        <v>0</v>
      </c>
      <c r="HKX64" s="857">
        <f t="shared" si="131"/>
        <v>0</v>
      </c>
      <c r="HKY64" s="857">
        <f t="shared" si="131"/>
        <v>0</v>
      </c>
      <c r="HKZ64" s="857">
        <f t="shared" si="131"/>
        <v>0</v>
      </c>
      <c r="HLA64" s="857">
        <f t="shared" si="131"/>
        <v>0</v>
      </c>
      <c r="HLB64" s="857">
        <f t="shared" si="131"/>
        <v>0</v>
      </c>
      <c r="HLC64" s="857">
        <f t="shared" si="131"/>
        <v>0</v>
      </c>
      <c r="HLD64" s="857">
        <f t="shared" si="131"/>
        <v>0</v>
      </c>
      <c r="HLE64" s="857">
        <f t="shared" si="131"/>
        <v>0</v>
      </c>
      <c r="HLF64" s="857">
        <f t="shared" si="131"/>
        <v>0</v>
      </c>
      <c r="HLG64" s="857">
        <f t="shared" si="131"/>
        <v>0</v>
      </c>
      <c r="HLH64" s="857">
        <f t="shared" si="131"/>
        <v>0</v>
      </c>
      <c r="HLI64" s="857">
        <f t="shared" si="131"/>
        <v>0</v>
      </c>
      <c r="HLJ64" s="857">
        <f t="shared" si="131"/>
        <v>0</v>
      </c>
      <c r="HLK64" s="857">
        <f t="shared" si="131"/>
        <v>0</v>
      </c>
      <c r="HLL64" s="857">
        <f t="shared" si="131"/>
        <v>0</v>
      </c>
      <c r="HLM64" s="857">
        <f t="shared" si="131"/>
        <v>0</v>
      </c>
      <c r="HLN64" s="857">
        <f t="shared" si="131"/>
        <v>0</v>
      </c>
      <c r="HLO64" s="857">
        <f t="shared" si="131"/>
        <v>0</v>
      </c>
      <c r="HLP64" s="857">
        <f t="shared" si="131"/>
        <v>0</v>
      </c>
      <c r="HLQ64" s="857">
        <f t="shared" si="131"/>
        <v>0</v>
      </c>
      <c r="HLR64" s="857">
        <f t="shared" si="131"/>
        <v>0</v>
      </c>
      <c r="HLS64" s="857">
        <f t="shared" si="131"/>
        <v>0</v>
      </c>
      <c r="HLT64" s="857">
        <f t="shared" si="131"/>
        <v>0</v>
      </c>
      <c r="HLU64" s="857">
        <f t="shared" si="131"/>
        <v>0</v>
      </c>
      <c r="HLV64" s="857">
        <f t="shared" si="131"/>
        <v>0</v>
      </c>
      <c r="HLW64" s="857">
        <f t="shared" si="131"/>
        <v>0</v>
      </c>
      <c r="HLX64" s="857">
        <f t="shared" si="131"/>
        <v>0</v>
      </c>
      <c r="HLY64" s="857">
        <f t="shared" si="131"/>
        <v>0</v>
      </c>
      <c r="HLZ64" s="857">
        <f t="shared" si="131"/>
        <v>0</v>
      </c>
      <c r="HMA64" s="857">
        <f t="shared" si="131"/>
        <v>0</v>
      </c>
      <c r="HMB64" s="857">
        <f t="shared" si="131"/>
        <v>0</v>
      </c>
      <c r="HMC64" s="857">
        <f t="shared" si="131"/>
        <v>0</v>
      </c>
      <c r="HMD64" s="857">
        <f t="shared" si="131"/>
        <v>0</v>
      </c>
      <c r="HME64" s="857">
        <f t="shared" si="131"/>
        <v>0</v>
      </c>
      <c r="HMF64" s="857">
        <f t="shared" si="131"/>
        <v>0</v>
      </c>
      <c r="HMG64" s="857">
        <f t="shared" si="131"/>
        <v>0</v>
      </c>
      <c r="HMH64" s="857">
        <f t="shared" si="131"/>
        <v>0</v>
      </c>
      <c r="HMI64" s="857">
        <f t="shared" si="131"/>
        <v>0</v>
      </c>
      <c r="HMJ64" s="857">
        <f t="shared" si="131"/>
        <v>0</v>
      </c>
      <c r="HMK64" s="857">
        <f t="shared" si="131"/>
        <v>0</v>
      </c>
      <c r="HML64" s="857">
        <f t="shared" si="131"/>
        <v>0</v>
      </c>
      <c r="HMM64" s="857">
        <f t="shared" si="131"/>
        <v>0</v>
      </c>
      <c r="HMN64" s="857">
        <f t="shared" si="131"/>
        <v>0</v>
      </c>
      <c r="HMO64" s="857">
        <f t="shared" si="131"/>
        <v>0</v>
      </c>
      <c r="HMP64" s="857">
        <f t="shared" si="131"/>
        <v>0</v>
      </c>
      <c r="HMQ64" s="857">
        <f t="shared" si="131"/>
        <v>0</v>
      </c>
      <c r="HMR64" s="857">
        <f t="shared" si="131"/>
        <v>0</v>
      </c>
      <c r="HMS64" s="857">
        <f t="shared" si="131"/>
        <v>0</v>
      </c>
      <c r="HMT64" s="857">
        <f t="shared" ref="HMT64:HPE64" si="132">(HMT57-HMT59)*$C$64</f>
        <v>0</v>
      </c>
      <c r="HMU64" s="857">
        <f t="shared" si="132"/>
        <v>0</v>
      </c>
      <c r="HMV64" s="857">
        <f t="shared" si="132"/>
        <v>0</v>
      </c>
      <c r="HMW64" s="857">
        <f t="shared" si="132"/>
        <v>0</v>
      </c>
      <c r="HMX64" s="857">
        <f t="shared" si="132"/>
        <v>0</v>
      </c>
      <c r="HMY64" s="857">
        <f t="shared" si="132"/>
        <v>0</v>
      </c>
      <c r="HMZ64" s="857">
        <f t="shared" si="132"/>
        <v>0</v>
      </c>
      <c r="HNA64" s="857">
        <f t="shared" si="132"/>
        <v>0</v>
      </c>
      <c r="HNB64" s="857">
        <f t="shared" si="132"/>
        <v>0</v>
      </c>
      <c r="HNC64" s="857">
        <f t="shared" si="132"/>
        <v>0</v>
      </c>
      <c r="HND64" s="857">
        <f t="shared" si="132"/>
        <v>0</v>
      </c>
      <c r="HNE64" s="857">
        <f t="shared" si="132"/>
        <v>0</v>
      </c>
      <c r="HNF64" s="857">
        <f t="shared" si="132"/>
        <v>0</v>
      </c>
      <c r="HNG64" s="857">
        <f t="shared" si="132"/>
        <v>0</v>
      </c>
      <c r="HNH64" s="857">
        <f t="shared" si="132"/>
        <v>0</v>
      </c>
      <c r="HNI64" s="857">
        <f t="shared" si="132"/>
        <v>0</v>
      </c>
      <c r="HNJ64" s="857">
        <f t="shared" si="132"/>
        <v>0</v>
      </c>
      <c r="HNK64" s="857">
        <f t="shared" si="132"/>
        <v>0</v>
      </c>
      <c r="HNL64" s="857">
        <f t="shared" si="132"/>
        <v>0</v>
      </c>
      <c r="HNM64" s="857">
        <f t="shared" si="132"/>
        <v>0</v>
      </c>
      <c r="HNN64" s="857">
        <f t="shared" si="132"/>
        <v>0</v>
      </c>
      <c r="HNO64" s="857">
        <f t="shared" si="132"/>
        <v>0</v>
      </c>
      <c r="HNP64" s="857">
        <f t="shared" si="132"/>
        <v>0</v>
      </c>
      <c r="HNQ64" s="857">
        <f t="shared" si="132"/>
        <v>0</v>
      </c>
      <c r="HNR64" s="857">
        <f t="shared" si="132"/>
        <v>0</v>
      </c>
      <c r="HNS64" s="857">
        <f t="shared" si="132"/>
        <v>0</v>
      </c>
      <c r="HNT64" s="857">
        <f t="shared" si="132"/>
        <v>0</v>
      </c>
      <c r="HNU64" s="857">
        <f t="shared" si="132"/>
        <v>0</v>
      </c>
      <c r="HNV64" s="857">
        <f t="shared" si="132"/>
        <v>0</v>
      </c>
      <c r="HNW64" s="857">
        <f t="shared" si="132"/>
        <v>0</v>
      </c>
      <c r="HNX64" s="857">
        <f t="shared" si="132"/>
        <v>0</v>
      </c>
      <c r="HNY64" s="857">
        <f t="shared" si="132"/>
        <v>0</v>
      </c>
      <c r="HNZ64" s="857">
        <f t="shared" si="132"/>
        <v>0</v>
      </c>
      <c r="HOA64" s="857">
        <f t="shared" si="132"/>
        <v>0</v>
      </c>
      <c r="HOB64" s="857">
        <f t="shared" si="132"/>
        <v>0</v>
      </c>
      <c r="HOC64" s="857">
        <f t="shared" si="132"/>
        <v>0</v>
      </c>
      <c r="HOD64" s="857">
        <f t="shared" si="132"/>
        <v>0</v>
      </c>
      <c r="HOE64" s="857">
        <f t="shared" si="132"/>
        <v>0</v>
      </c>
      <c r="HOF64" s="857">
        <f t="shared" si="132"/>
        <v>0</v>
      </c>
      <c r="HOG64" s="857">
        <f t="shared" si="132"/>
        <v>0</v>
      </c>
      <c r="HOH64" s="857">
        <f t="shared" si="132"/>
        <v>0</v>
      </c>
      <c r="HOI64" s="857">
        <f t="shared" si="132"/>
        <v>0</v>
      </c>
      <c r="HOJ64" s="857">
        <f t="shared" si="132"/>
        <v>0</v>
      </c>
      <c r="HOK64" s="857">
        <f t="shared" si="132"/>
        <v>0</v>
      </c>
      <c r="HOL64" s="857">
        <f t="shared" si="132"/>
        <v>0</v>
      </c>
      <c r="HOM64" s="857">
        <f t="shared" si="132"/>
        <v>0</v>
      </c>
      <c r="HON64" s="857">
        <f t="shared" si="132"/>
        <v>0</v>
      </c>
      <c r="HOO64" s="857">
        <f t="shared" si="132"/>
        <v>0</v>
      </c>
      <c r="HOP64" s="857">
        <f t="shared" si="132"/>
        <v>0</v>
      </c>
      <c r="HOQ64" s="857">
        <f t="shared" si="132"/>
        <v>0</v>
      </c>
      <c r="HOR64" s="857">
        <f t="shared" si="132"/>
        <v>0</v>
      </c>
      <c r="HOS64" s="857">
        <f t="shared" si="132"/>
        <v>0</v>
      </c>
      <c r="HOT64" s="857">
        <f t="shared" si="132"/>
        <v>0</v>
      </c>
      <c r="HOU64" s="857">
        <f t="shared" si="132"/>
        <v>0</v>
      </c>
      <c r="HOV64" s="857">
        <f t="shared" si="132"/>
        <v>0</v>
      </c>
      <c r="HOW64" s="857">
        <f t="shared" si="132"/>
        <v>0</v>
      </c>
      <c r="HOX64" s="857">
        <f t="shared" si="132"/>
        <v>0</v>
      </c>
      <c r="HOY64" s="857">
        <f t="shared" si="132"/>
        <v>0</v>
      </c>
      <c r="HOZ64" s="857">
        <f t="shared" si="132"/>
        <v>0</v>
      </c>
      <c r="HPA64" s="857">
        <f t="shared" si="132"/>
        <v>0</v>
      </c>
      <c r="HPB64" s="857">
        <f t="shared" si="132"/>
        <v>0</v>
      </c>
      <c r="HPC64" s="857">
        <f t="shared" si="132"/>
        <v>0</v>
      </c>
      <c r="HPD64" s="857">
        <f t="shared" si="132"/>
        <v>0</v>
      </c>
      <c r="HPE64" s="857">
        <f t="shared" si="132"/>
        <v>0</v>
      </c>
      <c r="HPF64" s="857">
        <f t="shared" ref="HPF64:HRQ64" si="133">(HPF57-HPF59)*$C$64</f>
        <v>0</v>
      </c>
      <c r="HPG64" s="857">
        <f t="shared" si="133"/>
        <v>0</v>
      </c>
      <c r="HPH64" s="857">
        <f t="shared" si="133"/>
        <v>0</v>
      </c>
      <c r="HPI64" s="857">
        <f t="shared" si="133"/>
        <v>0</v>
      </c>
      <c r="HPJ64" s="857">
        <f t="shared" si="133"/>
        <v>0</v>
      </c>
      <c r="HPK64" s="857">
        <f t="shared" si="133"/>
        <v>0</v>
      </c>
      <c r="HPL64" s="857">
        <f t="shared" si="133"/>
        <v>0</v>
      </c>
      <c r="HPM64" s="857">
        <f t="shared" si="133"/>
        <v>0</v>
      </c>
      <c r="HPN64" s="857">
        <f t="shared" si="133"/>
        <v>0</v>
      </c>
      <c r="HPO64" s="857">
        <f t="shared" si="133"/>
        <v>0</v>
      </c>
      <c r="HPP64" s="857">
        <f t="shared" si="133"/>
        <v>0</v>
      </c>
      <c r="HPQ64" s="857">
        <f t="shared" si="133"/>
        <v>0</v>
      </c>
      <c r="HPR64" s="857">
        <f t="shared" si="133"/>
        <v>0</v>
      </c>
      <c r="HPS64" s="857">
        <f t="shared" si="133"/>
        <v>0</v>
      </c>
      <c r="HPT64" s="857">
        <f t="shared" si="133"/>
        <v>0</v>
      </c>
      <c r="HPU64" s="857">
        <f t="shared" si="133"/>
        <v>0</v>
      </c>
      <c r="HPV64" s="857">
        <f t="shared" si="133"/>
        <v>0</v>
      </c>
      <c r="HPW64" s="857">
        <f t="shared" si="133"/>
        <v>0</v>
      </c>
      <c r="HPX64" s="857">
        <f t="shared" si="133"/>
        <v>0</v>
      </c>
      <c r="HPY64" s="857">
        <f t="shared" si="133"/>
        <v>0</v>
      </c>
      <c r="HPZ64" s="857">
        <f t="shared" si="133"/>
        <v>0</v>
      </c>
      <c r="HQA64" s="857">
        <f t="shared" si="133"/>
        <v>0</v>
      </c>
      <c r="HQB64" s="857">
        <f t="shared" si="133"/>
        <v>0</v>
      </c>
      <c r="HQC64" s="857">
        <f t="shared" si="133"/>
        <v>0</v>
      </c>
      <c r="HQD64" s="857">
        <f t="shared" si="133"/>
        <v>0</v>
      </c>
      <c r="HQE64" s="857">
        <f t="shared" si="133"/>
        <v>0</v>
      </c>
      <c r="HQF64" s="857">
        <f t="shared" si="133"/>
        <v>0</v>
      </c>
      <c r="HQG64" s="857">
        <f t="shared" si="133"/>
        <v>0</v>
      </c>
      <c r="HQH64" s="857">
        <f t="shared" si="133"/>
        <v>0</v>
      </c>
      <c r="HQI64" s="857">
        <f t="shared" si="133"/>
        <v>0</v>
      </c>
      <c r="HQJ64" s="857">
        <f t="shared" si="133"/>
        <v>0</v>
      </c>
      <c r="HQK64" s="857">
        <f t="shared" si="133"/>
        <v>0</v>
      </c>
      <c r="HQL64" s="857">
        <f t="shared" si="133"/>
        <v>0</v>
      </c>
      <c r="HQM64" s="857">
        <f t="shared" si="133"/>
        <v>0</v>
      </c>
      <c r="HQN64" s="857">
        <f t="shared" si="133"/>
        <v>0</v>
      </c>
      <c r="HQO64" s="857">
        <f t="shared" si="133"/>
        <v>0</v>
      </c>
      <c r="HQP64" s="857">
        <f t="shared" si="133"/>
        <v>0</v>
      </c>
      <c r="HQQ64" s="857">
        <f t="shared" si="133"/>
        <v>0</v>
      </c>
      <c r="HQR64" s="857">
        <f t="shared" si="133"/>
        <v>0</v>
      </c>
      <c r="HQS64" s="857">
        <f t="shared" si="133"/>
        <v>0</v>
      </c>
      <c r="HQT64" s="857">
        <f t="shared" si="133"/>
        <v>0</v>
      </c>
      <c r="HQU64" s="857">
        <f t="shared" si="133"/>
        <v>0</v>
      </c>
      <c r="HQV64" s="857">
        <f t="shared" si="133"/>
        <v>0</v>
      </c>
      <c r="HQW64" s="857">
        <f t="shared" si="133"/>
        <v>0</v>
      </c>
      <c r="HQX64" s="857">
        <f t="shared" si="133"/>
        <v>0</v>
      </c>
      <c r="HQY64" s="857">
        <f t="shared" si="133"/>
        <v>0</v>
      </c>
      <c r="HQZ64" s="857">
        <f t="shared" si="133"/>
        <v>0</v>
      </c>
      <c r="HRA64" s="857">
        <f t="shared" si="133"/>
        <v>0</v>
      </c>
      <c r="HRB64" s="857">
        <f t="shared" si="133"/>
        <v>0</v>
      </c>
      <c r="HRC64" s="857">
        <f t="shared" si="133"/>
        <v>0</v>
      </c>
      <c r="HRD64" s="857">
        <f t="shared" si="133"/>
        <v>0</v>
      </c>
      <c r="HRE64" s="857">
        <f t="shared" si="133"/>
        <v>0</v>
      </c>
      <c r="HRF64" s="857">
        <f t="shared" si="133"/>
        <v>0</v>
      </c>
      <c r="HRG64" s="857">
        <f t="shared" si="133"/>
        <v>0</v>
      </c>
      <c r="HRH64" s="857">
        <f t="shared" si="133"/>
        <v>0</v>
      </c>
      <c r="HRI64" s="857">
        <f t="shared" si="133"/>
        <v>0</v>
      </c>
      <c r="HRJ64" s="857">
        <f t="shared" si="133"/>
        <v>0</v>
      </c>
      <c r="HRK64" s="857">
        <f t="shared" si="133"/>
        <v>0</v>
      </c>
      <c r="HRL64" s="857">
        <f t="shared" si="133"/>
        <v>0</v>
      </c>
      <c r="HRM64" s="857">
        <f t="shared" si="133"/>
        <v>0</v>
      </c>
      <c r="HRN64" s="857">
        <f t="shared" si="133"/>
        <v>0</v>
      </c>
      <c r="HRO64" s="857">
        <f t="shared" si="133"/>
        <v>0</v>
      </c>
      <c r="HRP64" s="857">
        <f t="shared" si="133"/>
        <v>0</v>
      </c>
      <c r="HRQ64" s="857">
        <f t="shared" si="133"/>
        <v>0</v>
      </c>
      <c r="HRR64" s="857">
        <f t="shared" ref="HRR64:HUC64" si="134">(HRR57-HRR59)*$C$64</f>
        <v>0</v>
      </c>
      <c r="HRS64" s="857">
        <f t="shared" si="134"/>
        <v>0</v>
      </c>
      <c r="HRT64" s="857">
        <f t="shared" si="134"/>
        <v>0</v>
      </c>
      <c r="HRU64" s="857">
        <f t="shared" si="134"/>
        <v>0</v>
      </c>
      <c r="HRV64" s="857">
        <f t="shared" si="134"/>
        <v>0</v>
      </c>
      <c r="HRW64" s="857">
        <f t="shared" si="134"/>
        <v>0</v>
      </c>
      <c r="HRX64" s="857">
        <f t="shared" si="134"/>
        <v>0</v>
      </c>
      <c r="HRY64" s="857">
        <f t="shared" si="134"/>
        <v>0</v>
      </c>
      <c r="HRZ64" s="857">
        <f t="shared" si="134"/>
        <v>0</v>
      </c>
      <c r="HSA64" s="857">
        <f t="shared" si="134"/>
        <v>0</v>
      </c>
      <c r="HSB64" s="857">
        <f t="shared" si="134"/>
        <v>0</v>
      </c>
      <c r="HSC64" s="857">
        <f t="shared" si="134"/>
        <v>0</v>
      </c>
      <c r="HSD64" s="857">
        <f t="shared" si="134"/>
        <v>0</v>
      </c>
      <c r="HSE64" s="857">
        <f t="shared" si="134"/>
        <v>0</v>
      </c>
      <c r="HSF64" s="857">
        <f t="shared" si="134"/>
        <v>0</v>
      </c>
      <c r="HSG64" s="857">
        <f t="shared" si="134"/>
        <v>0</v>
      </c>
      <c r="HSH64" s="857">
        <f t="shared" si="134"/>
        <v>0</v>
      </c>
      <c r="HSI64" s="857">
        <f t="shared" si="134"/>
        <v>0</v>
      </c>
      <c r="HSJ64" s="857">
        <f t="shared" si="134"/>
        <v>0</v>
      </c>
      <c r="HSK64" s="857">
        <f t="shared" si="134"/>
        <v>0</v>
      </c>
      <c r="HSL64" s="857">
        <f t="shared" si="134"/>
        <v>0</v>
      </c>
      <c r="HSM64" s="857">
        <f t="shared" si="134"/>
        <v>0</v>
      </c>
      <c r="HSN64" s="857">
        <f t="shared" si="134"/>
        <v>0</v>
      </c>
      <c r="HSO64" s="857">
        <f t="shared" si="134"/>
        <v>0</v>
      </c>
      <c r="HSP64" s="857">
        <f t="shared" si="134"/>
        <v>0</v>
      </c>
      <c r="HSQ64" s="857">
        <f t="shared" si="134"/>
        <v>0</v>
      </c>
      <c r="HSR64" s="857">
        <f t="shared" si="134"/>
        <v>0</v>
      </c>
      <c r="HSS64" s="857">
        <f t="shared" si="134"/>
        <v>0</v>
      </c>
      <c r="HST64" s="857">
        <f t="shared" si="134"/>
        <v>0</v>
      </c>
      <c r="HSU64" s="857">
        <f t="shared" si="134"/>
        <v>0</v>
      </c>
      <c r="HSV64" s="857">
        <f t="shared" si="134"/>
        <v>0</v>
      </c>
      <c r="HSW64" s="857">
        <f t="shared" si="134"/>
        <v>0</v>
      </c>
      <c r="HSX64" s="857">
        <f t="shared" si="134"/>
        <v>0</v>
      </c>
      <c r="HSY64" s="857">
        <f t="shared" si="134"/>
        <v>0</v>
      </c>
      <c r="HSZ64" s="857">
        <f t="shared" si="134"/>
        <v>0</v>
      </c>
      <c r="HTA64" s="857">
        <f t="shared" si="134"/>
        <v>0</v>
      </c>
      <c r="HTB64" s="857">
        <f t="shared" si="134"/>
        <v>0</v>
      </c>
      <c r="HTC64" s="857">
        <f t="shared" si="134"/>
        <v>0</v>
      </c>
      <c r="HTD64" s="857">
        <f t="shared" si="134"/>
        <v>0</v>
      </c>
      <c r="HTE64" s="857">
        <f t="shared" si="134"/>
        <v>0</v>
      </c>
      <c r="HTF64" s="857">
        <f t="shared" si="134"/>
        <v>0</v>
      </c>
      <c r="HTG64" s="857">
        <f t="shared" si="134"/>
        <v>0</v>
      </c>
      <c r="HTH64" s="857">
        <f t="shared" si="134"/>
        <v>0</v>
      </c>
      <c r="HTI64" s="857">
        <f t="shared" si="134"/>
        <v>0</v>
      </c>
      <c r="HTJ64" s="857">
        <f t="shared" si="134"/>
        <v>0</v>
      </c>
      <c r="HTK64" s="857">
        <f t="shared" si="134"/>
        <v>0</v>
      </c>
      <c r="HTL64" s="857">
        <f t="shared" si="134"/>
        <v>0</v>
      </c>
      <c r="HTM64" s="857">
        <f t="shared" si="134"/>
        <v>0</v>
      </c>
      <c r="HTN64" s="857">
        <f t="shared" si="134"/>
        <v>0</v>
      </c>
      <c r="HTO64" s="857">
        <f t="shared" si="134"/>
        <v>0</v>
      </c>
      <c r="HTP64" s="857">
        <f t="shared" si="134"/>
        <v>0</v>
      </c>
      <c r="HTQ64" s="857">
        <f t="shared" si="134"/>
        <v>0</v>
      </c>
      <c r="HTR64" s="857">
        <f t="shared" si="134"/>
        <v>0</v>
      </c>
      <c r="HTS64" s="857">
        <f t="shared" si="134"/>
        <v>0</v>
      </c>
      <c r="HTT64" s="857">
        <f t="shared" si="134"/>
        <v>0</v>
      </c>
      <c r="HTU64" s="857">
        <f t="shared" si="134"/>
        <v>0</v>
      </c>
      <c r="HTV64" s="857">
        <f t="shared" si="134"/>
        <v>0</v>
      </c>
      <c r="HTW64" s="857">
        <f t="shared" si="134"/>
        <v>0</v>
      </c>
      <c r="HTX64" s="857">
        <f t="shared" si="134"/>
        <v>0</v>
      </c>
      <c r="HTY64" s="857">
        <f t="shared" si="134"/>
        <v>0</v>
      </c>
      <c r="HTZ64" s="857">
        <f t="shared" si="134"/>
        <v>0</v>
      </c>
      <c r="HUA64" s="857">
        <f t="shared" si="134"/>
        <v>0</v>
      </c>
      <c r="HUB64" s="857">
        <f t="shared" si="134"/>
        <v>0</v>
      </c>
      <c r="HUC64" s="857">
        <f t="shared" si="134"/>
        <v>0</v>
      </c>
      <c r="HUD64" s="857">
        <f t="shared" ref="HUD64:HWO64" si="135">(HUD57-HUD59)*$C$64</f>
        <v>0</v>
      </c>
      <c r="HUE64" s="857">
        <f t="shared" si="135"/>
        <v>0</v>
      </c>
      <c r="HUF64" s="857">
        <f t="shared" si="135"/>
        <v>0</v>
      </c>
      <c r="HUG64" s="857">
        <f t="shared" si="135"/>
        <v>0</v>
      </c>
      <c r="HUH64" s="857">
        <f t="shared" si="135"/>
        <v>0</v>
      </c>
      <c r="HUI64" s="857">
        <f t="shared" si="135"/>
        <v>0</v>
      </c>
      <c r="HUJ64" s="857">
        <f t="shared" si="135"/>
        <v>0</v>
      </c>
      <c r="HUK64" s="857">
        <f t="shared" si="135"/>
        <v>0</v>
      </c>
      <c r="HUL64" s="857">
        <f t="shared" si="135"/>
        <v>0</v>
      </c>
      <c r="HUM64" s="857">
        <f t="shared" si="135"/>
        <v>0</v>
      </c>
      <c r="HUN64" s="857">
        <f t="shared" si="135"/>
        <v>0</v>
      </c>
      <c r="HUO64" s="857">
        <f t="shared" si="135"/>
        <v>0</v>
      </c>
      <c r="HUP64" s="857">
        <f t="shared" si="135"/>
        <v>0</v>
      </c>
      <c r="HUQ64" s="857">
        <f t="shared" si="135"/>
        <v>0</v>
      </c>
      <c r="HUR64" s="857">
        <f t="shared" si="135"/>
        <v>0</v>
      </c>
      <c r="HUS64" s="857">
        <f t="shared" si="135"/>
        <v>0</v>
      </c>
      <c r="HUT64" s="857">
        <f t="shared" si="135"/>
        <v>0</v>
      </c>
      <c r="HUU64" s="857">
        <f t="shared" si="135"/>
        <v>0</v>
      </c>
      <c r="HUV64" s="857">
        <f t="shared" si="135"/>
        <v>0</v>
      </c>
      <c r="HUW64" s="857">
        <f t="shared" si="135"/>
        <v>0</v>
      </c>
      <c r="HUX64" s="857">
        <f t="shared" si="135"/>
        <v>0</v>
      </c>
      <c r="HUY64" s="857">
        <f t="shared" si="135"/>
        <v>0</v>
      </c>
      <c r="HUZ64" s="857">
        <f t="shared" si="135"/>
        <v>0</v>
      </c>
      <c r="HVA64" s="857">
        <f t="shared" si="135"/>
        <v>0</v>
      </c>
      <c r="HVB64" s="857">
        <f t="shared" si="135"/>
        <v>0</v>
      </c>
      <c r="HVC64" s="857">
        <f t="shared" si="135"/>
        <v>0</v>
      </c>
      <c r="HVD64" s="857">
        <f t="shared" si="135"/>
        <v>0</v>
      </c>
      <c r="HVE64" s="857">
        <f t="shared" si="135"/>
        <v>0</v>
      </c>
      <c r="HVF64" s="857">
        <f t="shared" si="135"/>
        <v>0</v>
      </c>
      <c r="HVG64" s="857">
        <f t="shared" si="135"/>
        <v>0</v>
      </c>
      <c r="HVH64" s="857">
        <f t="shared" si="135"/>
        <v>0</v>
      </c>
      <c r="HVI64" s="857">
        <f t="shared" si="135"/>
        <v>0</v>
      </c>
      <c r="HVJ64" s="857">
        <f t="shared" si="135"/>
        <v>0</v>
      </c>
      <c r="HVK64" s="857">
        <f t="shared" si="135"/>
        <v>0</v>
      </c>
      <c r="HVL64" s="857">
        <f t="shared" si="135"/>
        <v>0</v>
      </c>
      <c r="HVM64" s="857">
        <f t="shared" si="135"/>
        <v>0</v>
      </c>
      <c r="HVN64" s="857">
        <f t="shared" si="135"/>
        <v>0</v>
      </c>
      <c r="HVO64" s="857">
        <f t="shared" si="135"/>
        <v>0</v>
      </c>
      <c r="HVP64" s="857">
        <f t="shared" si="135"/>
        <v>0</v>
      </c>
      <c r="HVQ64" s="857">
        <f t="shared" si="135"/>
        <v>0</v>
      </c>
      <c r="HVR64" s="857">
        <f t="shared" si="135"/>
        <v>0</v>
      </c>
      <c r="HVS64" s="857">
        <f t="shared" si="135"/>
        <v>0</v>
      </c>
      <c r="HVT64" s="857">
        <f t="shared" si="135"/>
        <v>0</v>
      </c>
      <c r="HVU64" s="857">
        <f t="shared" si="135"/>
        <v>0</v>
      </c>
      <c r="HVV64" s="857">
        <f t="shared" si="135"/>
        <v>0</v>
      </c>
      <c r="HVW64" s="857">
        <f t="shared" si="135"/>
        <v>0</v>
      </c>
      <c r="HVX64" s="857">
        <f t="shared" si="135"/>
        <v>0</v>
      </c>
      <c r="HVY64" s="857">
        <f t="shared" si="135"/>
        <v>0</v>
      </c>
      <c r="HVZ64" s="857">
        <f t="shared" si="135"/>
        <v>0</v>
      </c>
      <c r="HWA64" s="857">
        <f t="shared" si="135"/>
        <v>0</v>
      </c>
      <c r="HWB64" s="857">
        <f t="shared" si="135"/>
        <v>0</v>
      </c>
      <c r="HWC64" s="857">
        <f t="shared" si="135"/>
        <v>0</v>
      </c>
      <c r="HWD64" s="857">
        <f t="shared" si="135"/>
        <v>0</v>
      </c>
      <c r="HWE64" s="857">
        <f t="shared" si="135"/>
        <v>0</v>
      </c>
      <c r="HWF64" s="857">
        <f t="shared" si="135"/>
        <v>0</v>
      </c>
      <c r="HWG64" s="857">
        <f t="shared" si="135"/>
        <v>0</v>
      </c>
      <c r="HWH64" s="857">
        <f t="shared" si="135"/>
        <v>0</v>
      </c>
      <c r="HWI64" s="857">
        <f t="shared" si="135"/>
        <v>0</v>
      </c>
      <c r="HWJ64" s="857">
        <f t="shared" si="135"/>
        <v>0</v>
      </c>
      <c r="HWK64" s="857">
        <f t="shared" si="135"/>
        <v>0</v>
      </c>
      <c r="HWL64" s="857">
        <f t="shared" si="135"/>
        <v>0</v>
      </c>
      <c r="HWM64" s="857">
        <f t="shared" si="135"/>
        <v>0</v>
      </c>
      <c r="HWN64" s="857">
        <f t="shared" si="135"/>
        <v>0</v>
      </c>
      <c r="HWO64" s="857">
        <f t="shared" si="135"/>
        <v>0</v>
      </c>
      <c r="HWP64" s="857">
        <f t="shared" ref="HWP64:HZA64" si="136">(HWP57-HWP59)*$C$64</f>
        <v>0</v>
      </c>
      <c r="HWQ64" s="857">
        <f t="shared" si="136"/>
        <v>0</v>
      </c>
      <c r="HWR64" s="857">
        <f t="shared" si="136"/>
        <v>0</v>
      </c>
      <c r="HWS64" s="857">
        <f t="shared" si="136"/>
        <v>0</v>
      </c>
      <c r="HWT64" s="857">
        <f t="shared" si="136"/>
        <v>0</v>
      </c>
      <c r="HWU64" s="857">
        <f t="shared" si="136"/>
        <v>0</v>
      </c>
      <c r="HWV64" s="857">
        <f t="shared" si="136"/>
        <v>0</v>
      </c>
      <c r="HWW64" s="857">
        <f t="shared" si="136"/>
        <v>0</v>
      </c>
      <c r="HWX64" s="857">
        <f t="shared" si="136"/>
        <v>0</v>
      </c>
      <c r="HWY64" s="857">
        <f t="shared" si="136"/>
        <v>0</v>
      </c>
      <c r="HWZ64" s="857">
        <f t="shared" si="136"/>
        <v>0</v>
      </c>
      <c r="HXA64" s="857">
        <f t="shared" si="136"/>
        <v>0</v>
      </c>
      <c r="HXB64" s="857">
        <f t="shared" si="136"/>
        <v>0</v>
      </c>
      <c r="HXC64" s="857">
        <f t="shared" si="136"/>
        <v>0</v>
      </c>
      <c r="HXD64" s="857">
        <f t="shared" si="136"/>
        <v>0</v>
      </c>
      <c r="HXE64" s="857">
        <f t="shared" si="136"/>
        <v>0</v>
      </c>
      <c r="HXF64" s="857">
        <f t="shared" si="136"/>
        <v>0</v>
      </c>
      <c r="HXG64" s="857">
        <f t="shared" si="136"/>
        <v>0</v>
      </c>
      <c r="HXH64" s="857">
        <f t="shared" si="136"/>
        <v>0</v>
      </c>
      <c r="HXI64" s="857">
        <f t="shared" si="136"/>
        <v>0</v>
      </c>
      <c r="HXJ64" s="857">
        <f t="shared" si="136"/>
        <v>0</v>
      </c>
      <c r="HXK64" s="857">
        <f t="shared" si="136"/>
        <v>0</v>
      </c>
      <c r="HXL64" s="857">
        <f t="shared" si="136"/>
        <v>0</v>
      </c>
      <c r="HXM64" s="857">
        <f t="shared" si="136"/>
        <v>0</v>
      </c>
      <c r="HXN64" s="857">
        <f t="shared" si="136"/>
        <v>0</v>
      </c>
      <c r="HXO64" s="857">
        <f t="shared" si="136"/>
        <v>0</v>
      </c>
      <c r="HXP64" s="857">
        <f t="shared" si="136"/>
        <v>0</v>
      </c>
      <c r="HXQ64" s="857">
        <f t="shared" si="136"/>
        <v>0</v>
      </c>
      <c r="HXR64" s="857">
        <f t="shared" si="136"/>
        <v>0</v>
      </c>
      <c r="HXS64" s="857">
        <f t="shared" si="136"/>
        <v>0</v>
      </c>
      <c r="HXT64" s="857">
        <f t="shared" si="136"/>
        <v>0</v>
      </c>
      <c r="HXU64" s="857">
        <f t="shared" si="136"/>
        <v>0</v>
      </c>
      <c r="HXV64" s="857">
        <f t="shared" si="136"/>
        <v>0</v>
      </c>
      <c r="HXW64" s="857">
        <f t="shared" si="136"/>
        <v>0</v>
      </c>
      <c r="HXX64" s="857">
        <f t="shared" si="136"/>
        <v>0</v>
      </c>
      <c r="HXY64" s="857">
        <f t="shared" si="136"/>
        <v>0</v>
      </c>
      <c r="HXZ64" s="857">
        <f t="shared" si="136"/>
        <v>0</v>
      </c>
      <c r="HYA64" s="857">
        <f t="shared" si="136"/>
        <v>0</v>
      </c>
      <c r="HYB64" s="857">
        <f t="shared" si="136"/>
        <v>0</v>
      </c>
      <c r="HYC64" s="857">
        <f t="shared" si="136"/>
        <v>0</v>
      </c>
      <c r="HYD64" s="857">
        <f t="shared" si="136"/>
        <v>0</v>
      </c>
      <c r="HYE64" s="857">
        <f t="shared" si="136"/>
        <v>0</v>
      </c>
      <c r="HYF64" s="857">
        <f t="shared" si="136"/>
        <v>0</v>
      </c>
      <c r="HYG64" s="857">
        <f t="shared" si="136"/>
        <v>0</v>
      </c>
      <c r="HYH64" s="857">
        <f t="shared" si="136"/>
        <v>0</v>
      </c>
      <c r="HYI64" s="857">
        <f t="shared" si="136"/>
        <v>0</v>
      </c>
      <c r="HYJ64" s="857">
        <f t="shared" si="136"/>
        <v>0</v>
      </c>
      <c r="HYK64" s="857">
        <f t="shared" si="136"/>
        <v>0</v>
      </c>
      <c r="HYL64" s="857">
        <f t="shared" si="136"/>
        <v>0</v>
      </c>
      <c r="HYM64" s="857">
        <f t="shared" si="136"/>
        <v>0</v>
      </c>
      <c r="HYN64" s="857">
        <f t="shared" si="136"/>
        <v>0</v>
      </c>
      <c r="HYO64" s="857">
        <f t="shared" si="136"/>
        <v>0</v>
      </c>
      <c r="HYP64" s="857">
        <f t="shared" si="136"/>
        <v>0</v>
      </c>
      <c r="HYQ64" s="857">
        <f t="shared" si="136"/>
        <v>0</v>
      </c>
      <c r="HYR64" s="857">
        <f t="shared" si="136"/>
        <v>0</v>
      </c>
      <c r="HYS64" s="857">
        <f t="shared" si="136"/>
        <v>0</v>
      </c>
      <c r="HYT64" s="857">
        <f t="shared" si="136"/>
        <v>0</v>
      </c>
      <c r="HYU64" s="857">
        <f t="shared" si="136"/>
        <v>0</v>
      </c>
      <c r="HYV64" s="857">
        <f t="shared" si="136"/>
        <v>0</v>
      </c>
      <c r="HYW64" s="857">
        <f t="shared" si="136"/>
        <v>0</v>
      </c>
      <c r="HYX64" s="857">
        <f t="shared" si="136"/>
        <v>0</v>
      </c>
      <c r="HYY64" s="857">
        <f t="shared" si="136"/>
        <v>0</v>
      </c>
      <c r="HYZ64" s="857">
        <f t="shared" si="136"/>
        <v>0</v>
      </c>
      <c r="HZA64" s="857">
        <f t="shared" si="136"/>
        <v>0</v>
      </c>
      <c r="HZB64" s="857">
        <f t="shared" ref="HZB64:IBM64" si="137">(HZB57-HZB59)*$C$64</f>
        <v>0</v>
      </c>
      <c r="HZC64" s="857">
        <f t="shared" si="137"/>
        <v>0</v>
      </c>
      <c r="HZD64" s="857">
        <f t="shared" si="137"/>
        <v>0</v>
      </c>
      <c r="HZE64" s="857">
        <f t="shared" si="137"/>
        <v>0</v>
      </c>
      <c r="HZF64" s="857">
        <f t="shared" si="137"/>
        <v>0</v>
      </c>
      <c r="HZG64" s="857">
        <f t="shared" si="137"/>
        <v>0</v>
      </c>
      <c r="HZH64" s="857">
        <f t="shared" si="137"/>
        <v>0</v>
      </c>
      <c r="HZI64" s="857">
        <f t="shared" si="137"/>
        <v>0</v>
      </c>
      <c r="HZJ64" s="857">
        <f t="shared" si="137"/>
        <v>0</v>
      </c>
      <c r="HZK64" s="857">
        <f t="shared" si="137"/>
        <v>0</v>
      </c>
      <c r="HZL64" s="857">
        <f t="shared" si="137"/>
        <v>0</v>
      </c>
      <c r="HZM64" s="857">
        <f t="shared" si="137"/>
        <v>0</v>
      </c>
      <c r="HZN64" s="857">
        <f t="shared" si="137"/>
        <v>0</v>
      </c>
      <c r="HZO64" s="857">
        <f t="shared" si="137"/>
        <v>0</v>
      </c>
      <c r="HZP64" s="857">
        <f t="shared" si="137"/>
        <v>0</v>
      </c>
      <c r="HZQ64" s="857">
        <f t="shared" si="137"/>
        <v>0</v>
      </c>
      <c r="HZR64" s="857">
        <f t="shared" si="137"/>
        <v>0</v>
      </c>
      <c r="HZS64" s="857">
        <f t="shared" si="137"/>
        <v>0</v>
      </c>
      <c r="HZT64" s="857">
        <f t="shared" si="137"/>
        <v>0</v>
      </c>
      <c r="HZU64" s="857">
        <f t="shared" si="137"/>
        <v>0</v>
      </c>
      <c r="HZV64" s="857">
        <f t="shared" si="137"/>
        <v>0</v>
      </c>
      <c r="HZW64" s="857">
        <f t="shared" si="137"/>
        <v>0</v>
      </c>
      <c r="HZX64" s="857">
        <f t="shared" si="137"/>
        <v>0</v>
      </c>
      <c r="HZY64" s="857">
        <f t="shared" si="137"/>
        <v>0</v>
      </c>
      <c r="HZZ64" s="857">
        <f t="shared" si="137"/>
        <v>0</v>
      </c>
      <c r="IAA64" s="857">
        <f t="shared" si="137"/>
        <v>0</v>
      </c>
      <c r="IAB64" s="857">
        <f t="shared" si="137"/>
        <v>0</v>
      </c>
      <c r="IAC64" s="857">
        <f t="shared" si="137"/>
        <v>0</v>
      </c>
      <c r="IAD64" s="857">
        <f t="shared" si="137"/>
        <v>0</v>
      </c>
      <c r="IAE64" s="857">
        <f t="shared" si="137"/>
        <v>0</v>
      </c>
      <c r="IAF64" s="857">
        <f t="shared" si="137"/>
        <v>0</v>
      </c>
      <c r="IAG64" s="857">
        <f t="shared" si="137"/>
        <v>0</v>
      </c>
      <c r="IAH64" s="857">
        <f t="shared" si="137"/>
        <v>0</v>
      </c>
      <c r="IAI64" s="857">
        <f t="shared" si="137"/>
        <v>0</v>
      </c>
      <c r="IAJ64" s="857">
        <f t="shared" si="137"/>
        <v>0</v>
      </c>
      <c r="IAK64" s="857">
        <f t="shared" si="137"/>
        <v>0</v>
      </c>
      <c r="IAL64" s="857">
        <f t="shared" si="137"/>
        <v>0</v>
      </c>
      <c r="IAM64" s="857">
        <f t="shared" si="137"/>
        <v>0</v>
      </c>
      <c r="IAN64" s="857">
        <f t="shared" si="137"/>
        <v>0</v>
      </c>
      <c r="IAO64" s="857">
        <f t="shared" si="137"/>
        <v>0</v>
      </c>
      <c r="IAP64" s="857">
        <f t="shared" si="137"/>
        <v>0</v>
      </c>
      <c r="IAQ64" s="857">
        <f t="shared" si="137"/>
        <v>0</v>
      </c>
      <c r="IAR64" s="857">
        <f t="shared" si="137"/>
        <v>0</v>
      </c>
      <c r="IAS64" s="857">
        <f t="shared" si="137"/>
        <v>0</v>
      </c>
      <c r="IAT64" s="857">
        <f t="shared" si="137"/>
        <v>0</v>
      </c>
      <c r="IAU64" s="857">
        <f t="shared" si="137"/>
        <v>0</v>
      </c>
      <c r="IAV64" s="857">
        <f t="shared" si="137"/>
        <v>0</v>
      </c>
      <c r="IAW64" s="857">
        <f t="shared" si="137"/>
        <v>0</v>
      </c>
      <c r="IAX64" s="857">
        <f t="shared" si="137"/>
        <v>0</v>
      </c>
      <c r="IAY64" s="857">
        <f t="shared" si="137"/>
        <v>0</v>
      </c>
      <c r="IAZ64" s="857">
        <f t="shared" si="137"/>
        <v>0</v>
      </c>
      <c r="IBA64" s="857">
        <f t="shared" si="137"/>
        <v>0</v>
      </c>
      <c r="IBB64" s="857">
        <f t="shared" si="137"/>
        <v>0</v>
      </c>
      <c r="IBC64" s="857">
        <f t="shared" si="137"/>
        <v>0</v>
      </c>
      <c r="IBD64" s="857">
        <f t="shared" si="137"/>
        <v>0</v>
      </c>
      <c r="IBE64" s="857">
        <f t="shared" si="137"/>
        <v>0</v>
      </c>
      <c r="IBF64" s="857">
        <f t="shared" si="137"/>
        <v>0</v>
      </c>
      <c r="IBG64" s="857">
        <f t="shared" si="137"/>
        <v>0</v>
      </c>
      <c r="IBH64" s="857">
        <f t="shared" si="137"/>
        <v>0</v>
      </c>
      <c r="IBI64" s="857">
        <f t="shared" si="137"/>
        <v>0</v>
      </c>
      <c r="IBJ64" s="857">
        <f t="shared" si="137"/>
        <v>0</v>
      </c>
      <c r="IBK64" s="857">
        <f t="shared" si="137"/>
        <v>0</v>
      </c>
      <c r="IBL64" s="857">
        <f t="shared" si="137"/>
        <v>0</v>
      </c>
      <c r="IBM64" s="857">
        <f t="shared" si="137"/>
        <v>0</v>
      </c>
      <c r="IBN64" s="857">
        <f t="shared" ref="IBN64:IDY64" si="138">(IBN57-IBN59)*$C$64</f>
        <v>0</v>
      </c>
      <c r="IBO64" s="857">
        <f t="shared" si="138"/>
        <v>0</v>
      </c>
      <c r="IBP64" s="857">
        <f t="shared" si="138"/>
        <v>0</v>
      </c>
      <c r="IBQ64" s="857">
        <f t="shared" si="138"/>
        <v>0</v>
      </c>
      <c r="IBR64" s="857">
        <f t="shared" si="138"/>
        <v>0</v>
      </c>
      <c r="IBS64" s="857">
        <f t="shared" si="138"/>
        <v>0</v>
      </c>
      <c r="IBT64" s="857">
        <f t="shared" si="138"/>
        <v>0</v>
      </c>
      <c r="IBU64" s="857">
        <f t="shared" si="138"/>
        <v>0</v>
      </c>
      <c r="IBV64" s="857">
        <f t="shared" si="138"/>
        <v>0</v>
      </c>
      <c r="IBW64" s="857">
        <f t="shared" si="138"/>
        <v>0</v>
      </c>
      <c r="IBX64" s="857">
        <f t="shared" si="138"/>
        <v>0</v>
      </c>
      <c r="IBY64" s="857">
        <f t="shared" si="138"/>
        <v>0</v>
      </c>
      <c r="IBZ64" s="857">
        <f t="shared" si="138"/>
        <v>0</v>
      </c>
      <c r="ICA64" s="857">
        <f t="shared" si="138"/>
        <v>0</v>
      </c>
      <c r="ICB64" s="857">
        <f t="shared" si="138"/>
        <v>0</v>
      </c>
      <c r="ICC64" s="857">
        <f t="shared" si="138"/>
        <v>0</v>
      </c>
      <c r="ICD64" s="857">
        <f t="shared" si="138"/>
        <v>0</v>
      </c>
      <c r="ICE64" s="857">
        <f t="shared" si="138"/>
        <v>0</v>
      </c>
      <c r="ICF64" s="857">
        <f t="shared" si="138"/>
        <v>0</v>
      </c>
      <c r="ICG64" s="857">
        <f t="shared" si="138"/>
        <v>0</v>
      </c>
      <c r="ICH64" s="857">
        <f t="shared" si="138"/>
        <v>0</v>
      </c>
      <c r="ICI64" s="857">
        <f t="shared" si="138"/>
        <v>0</v>
      </c>
      <c r="ICJ64" s="857">
        <f t="shared" si="138"/>
        <v>0</v>
      </c>
      <c r="ICK64" s="857">
        <f t="shared" si="138"/>
        <v>0</v>
      </c>
      <c r="ICL64" s="857">
        <f t="shared" si="138"/>
        <v>0</v>
      </c>
      <c r="ICM64" s="857">
        <f t="shared" si="138"/>
        <v>0</v>
      </c>
      <c r="ICN64" s="857">
        <f t="shared" si="138"/>
        <v>0</v>
      </c>
      <c r="ICO64" s="857">
        <f t="shared" si="138"/>
        <v>0</v>
      </c>
      <c r="ICP64" s="857">
        <f t="shared" si="138"/>
        <v>0</v>
      </c>
      <c r="ICQ64" s="857">
        <f t="shared" si="138"/>
        <v>0</v>
      </c>
      <c r="ICR64" s="857">
        <f t="shared" si="138"/>
        <v>0</v>
      </c>
      <c r="ICS64" s="857">
        <f t="shared" si="138"/>
        <v>0</v>
      </c>
      <c r="ICT64" s="857">
        <f t="shared" si="138"/>
        <v>0</v>
      </c>
      <c r="ICU64" s="857">
        <f t="shared" si="138"/>
        <v>0</v>
      </c>
      <c r="ICV64" s="857">
        <f t="shared" si="138"/>
        <v>0</v>
      </c>
      <c r="ICW64" s="857">
        <f t="shared" si="138"/>
        <v>0</v>
      </c>
      <c r="ICX64" s="857">
        <f t="shared" si="138"/>
        <v>0</v>
      </c>
      <c r="ICY64" s="857">
        <f t="shared" si="138"/>
        <v>0</v>
      </c>
      <c r="ICZ64" s="857">
        <f t="shared" si="138"/>
        <v>0</v>
      </c>
      <c r="IDA64" s="857">
        <f t="shared" si="138"/>
        <v>0</v>
      </c>
      <c r="IDB64" s="857">
        <f t="shared" si="138"/>
        <v>0</v>
      </c>
      <c r="IDC64" s="857">
        <f t="shared" si="138"/>
        <v>0</v>
      </c>
      <c r="IDD64" s="857">
        <f t="shared" si="138"/>
        <v>0</v>
      </c>
      <c r="IDE64" s="857">
        <f t="shared" si="138"/>
        <v>0</v>
      </c>
      <c r="IDF64" s="857">
        <f t="shared" si="138"/>
        <v>0</v>
      </c>
      <c r="IDG64" s="857">
        <f t="shared" si="138"/>
        <v>0</v>
      </c>
      <c r="IDH64" s="857">
        <f t="shared" si="138"/>
        <v>0</v>
      </c>
      <c r="IDI64" s="857">
        <f t="shared" si="138"/>
        <v>0</v>
      </c>
      <c r="IDJ64" s="857">
        <f t="shared" si="138"/>
        <v>0</v>
      </c>
      <c r="IDK64" s="857">
        <f t="shared" si="138"/>
        <v>0</v>
      </c>
      <c r="IDL64" s="857">
        <f t="shared" si="138"/>
        <v>0</v>
      </c>
      <c r="IDM64" s="857">
        <f t="shared" si="138"/>
        <v>0</v>
      </c>
      <c r="IDN64" s="857">
        <f t="shared" si="138"/>
        <v>0</v>
      </c>
      <c r="IDO64" s="857">
        <f t="shared" si="138"/>
        <v>0</v>
      </c>
      <c r="IDP64" s="857">
        <f t="shared" si="138"/>
        <v>0</v>
      </c>
      <c r="IDQ64" s="857">
        <f t="shared" si="138"/>
        <v>0</v>
      </c>
      <c r="IDR64" s="857">
        <f t="shared" si="138"/>
        <v>0</v>
      </c>
      <c r="IDS64" s="857">
        <f t="shared" si="138"/>
        <v>0</v>
      </c>
      <c r="IDT64" s="857">
        <f t="shared" si="138"/>
        <v>0</v>
      </c>
      <c r="IDU64" s="857">
        <f t="shared" si="138"/>
        <v>0</v>
      </c>
      <c r="IDV64" s="857">
        <f t="shared" si="138"/>
        <v>0</v>
      </c>
      <c r="IDW64" s="857">
        <f t="shared" si="138"/>
        <v>0</v>
      </c>
      <c r="IDX64" s="857">
        <f t="shared" si="138"/>
        <v>0</v>
      </c>
      <c r="IDY64" s="857">
        <f t="shared" si="138"/>
        <v>0</v>
      </c>
      <c r="IDZ64" s="857">
        <f t="shared" ref="IDZ64:IGK64" si="139">(IDZ57-IDZ59)*$C$64</f>
        <v>0</v>
      </c>
      <c r="IEA64" s="857">
        <f t="shared" si="139"/>
        <v>0</v>
      </c>
      <c r="IEB64" s="857">
        <f t="shared" si="139"/>
        <v>0</v>
      </c>
      <c r="IEC64" s="857">
        <f t="shared" si="139"/>
        <v>0</v>
      </c>
      <c r="IED64" s="857">
        <f t="shared" si="139"/>
        <v>0</v>
      </c>
      <c r="IEE64" s="857">
        <f t="shared" si="139"/>
        <v>0</v>
      </c>
      <c r="IEF64" s="857">
        <f t="shared" si="139"/>
        <v>0</v>
      </c>
      <c r="IEG64" s="857">
        <f t="shared" si="139"/>
        <v>0</v>
      </c>
      <c r="IEH64" s="857">
        <f t="shared" si="139"/>
        <v>0</v>
      </c>
      <c r="IEI64" s="857">
        <f t="shared" si="139"/>
        <v>0</v>
      </c>
      <c r="IEJ64" s="857">
        <f t="shared" si="139"/>
        <v>0</v>
      </c>
      <c r="IEK64" s="857">
        <f t="shared" si="139"/>
        <v>0</v>
      </c>
      <c r="IEL64" s="857">
        <f t="shared" si="139"/>
        <v>0</v>
      </c>
      <c r="IEM64" s="857">
        <f t="shared" si="139"/>
        <v>0</v>
      </c>
      <c r="IEN64" s="857">
        <f t="shared" si="139"/>
        <v>0</v>
      </c>
      <c r="IEO64" s="857">
        <f t="shared" si="139"/>
        <v>0</v>
      </c>
      <c r="IEP64" s="857">
        <f t="shared" si="139"/>
        <v>0</v>
      </c>
      <c r="IEQ64" s="857">
        <f t="shared" si="139"/>
        <v>0</v>
      </c>
      <c r="IER64" s="857">
        <f t="shared" si="139"/>
        <v>0</v>
      </c>
      <c r="IES64" s="857">
        <f t="shared" si="139"/>
        <v>0</v>
      </c>
      <c r="IET64" s="857">
        <f t="shared" si="139"/>
        <v>0</v>
      </c>
      <c r="IEU64" s="857">
        <f t="shared" si="139"/>
        <v>0</v>
      </c>
      <c r="IEV64" s="857">
        <f t="shared" si="139"/>
        <v>0</v>
      </c>
      <c r="IEW64" s="857">
        <f t="shared" si="139"/>
        <v>0</v>
      </c>
      <c r="IEX64" s="857">
        <f t="shared" si="139"/>
        <v>0</v>
      </c>
      <c r="IEY64" s="857">
        <f t="shared" si="139"/>
        <v>0</v>
      </c>
      <c r="IEZ64" s="857">
        <f t="shared" si="139"/>
        <v>0</v>
      </c>
      <c r="IFA64" s="857">
        <f t="shared" si="139"/>
        <v>0</v>
      </c>
      <c r="IFB64" s="857">
        <f t="shared" si="139"/>
        <v>0</v>
      </c>
      <c r="IFC64" s="857">
        <f t="shared" si="139"/>
        <v>0</v>
      </c>
      <c r="IFD64" s="857">
        <f t="shared" si="139"/>
        <v>0</v>
      </c>
      <c r="IFE64" s="857">
        <f t="shared" si="139"/>
        <v>0</v>
      </c>
      <c r="IFF64" s="857">
        <f t="shared" si="139"/>
        <v>0</v>
      </c>
      <c r="IFG64" s="857">
        <f t="shared" si="139"/>
        <v>0</v>
      </c>
      <c r="IFH64" s="857">
        <f t="shared" si="139"/>
        <v>0</v>
      </c>
      <c r="IFI64" s="857">
        <f t="shared" si="139"/>
        <v>0</v>
      </c>
      <c r="IFJ64" s="857">
        <f t="shared" si="139"/>
        <v>0</v>
      </c>
      <c r="IFK64" s="857">
        <f t="shared" si="139"/>
        <v>0</v>
      </c>
      <c r="IFL64" s="857">
        <f t="shared" si="139"/>
        <v>0</v>
      </c>
      <c r="IFM64" s="857">
        <f t="shared" si="139"/>
        <v>0</v>
      </c>
      <c r="IFN64" s="857">
        <f t="shared" si="139"/>
        <v>0</v>
      </c>
      <c r="IFO64" s="857">
        <f t="shared" si="139"/>
        <v>0</v>
      </c>
      <c r="IFP64" s="857">
        <f t="shared" si="139"/>
        <v>0</v>
      </c>
      <c r="IFQ64" s="857">
        <f t="shared" si="139"/>
        <v>0</v>
      </c>
      <c r="IFR64" s="857">
        <f t="shared" si="139"/>
        <v>0</v>
      </c>
      <c r="IFS64" s="857">
        <f t="shared" si="139"/>
        <v>0</v>
      </c>
      <c r="IFT64" s="857">
        <f t="shared" si="139"/>
        <v>0</v>
      </c>
      <c r="IFU64" s="857">
        <f t="shared" si="139"/>
        <v>0</v>
      </c>
      <c r="IFV64" s="857">
        <f t="shared" si="139"/>
        <v>0</v>
      </c>
      <c r="IFW64" s="857">
        <f t="shared" si="139"/>
        <v>0</v>
      </c>
      <c r="IFX64" s="857">
        <f t="shared" si="139"/>
        <v>0</v>
      </c>
      <c r="IFY64" s="857">
        <f t="shared" si="139"/>
        <v>0</v>
      </c>
      <c r="IFZ64" s="857">
        <f t="shared" si="139"/>
        <v>0</v>
      </c>
      <c r="IGA64" s="857">
        <f t="shared" si="139"/>
        <v>0</v>
      </c>
      <c r="IGB64" s="857">
        <f t="shared" si="139"/>
        <v>0</v>
      </c>
      <c r="IGC64" s="857">
        <f t="shared" si="139"/>
        <v>0</v>
      </c>
      <c r="IGD64" s="857">
        <f t="shared" si="139"/>
        <v>0</v>
      </c>
      <c r="IGE64" s="857">
        <f t="shared" si="139"/>
        <v>0</v>
      </c>
      <c r="IGF64" s="857">
        <f t="shared" si="139"/>
        <v>0</v>
      </c>
      <c r="IGG64" s="857">
        <f t="shared" si="139"/>
        <v>0</v>
      </c>
      <c r="IGH64" s="857">
        <f t="shared" si="139"/>
        <v>0</v>
      </c>
      <c r="IGI64" s="857">
        <f t="shared" si="139"/>
        <v>0</v>
      </c>
      <c r="IGJ64" s="857">
        <f t="shared" si="139"/>
        <v>0</v>
      </c>
      <c r="IGK64" s="857">
        <f t="shared" si="139"/>
        <v>0</v>
      </c>
      <c r="IGL64" s="857">
        <f t="shared" ref="IGL64:IIW64" si="140">(IGL57-IGL59)*$C$64</f>
        <v>0</v>
      </c>
      <c r="IGM64" s="857">
        <f t="shared" si="140"/>
        <v>0</v>
      </c>
      <c r="IGN64" s="857">
        <f t="shared" si="140"/>
        <v>0</v>
      </c>
      <c r="IGO64" s="857">
        <f t="shared" si="140"/>
        <v>0</v>
      </c>
      <c r="IGP64" s="857">
        <f t="shared" si="140"/>
        <v>0</v>
      </c>
      <c r="IGQ64" s="857">
        <f t="shared" si="140"/>
        <v>0</v>
      </c>
      <c r="IGR64" s="857">
        <f t="shared" si="140"/>
        <v>0</v>
      </c>
      <c r="IGS64" s="857">
        <f t="shared" si="140"/>
        <v>0</v>
      </c>
      <c r="IGT64" s="857">
        <f t="shared" si="140"/>
        <v>0</v>
      </c>
      <c r="IGU64" s="857">
        <f t="shared" si="140"/>
        <v>0</v>
      </c>
      <c r="IGV64" s="857">
        <f t="shared" si="140"/>
        <v>0</v>
      </c>
      <c r="IGW64" s="857">
        <f t="shared" si="140"/>
        <v>0</v>
      </c>
      <c r="IGX64" s="857">
        <f t="shared" si="140"/>
        <v>0</v>
      </c>
      <c r="IGY64" s="857">
        <f t="shared" si="140"/>
        <v>0</v>
      </c>
      <c r="IGZ64" s="857">
        <f t="shared" si="140"/>
        <v>0</v>
      </c>
      <c r="IHA64" s="857">
        <f t="shared" si="140"/>
        <v>0</v>
      </c>
      <c r="IHB64" s="857">
        <f t="shared" si="140"/>
        <v>0</v>
      </c>
      <c r="IHC64" s="857">
        <f t="shared" si="140"/>
        <v>0</v>
      </c>
      <c r="IHD64" s="857">
        <f t="shared" si="140"/>
        <v>0</v>
      </c>
      <c r="IHE64" s="857">
        <f t="shared" si="140"/>
        <v>0</v>
      </c>
      <c r="IHF64" s="857">
        <f t="shared" si="140"/>
        <v>0</v>
      </c>
      <c r="IHG64" s="857">
        <f t="shared" si="140"/>
        <v>0</v>
      </c>
      <c r="IHH64" s="857">
        <f t="shared" si="140"/>
        <v>0</v>
      </c>
      <c r="IHI64" s="857">
        <f t="shared" si="140"/>
        <v>0</v>
      </c>
      <c r="IHJ64" s="857">
        <f t="shared" si="140"/>
        <v>0</v>
      </c>
      <c r="IHK64" s="857">
        <f t="shared" si="140"/>
        <v>0</v>
      </c>
      <c r="IHL64" s="857">
        <f t="shared" si="140"/>
        <v>0</v>
      </c>
      <c r="IHM64" s="857">
        <f t="shared" si="140"/>
        <v>0</v>
      </c>
      <c r="IHN64" s="857">
        <f t="shared" si="140"/>
        <v>0</v>
      </c>
      <c r="IHO64" s="857">
        <f t="shared" si="140"/>
        <v>0</v>
      </c>
      <c r="IHP64" s="857">
        <f t="shared" si="140"/>
        <v>0</v>
      </c>
      <c r="IHQ64" s="857">
        <f t="shared" si="140"/>
        <v>0</v>
      </c>
      <c r="IHR64" s="857">
        <f t="shared" si="140"/>
        <v>0</v>
      </c>
      <c r="IHS64" s="857">
        <f t="shared" si="140"/>
        <v>0</v>
      </c>
      <c r="IHT64" s="857">
        <f t="shared" si="140"/>
        <v>0</v>
      </c>
      <c r="IHU64" s="857">
        <f t="shared" si="140"/>
        <v>0</v>
      </c>
      <c r="IHV64" s="857">
        <f t="shared" si="140"/>
        <v>0</v>
      </c>
      <c r="IHW64" s="857">
        <f t="shared" si="140"/>
        <v>0</v>
      </c>
      <c r="IHX64" s="857">
        <f t="shared" si="140"/>
        <v>0</v>
      </c>
      <c r="IHY64" s="857">
        <f t="shared" si="140"/>
        <v>0</v>
      </c>
      <c r="IHZ64" s="857">
        <f t="shared" si="140"/>
        <v>0</v>
      </c>
      <c r="IIA64" s="857">
        <f t="shared" si="140"/>
        <v>0</v>
      </c>
      <c r="IIB64" s="857">
        <f t="shared" si="140"/>
        <v>0</v>
      </c>
      <c r="IIC64" s="857">
        <f t="shared" si="140"/>
        <v>0</v>
      </c>
      <c r="IID64" s="857">
        <f t="shared" si="140"/>
        <v>0</v>
      </c>
      <c r="IIE64" s="857">
        <f t="shared" si="140"/>
        <v>0</v>
      </c>
      <c r="IIF64" s="857">
        <f t="shared" si="140"/>
        <v>0</v>
      </c>
      <c r="IIG64" s="857">
        <f t="shared" si="140"/>
        <v>0</v>
      </c>
      <c r="IIH64" s="857">
        <f t="shared" si="140"/>
        <v>0</v>
      </c>
      <c r="III64" s="857">
        <f t="shared" si="140"/>
        <v>0</v>
      </c>
      <c r="IIJ64" s="857">
        <f t="shared" si="140"/>
        <v>0</v>
      </c>
      <c r="IIK64" s="857">
        <f t="shared" si="140"/>
        <v>0</v>
      </c>
      <c r="IIL64" s="857">
        <f t="shared" si="140"/>
        <v>0</v>
      </c>
      <c r="IIM64" s="857">
        <f t="shared" si="140"/>
        <v>0</v>
      </c>
      <c r="IIN64" s="857">
        <f t="shared" si="140"/>
        <v>0</v>
      </c>
      <c r="IIO64" s="857">
        <f t="shared" si="140"/>
        <v>0</v>
      </c>
      <c r="IIP64" s="857">
        <f t="shared" si="140"/>
        <v>0</v>
      </c>
      <c r="IIQ64" s="857">
        <f t="shared" si="140"/>
        <v>0</v>
      </c>
      <c r="IIR64" s="857">
        <f t="shared" si="140"/>
        <v>0</v>
      </c>
      <c r="IIS64" s="857">
        <f t="shared" si="140"/>
        <v>0</v>
      </c>
      <c r="IIT64" s="857">
        <f t="shared" si="140"/>
        <v>0</v>
      </c>
      <c r="IIU64" s="857">
        <f t="shared" si="140"/>
        <v>0</v>
      </c>
      <c r="IIV64" s="857">
        <f t="shared" si="140"/>
        <v>0</v>
      </c>
      <c r="IIW64" s="857">
        <f t="shared" si="140"/>
        <v>0</v>
      </c>
      <c r="IIX64" s="857">
        <f t="shared" ref="IIX64:ILI64" si="141">(IIX57-IIX59)*$C$64</f>
        <v>0</v>
      </c>
      <c r="IIY64" s="857">
        <f t="shared" si="141"/>
        <v>0</v>
      </c>
      <c r="IIZ64" s="857">
        <f t="shared" si="141"/>
        <v>0</v>
      </c>
      <c r="IJA64" s="857">
        <f t="shared" si="141"/>
        <v>0</v>
      </c>
      <c r="IJB64" s="857">
        <f t="shared" si="141"/>
        <v>0</v>
      </c>
      <c r="IJC64" s="857">
        <f t="shared" si="141"/>
        <v>0</v>
      </c>
      <c r="IJD64" s="857">
        <f t="shared" si="141"/>
        <v>0</v>
      </c>
      <c r="IJE64" s="857">
        <f t="shared" si="141"/>
        <v>0</v>
      </c>
      <c r="IJF64" s="857">
        <f t="shared" si="141"/>
        <v>0</v>
      </c>
      <c r="IJG64" s="857">
        <f t="shared" si="141"/>
        <v>0</v>
      </c>
      <c r="IJH64" s="857">
        <f t="shared" si="141"/>
        <v>0</v>
      </c>
      <c r="IJI64" s="857">
        <f t="shared" si="141"/>
        <v>0</v>
      </c>
      <c r="IJJ64" s="857">
        <f t="shared" si="141"/>
        <v>0</v>
      </c>
      <c r="IJK64" s="857">
        <f t="shared" si="141"/>
        <v>0</v>
      </c>
      <c r="IJL64" s="857">
        <f t="shared" si="141"/>
        <v>0</v>
      </c>
      <c r="IJM64" s="857">
        <f t="shared" si="141"/>
        <v>0</v>
      </c>
      <c r="IJN64" s="857">
        <f t="shared" si="141"/>
        <v>0</v>
      </c>
      <c r="IJO64" s="857">
        <f t="shared" si="141"/>
        <v>0</v>
      </c>
      <c r="IJP64" s="857">
        <f t="shared" si="141"/>
        <v>0</v>
      </c>
      <c r="IJQ64" s="857">
        <f t="shared" si="141"/>
        <v>0</v>
      </c>
      <c r="IJR64" s="857">
        <f t="shared" si="141"/>
        <v>0</v>
      </c>
      <c r="IJS64" s="857">
        <f t="shared" si="141"/>
        <v>0</v>
      </c>
      <c r="IJT64" s="857">
        <f t="shared" si="141"/>
        <v>0</v>
      </c>
      <c r="IJU64" s="857">
        <f t="shared" si="141"/>
        <v>0</v>
      </c>
      <c r="IJV64" s="857">
        <f t="shared" si="141"/>
        <v>0</v>
      </c>
      <c r="IJW64" s="857">
        <f t="shared" si="141"/>
        <v>0</v>
      </c>
      <c r="IJX64" s="857">
        <f t="shared" si="141"/>
        <v>0</v>
      </c>
      <c r="IJY64" s="857">
        <f t="shared" si="141"/>
        <v>0</v>
      </c>
      <c r="IJZ64" s="857">
        <f t="shared" si="141"/>
        <v>0</v>
      </c>
      <c r="IKA64" s="857">
        <f t="shared" si="141"/>
        <v>0</v>
      </c>
      <c r="IKB64" s="857">
        <f t="shared" si="141"/>
        <v>0</v>
      </c>
      <c r="IKC64" s="857">
        <f t="shared" si="141"/>
        <v>0</v>
      </c>
      <c r="IKD64" s="857">
        <f t="shared" si="141"/>
        <v>0</v>
      </c>
      <c r="IKE64" s="857">
        <f t="shared" si="141"/>
        <v>0</v>
      </c>
      <c r="IKF64" s="857">
        <f t="shared" si="141"/>
        <v>0</v>
      </c>
      <c r="IKG64" s="857">
        <f t="shared" si="141"/>
        <v>0</v>
      </c>
      <c r="IKH64" s="857">
        <f t="shared" si="141"/>
        <v>0</v>
      </c>
      <c r="IKI64" s="857">
        <f t="shared" si="141"/>
        <v>0</v>
      </c>
      <c r="IKJ64" s="857">
        <f t="shared" si="141"/>
        <v>0</v>
      </c>
      <c r="IKK64" s="857">
        <f t="shared" si="141"/>
        <v>0</v>
      </c>
      <c r="IKL64" s="857">
        <f t="shared" si="141"/>
        <v>0</v>
      </c>
      <c r="IKM64" s="857">
        <f t="shared" si="141"/>
        <v>0</v>
      </c>
      <c r="IKN64" s="857">
        <f t="shared" si="141"/>
        <v>0</v>
      </c>
      <c r="IKO64" s="857">
        <f t="shared" si="141"/>
        <v>0</v>
      </c>
      <c r="IKP64" s="857">
        <f t="shared" si="141"/>
        <v>0</v>
      </c>
      <c r="IKQ64" s="857">
        <f t="shared" si="141"/>
        <v>0</v>
      </c>
      <c r="IKR64" s="857">
        <f t="shared" si="141"/>
        <v>0</v>
      </c>
      <c r="IKS64" s="857">
        <f t="shared" si="141"/>
        <v>0</v>
      </c>
      <c r="IKT64" s="857">
        <f t="shared" si="141"/>
        <v>0</v>
      </c>
      <c r="IKU64" s="857">
        <f t="shared" si="141"/>
        <v>0</v>
      </c>
      <c r="IKV64" s="857">
        <f t="shared" si="141"/>
        <v>0</v>
      </c>
      <c r="IKW64" s="857">
        <f t="shared" si="141"/>
        <v>0</v>
      </c>
      <c r="IKX64" s="857">
        <f t="shared" si="141"/>
        <v>0</v>
      </c>
      <c r="IKY64" s="857">
        <f t="shared" si="141"/>
        <v>0</v>
      </c>
      <c r="IKZ64" s="857">
        <f t="shared" si="141"/>
        <v>0</v>
      </c>
      <c r="ILA64" s="857">
        <f t="shared" si="141"/>
        <v>0</v>
      </c>
      <c r="ILB64" s="857">
        <f t="shared" si="141"/>
        <v>0</v>
      </c>
      <c r="ILC64" s="857">
        <f t="shared" si="141"/>
        <v>0</v>
      </c>
      <c r="ILD64" s="857">
        <f t="shared" si="141"/>
        <v>0</v>
      </c>
      <c r="ILE64" s="857">
        <f t="shared" si="141"/>
        <v>0</v>
      </c>
      <c r="ILF64" s="857">
        <f t="shared" si="141"/>
        <v>0</v>
      </c>
      <c r="ILG64" s="857">
        <f t="shared" si="141"/>
        <v>0</v>
      </c>
      <c r="ILH64" s="857">
        <f t="shared" si="141"/>
        <v>0</v>
      </c>
      <c r="ILI64" s="857">
        <f t="shared" si="141"/>
        <v>0</v>
      </c>
      <c r="ILJ64" s="857">
        <f t="shared" ref="ILJ64:INU64" si="142">(ILJ57-ILJ59)*$C$64</f>
        <v>0</v>
      </c>
      <c r="ILK64" s="857">
        <f t="shared" si="142"/>
        <v>0</v>
      </c>
      <c r="ILL64" s="857">
        <f t="shared" si="142"/>
        <v>0</v>
      </c>
      <c r="ILM64" s="857">
        <f t="shared" si="142"/>
        <v>0</v>
      </c>
      <c r="ILN64" s="857">
        <f t="shared" si="142"/>
        <v>0</v>
      </c>
      <c r="ILO64" s="857">
        <f t="shared" si="142"/>
        <v>0</v>
      </c>
      <c r="ILP64" s="857">
        <f t="shared" si="142"/>
        <v>0</v>
      </c>
      <c r="ILQ64" s="857">
        <f t="shared" si="142"/>
        <v>0</v>
      </c>
      <c r="ILR64" s="857">
        <f t="shared" si="142"/>
        <v>0</v>
      </c>
      <c r="ILS64" s="857">
        <f t="shared" si="142"/>
        <v>0</v>
      </c>
      <c r="ILT64" s="857">
        <f t="shared" si="142"/>
        <v>0</v>
      </c>
      <c r="ILU64" s="857">
        <f t="shared" si="142"/>
        <v>0</v>
      </c>
      <c r="ILV64" s="857">
        <f t="shared" si="142"/>
        <v>0</v>
      </c>
      <c r="ILW64" s="857">
        <f t="shared" si="142"/>
        <v>0</v>
      </c>
      <c r="ILX64" s="857">
        <f t="shared" si="142"/>
        <v>0</v>
      </c>
      <c r="ILY64" s="857">
        <f t="shared" si="142"/>
        <v>0</v>
      </c>
      <c r="ILZ64" s="857">
        <f t="shared" si="142"/>
        <v>0</v>
      </c>
      <c r="IMA64" s="857">
        <f t="shared" si="142"/>
        <v>0</v>
      </c>
      <c r="IMB64" s="857">
        <f t="shared" si="142"/>
        <v>0</v>
      </c>
      <c r="IMC64" s="857">
        <f t="shared" si="142"/>
        <v>0</v>
      </c>
      <c r="IMD64" s="857">
        <f t="shared" si="142"/>
        <v>0</v>
      </c>
      <c r="IME64" s="857">
        <f t="shared" si="142"/>
        <v>0</v>
      </c>
      <c r="IMF64" s="857">
        <f t="shared" si="142"/>
        <v>0</v>
      </c>
      <c r="IMG64" s="857">
        <f t="shared" si="142"/>
        <v>0</v>
      </c>
      <c r="IMH64" s="857">
        <f t="shared" si="142"/>
        <v>0</v>
      </c>
      <c r="IMI64" s="857">
        <f t="shared" si="142"/>
        <v>0</v>
      </c>
      <c r="IMJ64" s="857">
        <f t="shared" si="142"/>
        <v>0</v>
      </c>
      <c r="IMK64" s="857">
        <f t="shared" si="142"/>
        <v>0</v>
      </c>
      <c r="IML64" s="857">
        <f t="shared" si="142"/>
        <v>0</v>
      </c>
      <c r="IMM64" s="857">
        <f t="shared" si="142"/>
        <v>0</v>
      </c>
      <c r="IMN64" s="857">
        <f t="shared" si="142"/>
        <v>0</v>
      </c>
      <c r="IMO64" s="857">
        <f t="shared" si="142"/>
        <v>0</v>
      </c>
      <c r="IMP64" s="857">
        <f t="shared" si="142"/>
        <v>0</v>
      </c>
      <c r="IMQ64" s="857">
        <f t="shared" si="142"/>
        <v>0</v>
      </c>
      <c r="IMR64" s="857">
        <f t="shared" si="142"/>
        <v>0</v>
      </c>
      <c r="IMS64" s="857">
        <f t="shared" si="142"/>
        <v>0</v>
      </c>
      <c r="IMT64" s="857">
        <f t="shared" si="142"/>
        <v>0</v>
      </c>
      <c r="IMU64" s="857">
        <f t="shared" si="142"/>
        <v>0</v>
      </c>
      <c r="IMV64" s="857">
        <f t="shared" si="142"/>
        <v>0</v>
      </c>
      <c r="IMW64" s="857">
        <f t="shared" si="142"/>
        <v>0</v>
      </c>
      <c r="IMX64" s="857">
        <f t="shared" si="142"/>
        <v>0</v>
      </c>
      <c r="IMY64" s="857">
        <f t="shared" si="142"/>
        <v>0</v>
      </c>
      <c r="IMZ64" s="857">
        <f t="shared" si="142"/>
        <v>0</v>
      </c>
      <c r="INA64" s="857">
        <f t="shared" si="142"/>
        <v>0</v>
      </c>
      <c r="INB64" s="857">
        <f t="shared" si="142"/>
        <v>0</v>
      </c>
      <c r="INC64" s="857">
        <f t="shared" si="142"/>
        <v>0</v>
      </c>
      <c r="IND64" s="857">
        <f t="shared" si="142"/>
        <v>0</v>
      </c>
      <c r="INE64" s="857">
        <f t="shared" si="142"/>
        <v>0</v>
      </c>
      <c r="INF64" s="857">
        <f t="shared" si="142"/>
        <v>0</v>
      </c>
      <c r="ING64" s="857">
        <f t="shared" si="142"/>
        <v>0</v>
      </c>
      <c r="INH64" s="857">
        <f t="shared" si="142"/>
        <v>0</v>
      </c>
      <c r="INI64" s="857">
        <f t="shared" si="142"/>
        <v>0</v>
      </c>
      <c r="INJ64" s="857">
        <f t="shared" si="142"/>
        <v>0</v>
      </c>
      <c r="INK64" s="857">
        <f t="shared" si="142"/>
        <v>0</v>
      </c>
      <c r="INL64" s="857">
        <f t="shared" si="142"/>
        <v>0</v>
      </c>
      <c r="INM64" s="857">
        <f t="shared" si="142"/>
        <v>0</v>
      </c>
      <c r="INN64" s="857">
        <f t="shared" si="142"/>
        <v>0</v>
      </c>
      <c r="INO64" s="857">
        <f t="shared" si="142"/>
        <v>0</v>
      </c>
      <c r="INP64" s="857">
        <f t="shared" si="142"/>
        <v>0</v>
      </c>
      <c r="INQ64" s="857">
        <f t="shared" si="142"/>
        <v>0</v>
      </c>
      <c r="INR64" s="857">
        <f t="shared" si="142"/>
        <v>0</v>
      </c>
      <c r="INS64" s="857">
        <f t="shared" si="142"/>
        <v>0</v>
      </c>
      <c r="INT64" s="857">
        <f t="shared" si="142"/>
        <v>0</v>
      </c>
      <c r="INU64" s="857">
        <f t="shared" si="142"/>
        <v>0</v>
      </c>
      <c r="INV64" s="857">
        <f t="shared" ref="INV64:IQG64" si="143">(INV57-INV59)*$C$64</f>
        <v>0</v>
      </c>
      <c r="INW64" s="857">
        <f t="shared" si="143"/>
        <v>0</v>
      </c>
      <c r="INX64" s="857">
        <f t="shared" si="143"/>
        <v>0</v>
      </c>
      <c r="INY64" s="857">
        <f t="shared" si="143"/>
        <v>0</v>
      </c>
      <c r="INZ64" s="857">
        <f t="shared" si="143"/>
        <v>0</v>
      </c>
      <c r="IOA64" s="857">
        <f t="shared" si="143"/>
        <v>0</v>
      </c>
      <c r="IOB64" s="857">
        <f t="shared" si="143"/>
        <v>0</v>
      </c>
      <c r="IOC64" s="857">
        <f t="shared" si="143"/>
        <v>0</v>
      </c>
      <c r="IOD64" s="857">
        <f t="shared" si="143"/>
        <v>0</v>
      </c>
      <c r="IOE64" s="857">
        <f t="shared" si="143"/>
        <v>0</v>
      </c>
      <c r="IOF64" s="857">
        <f t="shared" si="143"/>
        <v>0</v>
      </c>
      <c r="IOG64" s="857">
        <f t="shared" si="143"/>
        <v>0</v>
      </c>
      <c r="IOH64" s="857">
        <f t="shared" si="143"/>
        <v>0</v>
      </c>
      <c r="IOI64" s="857">
        <f t="shared" si="143"/>
        <v>0</v>
      </c>
      <c r="IOJ64" s="857">
        <f t="shared" si="143"/>
        <v>0</v>
      </c>
      <c r="IOK64" s="857">
        <f t="shared" si="143"/>
        <v>0</v>
      </c>
      <c r="IOL64" s="857">
        <f t="shared" si="143"/>
        <v>0</v>
      </c>
      <c r="IOM64" s="857">
        <f t="shared" si="143"/>
        <v>0</v>
      </c>
      <c r="ION64" s="857">
        <f t="shared" si="143"/>
        <v>0</v>
      </c>
      <c r="IOO64" s="857">
        <f t="shared" si="143"/>
        <v>0</v>
      </c>
      <c r="IOP64" s="857">
        <f t="shared" si="143"/>
        <v>0</v>
      </c>
      <c r="IOQ64" s="857">
        <f t="shared" si="143"/>
        <v>0</v>
      </c>
      <c r="IOR64" s="857">
        <f t="shared" si="143"/>
        <v>0</v>
      </c>
      <c r="IOS64" s="857">
        <f t="shared" si="143"/>
        <v>0</v>
      </c>
      <c r="IOT64" s="857">
        <f t="shared" si="143"/>
        <v>0</v>
      </c>
      <c r="IOU64" s="857">
        <f t="shared" si="143"/>
        <v>0</v>
      </c>
      <c r="IOV64" s="857">
        <f t="shared" si="143"/>
        <v>0</v>
      </c>
      <c r="IOW64" s="857">
        <f t="shared" si="143"/>
        <v>0</v>
      </c>
      <c r="IOX64" s="857">
        <f t="shared" si="143"/>
        <v>0</v>
      </c>
      <c r="IOY64" s="857">
        <f t="shared" si="143"/>
        <v>0</v>
      </c>
      <c r="IOZ64" s="857">
        <f t="shared" si="143"/>
        <v>0</v>
      </c>
      <c r="IPA64" s="857">
        <f t="shared" si="143"/>
        <v>0</v>
      </c>
      <c r="IPB64" s="857">
        <f t="shared" si="143"/>
        <v>0</v>
      </c>
      <c r="IPC64" s="857">
        <f t="shared" si="143"/>
        <v>0</v>
      </c>
      <c r="IPD64" s="857">
        <f t="shared" si="143"/>
        <v>0</v>
      </c>
      <c r="IPE64" s="857">
        <f t="shared" si="143"/>
        <v>0</v>
      </c>
      <c r="IPF64" s="857">
        <f t="shared" si="143"/>
        <v>0</v>
      </c>
      <c r="IPG64" s="857">
        <f t="shared" si="143"/>
        <v>0</v>
      </c>
      <c r="IPH64" s="857">
        <f t="shared" si="143"/>
        <v>0</v>
      </c>
      <c r="IPI64" s="857">
        <f t="shared" si="143"/>
        <v>0</v>
      </c>
      <c r="IPJ64" s="857">
        <f t="shared" si="143"/>
        <v>0</v>
      </c>
      <c r="IPK64" s="857">
        <f t="shared" si="143"/>
        <v>0</v>
      </c>
      <c r="IPL64" s="857">
        <f t="shared" si="143"/>
        <v>0</v>
      </c>
      <c r="IPM64" s="857">
        <f t="shared" si="143"/>
        <v>0</v>
      </c>
      <c r="IPN64" s="857">
        <f t="shared" si="143"/>
        <v>0</v>
      </c>
      <c r="IPO64" s="857">
        <f t="shared" si="143"/>
        <v>0</v>
      </c>
      <c r="IPP64" s="857">
        <f t="shared" si="143"/>
        <v>0</v>
      </c>
      <c r="IPQ64" s="857">
        <f t="shared" si="143"/>
        <v>0</v>
      </c>
      <c r="IPR64" s="857">
        <f t="shared" si="143"/>
        <v>0</v>
      </c>
      <c r="IPS64" s="857">
        <f t="shared" si="143"/>
        <v>0</v>
      </c>
      <c r="IPT64" s="857">
        <f t="shared" si="143"/>
        <v>0</v>
      </c>
      <c r="IPU64" s="857">
        <f t="shared" si="143"/>
        <v>0</v>
      </c>
      <c r="IPV64" s="857">
        <f t="shared" si="143"/>
        <v>0</v>
      </c>
      <c r="IPW64" s="857">
        <f t="shared" si="143"/>
        <v>0</v>
      </c>
      <c r="IPX64" s="857">
        <f t="shared" si="143"/>
        <v>0</v>
      </c>
      <c r="IPY64" s="857">
        <f t="shared" si="143"/>
        <v>0</v>
      </c>
      <c r="IPZ64" s="857">
        <f t="shared" si="143"/>
        <v>0</v>
      </c>
      <c r="IQA64" s="857">
        <f t="shared" si="143"/>
        <v>0</v>
      </c>
      <c r="IQB64" s="857">
        <f t="shared" si="143"/>
        <v>0</v>
      </c>
      <c r="IQC64" s="857">
        <f t="shared" si="143"/>
        <v>0</v>
      </c>
      <c r="IQD64" s="857">
        <f t="shared" si="143"/>
        <v>0</v>
      </c>
      <c r="IQE64" s="857">
        <f t="shared" si="143"/>
        <v>0</v>
      </c>
      <c r="IQF64" s="857">
        <f t="shared" si="143"/>
        <v>0</v>
      </c>
      <c r="IQG64" s="857">
        <f t="shared" si="143"/>
        <v>0</v>
      </c>
      <c r="IQH64" s="857">
        <f t="shared" ref="IQH64:ISS64" si="144">(IQH57-IQH59)*$C$64</f>
        <v>0</v>
      </c>
      <c r="IQI64" s="857">
        <f t="shared" si="144"/>
        <v>0</v>
      </c>
      <c r="IQJ64" s="857">
        <f t="shared" si="144"/>
        <v>0</v>
      </c>
      <c r="IQK64" s="857">
        <f t="shared" si="144"/>
        <v>0</v>
      </c>
      <c r="IQL64" s="857">
        <f t="shared" si="144"/>
        <v>0</v>
      </c>
      <c r="IQM64" s="857">
        <f t="shared" si="144"/>
        <v>0</v>
      </c>
      <c r="IQN64" s="857">
        <f t="shared" si="144"/>
        <v>0</v>
      </c>
      <c r="IQO64" s="857">
        <f t="shared" si="144"/>
        <v>0</v>
      </c>
      <c r="IQP64" s="857">
        <f t="shared" si="144"/>
        <v>0</v>
      </c>
      <c r="IQQ64" s="857">
        <f t="shared" si="144"/>
        <v>0</v>
      </c>
      <c r="IQR64" s="857">
        <f t="shared" si="144"/>
        <v>0</v>
      </c>
      <c r="IQS64" s="857">
        <f t="shared" si="144"/>
        <v>0</v>
      </c>
      <c r="IQT64" s="857">
        <f t="shared" si="144"/>
        <v>0</v>
      </c>
      <c r="IQU64" s="857">
        <f t="shared" si="144"/>
        <v>0</v>
      </c>
      <c r="IQV64" s="857">
        <f t="shared" si="144"/>
        <v>0</v>
      </c>
      <c r="IQW64" s="857">
        <f t="shared" si="144"/>
        <v>0</v>
      </c>
      <c r="IQX64" s="857">
        <f t="shared" si="144"/>
        <v>0</v>
      </c>
      <c r="IQY64" s="857">
        <f t="shared" si="144"/>
        <v>0</v>
      </c>
      <c r="IQZ64" s="857">
        <f t="shared" si="144"/>
        <v>0</v>
      </c>
      <c r="IRA64" s="857">
        <f t="shared" si="144"/>
        <v>0</v>
      </c>
      <c r="IRB64" s="857">
        <f t="shared" si="144"/>
        <v>0</v>
      </c>
      <c r="IRC64" s="857">
        <f t="shared" si="144"/>
        <v>0</v>
      </c>
      <c r="IRD64" s="857">
        <f t="shared" si="144"/>
        <v>0</v>
      </c>
      <c r="IRE64" s="857">
        <f t="shared" si="144"/>
        <v>0</v>
      </c>
      <c r="IRF64" s="857">
        <f t="shared" si="144"/>
        <v>0</v>
      </c>
      <c r="IRG64" s="857">
        <f t="shared" si="144"/>
        <v>0</v>
      </c>
      <c r="IRH64" s="857">
        <f t="shared" si="144"/>
        <v>0</v>
      </c>
      <c r="IRI64" s="857">
        <f t="shared" si="144"/>
        <v>0</v>
      </c>
      <c r="IRJ64" s="857">
        <f t="shared" si="144"/>
        <v>0</v>
      </c>
      <c r="IRK64" s="857">
        <f t="shared" si="144"/>
        <v>0</v>
      </c>
      <c r="IRL64" s="857">
        <f t="shared" si="144"/>
        <v>0</v>
      </c>
      <c r="IRM64" s="857">
        <f t="shared" si="144"/>
        <v>0</v>
      </c>
      <c r="IRN64" s="857">
        <f t="shared" si="144"/>
        <v>0</v>
      </c>
      <c r="IRO64" s="857">
        <f t="shared" si="144"/>
        <v>0</v>
      </c>
      <c r="IRP64" s="857">
        <f t="shared" si="144"/>
        <v>0</v>
      </c>
      <c r="IRQ64" s="857">
        <f t="shared" si="144"/>
        <v>0</v>
      </c>
      <c r="IRR64" s="857">
        <f t="shared" si="144"/>
        <v>0</v>
      </c>
      <c r="IRS64" s="857">
        <f t="shared" si="144"/>
        <v>0</v>
      </c>
      <c r="IRT64" s="857">
        <f t="shared" si="144"/>
        <v>0</v>
      </c>
      <c r="IRU64" s="857">
        <f t="shared" si="144"/>
        <v>0</v>
      </c>
      <c r="IRV64" s="857">
        <f t="shared" si="144"/>
        <v>0</v>
      </c>
      <c r="IRW64" s="857">
        <f t="shared" si="144"/>
        <v>0</v>
      </c>
      <c r="IRX64" s="857">
        <f t="shared" si="144"/>
        <v>0</v>
      </c>
      <c r="IRY64" s="857">
        <f t="shared" si="144"/>
        <v>0</v>
      </c>
      <c r="IRZ64" s="857">
        <f t="shared" si="144"/>
        <v>0</v>
      </c>
      <c r="ISA64" s="857">
        <f t="shared" si="144"/>
        <v>0</v>
      </c>
      <c r="ISB64" s="857">
        <f t="shared" si="144"/>
        <v>0</v>
      </c>
      <c r="ISC64" s="857">
        <f t="shared" si="144"/>
        <v>0</v>
      </c>
      <c r="ISD64" s="857">
        <f t="shared" si="144"/>
        <v>0</v>
      </c>
      <c r="ISE64" s="857">
        <f t="shared" si="144"/>
        <v>0</v>
      </c>
      <c r="ISF64" s="857">
        <f t="shared" si="144"/>
        <v>0</v>
      </c>
      <c r="ISG64" s="857">
        <f t="shared" si="144"/>
        <v>0</v>
      </c>
      <c r="ISH64" s="857">
        <f t="shared" si="144"/>
        <v>0</v>
      </c>
      <c r="ISI64" s="857">
        <f t="shared" si="144"/>
        <v>0</v>
      </c>
      <c r="ISJ64" s="857">
        <f t="shared" si="144"/>
        <v>0</v>
      </c>
      <c r="ISK64" s="857">
        <f t="shared" si="144"/>
        <v>0</v>
      </c>
      <c r="ISL64" s="857">
        <f t="shared" si="144"/>
        <v>0</v>
      </c>
      <c r="ISM64" s="857">
        <f t="shared" si="144"/>
        <v>0</v>
      </c>
      <c r="ISN64" s="857">
        <f t="shared" si="144"/>
        <v>0</v>
      </c>
      <c r="ISO64" s="857">
        <f t="shared" si="144"/>
        <v>0</v>
      </c>
      <c r="ISP64" s="857">
        <f t="shared" si="144"/>
        <v>0</v>
      </c>
      <c r="ISQ64" s="857">
        <f t="shared" si="144"/>
        <v>0</v>
      </c>
      <c r="ISR64" s="857">
        <f t="shared" si="144"/>
        <v>0</v>
      </c>
      <c r="ISS64" s="857">
        <f t="shared" si="144"/>
        <v>0</v>
      </c>
      <c r="IST64" s="857">
        <f t="shared" ref="IST64:IVE64" si="145">(IST57-IST59)*$C$64</f>
        <v>0</v>
      </c>
      <c r="ISU64" s="857">
        <f t="shared" si="145"/>
        <v>0</v>
      </c>
      <c r="ISV64" s="857">
        <f t="shared" si="145"/>
        <v>0</v>
      </c>
      <c r="ISW64" s="857">
        <f t="shared" si="145"/>
        <v>0</v>
      </c>
      <c r="ISX64" s="857">
        <f t="shared" si="145"/>
        <v>0</v>
      </c>
      <c r="ISY64" s="857">
        <f t="shared" si="145"/>
        <v>0</v>
      </c>
      <c r="ISZ64" s="857">
        <f t="shared" si="145"/>
        <v>0</v>
      </c>
      <c r="ITA64" s="857">
        <f t="shared" si="145"/>
        <v>0</v>
      </c>
      <c r="ITB64" s="857">
        <f t="shared" si="145"/>
        <v>0</v>
      </c>
      <c r="ITC64" s="857">
        <f t="shared" si="145"/>
        <v>0</v>
      </c>
      <c r="ITD64" s="857">
        <f t="shared" si="145"/>
        <v>0</v>
      </c>
      <c r="ITE64" s="857">
        <f t="shared" si="145"/>
        <v>0</v>
      </c>
      <c r="ITF64" s="857">
        <f t="shared" si="145"/>
        <v>0</v>
      </c>
      <c r="ITG64" s="857">
        <f t="shared" si="145"/>
        <v>0</v>
      </c>
      <c r="ITH64" s="857">
        <f t="shared" si="145"/>
        <v>0</v>
      </c>
      <c r="ITI64" s="857">
        <f t="shared" si="145"/>
        <v>0</v>
      </c>
      <c r="ITJ64" s="857">
        <f t="shared" si="145"/>
        <v>0</v>
      </c>
      <c r="ITK64" s="857">
        <f t="shared" si="145"/>
        <v>0</v>
      </c>
      <c r="ITL64" s="857">
        <f t="shared" si="145"/>
        <v>0</v>
      </c>
      <c r="ITM64" s="857">
        <f t="shared" si="145"/>
        <v>0</v>
      </c>
      <c r="ITN64" s="857">
        <f t="shared" si="145"/>
        <v>0</v>
      </c>
      <c r="ITO64" s="857">
        <f t="shared" si="145"/>
        <v>0</v>
      </c>
      <c r="ITP64" s="857">
        <f t="shared" si="145"/>
        <v>0</v>
      </c>
      <c r="ITQ64" s="857">
        <f t="shared" si="145"/>
        <v>0</v>
      </c>
      <c r="ITR64" s="857">
        <f t="shared" si="145"/>
        <v>0</v>
      </c>
      <c r="ITS64" s="857">
        <f t="shared" si="145"/>
        <v>0</v>
      </c>
      <c r="ITT64" s="857">
        <f t="shared" si="145"/>
        <v>0</v>
      </c>
      <c r="ITU64" s="857">
        <f t="shared" si="145"/>
        <v>0</v>
      </c>
      <c r="ITV64" s="857">
        <f t="shared" si="145"/>
        <v>0</v>
      </c>
      <c r="ITW64" s="857">
        <f t="shared" si="145"/>
        <v>0</v>
      </c>
      <c r="ITX64" s="857">
        <f t="shared" si="145"/>
        <v>0</v>
      </c>
      <c r="ITY64" s="857">
        <f t="shared" si="145"/>
        <v>0</v>
      </c>
      <c r="ITZ64" s="857">
        <f t="shared" si="145"/>
        <v>0</v>
      </c>
      <c r="IUA64" s="857">
        <f t="shared" si="145"/>
        <v>0</v>
      </c>
      <c r="IUB64" s="857">
        <f t="shared" si="145"/>
        <v>0</v>
      </c>
      <c r="IUC64" s="857">
        <f t="shared" si="145"/>
        <v>0</v>
      </c>
      <c r="IUD64" s="857">
        <f t="shared" si="145"/>
        <v>0</v>
      </c>
      <c r="IUE64" s="857">
        <f t="shared" si="145"/>
        <v>0</v>
      </c>
      <c r="IUF64" s="857">
        <f t="shared" si="145"/>
        <v>0</v>
      </c>
      <c r="IUG64" s="857">
        <f t="shared" si="145"/>
        <v>0</v>
      </c>
      <c r="IUH64" s="857">
        <f t="shared" si="145"/>
        <v>0</v>
      </c>
      <c r="IUI64" s="857">
        <f t="shared" si="145"/>
        <v>0</v>
      </c>
      <c r="IUJ64" s="857">
        <f t="shared" si="145"/>
        <v>0</v>
      </c>
      <c r="IUK64" s="857">
        <f t="shared" si="145"/>
        <v>0</v>
      </c>
      <c r="IUL64" s="857">
        <f t="shared" si="145"/>
        <v>0</v>
      </c>
      <c r="IUM64" s="857">
        <f t="shared" si="145"/>
        <v>0</v>
      </c>
      <c r="IUN64" s="857">
        <f t="shared" si="145"/>
        <v>0</v>
      </c>
      <c r="IUO64" s="857">
        <f t="shared" si="145"/>
        <v>0</v>
      </c>
      <c r="IUP64" s="857">
        <f t="shared" si="145"/>
        <v>0</v>
      </c>
      <c r="IUQ64" s="857">
        <f t="shared" si="145"/>
        <v>0</v>
      </c>
      <c r="IUR64" s="857">
        <f t="shared" si="145"/>
        <v>0</v>
      </c>
      <c r="IUS64" s="857">
        <f t="shared" si="145"/>
        <v>0</v>
      </c>
      <c r="IUT64" s="857">
        <f t="shared" si="145"/>
        <v>0</v>
      </c>
      <c r="IUU64" s="857">
        <f t="shared" si="145"/>
        <v>0</v>
      </c>
      <c r="IUV64" s="857">
        <f t="shared" si="145"/>
        <v>0</v>
      </c>
      <c r="IUW64" s="857">
        <f t="shared" si="145"/>
        <v>0</v>
      </c>
      <c r="IUX64" s="857">
        <f t="shared" si="145"/>
        <v>0</v>
      </c>
      <c r="IUY64" s="857">
        <f t="shared" si="145"/>
        <v>0</v>
      </c>
      <c r="IUZ64" s="857">
        <f t="shared" si="145"/>
        <v>0</v>
      </c>
      <c r="IVA64" s="857">
        <f t="shared" si="145"/>
        <v>0</v>
      </c>
      <c r="IVB64" s="857">
        <f t="shared" si="145"/>
        <v>0</v>
      </c>
      <c r="IVC64" s="857">
        <f t="shared" si="145"/>
        <v>0</v>
      </c>
      <c r="IVD64" s="857">
        <f t="shared" si="145"/>
        <v>0</v>
      </c>
      <c r="IVE64" s="857">
        <f t="shared" si="145"/>
        <v>0</v>
      </c>
      <c r="IVF64" s="857">
        <f t="shared" ref="IVF64:IXQ64" si="146">(IVF57-IVF59)*$C$64</f>
        <v>0</v>
      </c>
      <c r="IVG64" s="857">
        <f t="shared" si="146"/>
        <v>0</v>
      </c>
      <c r="IVH64" s="857">
        <f t="shared" si="146"/>
        <v>0</v>
      </c>
      <c r="IVI64" s="857">
        <f t="shared" si="146"/>
        <v>0</v>
      </c>
      <c r="IVJ64" s="857">
        <f t="shared" si="146"/>
        <v>0</v>
      </c>
      <c r="IVK64" s="857">
        <f t="shared" si="146"/>
        <v>0</v>
      </c>
      <c r="IVL64" s="857">
        <f t="shared" si="146"/>
        <v>0</v>
      </c>
      <c r="IVM64" s="857">
        <f t="shared" si="146"/>
        <v>0</v>
      </c>
      <c r="IVN64" s="857">
        <f t="shared" si="146"/>
        <v>0</v>
      </c>
      <c r="IVO64" s="857">
        <f t="shared" si="146"/>
        <v>0</v>
      </c>
      <c r="IVP64" s="857">
        <f t="shared" si="146"/>
        <v>0</v>
      </c>
      <c r="IVQ64" s="857">
        <f t="shared" si="146"/>
        <v>0</v>
      </c>
      <c r="IVR64" s="857">
        <f t="shared" si="146"/>
        <v>0</v>
      </c>
      <c r="IVS64" s="857">
        <f t="shared" si="146"/>
        <v>0</v>
      </c>
      <c r="IVT64" s="857">
        <f t="shared" si="146"/>
        <v>0</v>
      </c>
      <c r="IVU64" s="857">
        <f t="shared" si="146"/>
        <v>0</v>
      </c>
      <c r="IVV64" s="857">
        <f t="shared" si="146"/>
        <v>0</v>
      </c>
      <c r="IVW64" s="857">
        <f t="shared" si="146"/>
        <v>0</v>
      </c>
      <c r="IVX64" s="857">
        <f t="shared" si="146"/>
        <v>0</v>
      </c>
      <c r="IVY64" s="857">
        <f t="shared" si="146"/>
        <v>0</v>
      </c>
      <c r="IVZ64" s="857">
        <f t="shared" si="146"/>
        <v>0</v>
      </c>
      <c r="IWA64" s="857">
        <f t="shared" si="146"/>
        <v>0</v>
      </c>
      <c r="IWB64" s="857">
        <f t="shared" si="146"/>
        <v>0</v>
      </c>
      <c r="IWC64" s="857">
        <f t="shared" si="146"/>
        <v>0</v>
      </c>
      <c r="IWD64" s="857">
        <f t="shared" si="146"/>
        <v>0</v>
      </c>
      <c r="IWE64" s="857">
        <f t="shared" si="146"/>
        <v>0</v>
      </c>
      <c r="IWF64" s="857">
        <f t="shared" si="146"/>
        <v>0</v>
      </c>
      <c r="IWG64" s="857">
        <f t="shared" si="146"/>
        <v>0</v>
      </c>
      <c r="IWH64" s="857">
        <f t="shared" si="146"/>
        <v>0</v>
      </c>
      <c r="IWI64" s="857">
        <f t="shared" si="146"/>
        <v>0</v>
      </c>
      <c r="IWJ64" s="857">
        <f t="shared" si="146"/>
        <v>0</v>
      </c>
      <c r="IWK64" s="857">
        <f t="shared" si="146"/>
        <v>0</v>
      </c>
      <c r="IWL64" s="857">
        <f t="shared" si="146"/>
        <v>0</v>
      </c>
      <c r="IWM64" s="857">
        <f t="shared" si="146"/>
        <v>0</v>
      </c>
      <c r="IWN64" s="857">
        <f t="shared" si="146"/>
        <v>0</v>
      </c>
      <c r="IWO64" s="857">
        <f t="shared" si="146"/>
        <v>0</v>
      </c>
      <c r="IWP64" s="857">
        <f t="shared" si="146"/>
        <v>0</v>
      </c>
      <c r="IWQ64" s="857">
        <f t="shared" si="146"/>
        <v>0</v>
      </c>
      <c r="IWR64" s="857">
        <f t="shared" si="146"/>
        <v>0</v>
      </c>
      <c r="IWS64" s="857">
        <f t="shared" si="146"/>
        <v>0</v>
      </c>
      <c r="IWT64" s="857">
        <f t="shared" si="146"/>
        <v>0</v>
      </c>
      <c r="IWU64" s="857">
        <f t="shared" si="146"/>
        <v>0</v>
      </c>
      <c r="IWV64" s="857">
        <f t="shared" si="146"/>
        <v>0</v>
      </c>
      <c r="IWW64" s="857">
        <f t="shared" si="146"/>
        <v>0</v>
      </c>
      <c r="IWX64" s="857">
        <f t="shared" si="146"/>
        <v>0</v>
      </c>
      <c r="IWY64" s="857">
        <f t="shared" si="146"/>
        <v>0</v>
      </c>
      <c r="IWZ64" s="857">
        <f t="shared" si="146"/>
        <v>0</v>
      </c>
      <c r="IXA64" s="857">
        <f t="shared" si="146"/>
        <v>0</v>
      </c>
      <c r="IXB64" s="857">
        <f t="shared" si="146"/>
        <v>0</v>
      </c>
      <c r="IXC64" s="857">
        <f t="shared" si="146"/>
        <v>0</v>
      </c>
      <c r="IXD64" s="857">
        <f t="shared" si="146"/>
        <v>0</v>
      </c>
      <c r="IXE64" s="857">
        <f t="shared" si="146"/>
        <v>0</v>
      </c>
      <c r="IXF64" s="857">
        <f t="shared" si="146"/>
        <v>0</v>
      </c>
      <c r="IXG64" s="857">
        <f t="shared" si="146"/>
        <v>0</v>
      </c>
      <c r="IXH64" s="857">
        <f t="shared" si="146"/>
        <v>0</v>
      </c>
      <c r="IXI64" s="857">
        <f t="shared" si="146"/>
        <v>0</v>
      </c>
      <c r="IXJ64" s="857">
        <f t="shared" si="146"/>
        <v>0</v>
      </c>
      <c r="IXK64" s="857">
        <f t="shared" si="146"/>
        <v>0</v>
      </c>
      <c r="IXL64" s="857">
        <f t="shared" si="146"/>
        <v>0</v>
      </c>
      <c r="IXM64" s="857">
        <f t="shared" si="146"/>
        <v>0</v>
      </c>
      <c r="IXN64" s="857">
        <f t="shared" si="146"/>
        <v>0</v>
      </c>
      <c r="IXO64" s="857">
        <f t="shared" si="146"/>
        <v>0</v>
      </c>
      <c r="IXP64" s="857">
        <f t="shared" si="146"/>
        <v>0</v>
      </c>
      <c r="IXQ64" s="857">
        <f t="shared" si="146"/>
        <v>0</v>
      </c>
      <c r="IXR64" s="857">
        <f t="shared" ref="IXR64:JAC64" si="147">(IXR57-IXR59)*$C$64</f>
        <v>0</v>
      </c>
      <c r="IXS64" s="857">
        <f t="shared" si="147"/>
        <v>0</v>
      </c>
      <c r="IXT64" s="857">
        <f t="shared" si="147"/>
        <v>0</v>
      </c>
      <c r="IXU64" s="857">
        <f t="shared" si="147"/>
        <v>0</v>
      </c>
      <c r="IXV64" s="857">
        <f t="shared" si="147"/>
        <v>0</v>
      </c>
      <c r="IXW64" s="857">
        <f t="shared" si="147"/>
        <v>0</v>
      </c>
      <c r="IXX64" s="857">
        <f t="shared" si="147"/>
        <v>0</v>
      </c>
      <c r="IXY64" s="857">
        <f t="shared" si="147"/>
        <v>0</v>
      </c>
      <c r="IXZ64" s="857">
        <f t="shared" si="147"/>
        <v>0</v>
      </c>
      <c r="IYA64" s="857">
        <f t="shared" si="147"/>
        <v>0</v>
      </c>
      <c r="IYB64" s="857">
        <f t="shared" si="147"/>
        <v>0</v>
      </c>
      <c r="IYC64" s="857">
        <f t="shared" si="147"/>
        <v>0</v>
      </c>
      <c r="IYD64" s="857">
        <f t="shared" si="147"/>
        <v>0</v>
      </c>
      <c r="IYE64" s="857">
        <f t="shared" si="147"/>
        <v>0</v>
      </c>
      <c r="IYF64" s="857">
        <f t="shared" si="147"/>
        <v>0</v>
      </c>
      <c r="IYG64" s="857">
        <f t="shared" si="147"/>
        <v>0</v>
      </c>
      <c r="IYH64" s="857">
        <f t="shared" si="147"/>
        <v>0</v>
      </c>
      <c r="IYI64" s="857">
        <f t="shared" si="147"/>
        <v>0</v>
      </c>
      <c r="IYJ64" s="857">
        <f t="shared" si="147"/>
        <v>0</v>
      </c>
      <c r="IYK64" s="857">
        <f t="shared" si="147"/>
        <v>0</v>
      </c>
      <c r="IYL64" s="857">
        <f t="shared" si="147"/>
        <v>0</v>
      </c>
      <c r="IYM64" s="857">
        <f t="shared" si="147"/>
        <v>0</v>
      </c>
      <c r="IYN64" s="857">
        <f t="shared" si="147"/>
        <v>0</v>
      </c>
      <c r="IYO64" s="857">
        <f t="shared" si="147"/>
        <v>0</v>
      </c>
      <c r="IYP64" s="857">
        <f t="shared" si="147"/>
        <v>0</v>
      </c>
      <c r="IYQ64" s="857">
        <f t="shared" si="147"/>
        <v>0</v>
      </c>
      <c r="IYR64" s="857">
        <f t="shared" si="147"/>
        <v>0</v>
      </c>
      <c r="IYS64" s="857">
        <f t="shared" si="147"/>
        <v>0</v>
      </c>
      <c r="IYT64" s="857">
        <f t="shared" si="147"/>
        <v>0</v>
      </c>
      <c r="IYU64" s="857">
        <f t="shared" si="147"/>
        <v>0</v>
      </c>
      <c r="IYV64" s="857">
        <f t="shared" si="147"/>
        <v>0</v>
      </c>
      <c r="IYW64" s="857">
        <f t="shared" si="147"/>
        <v>0</v>
      </c>
      <c r="IYX64" s="857">
        <f t="shared" si="147"/>
        <v>0</v>
      </c>
      <c r="IYY64" s="857">
        <f t="shared" si="147"/>
        <v>0</v>
      </c>
      <c r="IYZ64" s="857">
        <f t="shared" si="147"/>
        <v>0</v>
      </c>
      <c r="IZA64" s="857">
        <f t="shared" si="147"/>
        <v>0</v>
      </c>
      <c r="IZB64" s="857">
        <f t="shared" si="147"/>
        <v>0</v>
      </c>
      <c r="IZC64" s="857">
        <f t="shared" si="147"/>
        <v>0</v>
      </c>
      <c r="IZD64" s="857">
        <f t="shared" si="147"/>
        <v>0</v>
      </c>
      <c r="IZE64" s="857">
        <f t="shared" si="147"/>
        <v>0</v>
      </c>
      <c r="IZF64" s="857">
        <f t="shared" si="147"/>
        <v>0</v>
      </c>
      <c r="IZG64" s="857">
        <f t="shared" si="147"/>
        <v>0</v>
      </c>
      <c r="IZH64" s="857">
        <f t="shared" si="147"/>
        <v>0</v>
      </c>
      <c r="IZI64" s="857">
        <f t="shared" si="147"/>
        <v>0</v>
      </c>
      <c r="IZJ64" s="857">
        <f t="shared" si="147"/>
        <v>0</v>
      </c>
      <c r="IZK64" s="857">
        <f t="shared" si="147"/>
        <v>0</v>
      </c>
      <c r="IZL64" s="857">
        <f t="shared" si="147"/>
        <v>0</v>
      </c>
      <c r="IZM64" s="857">
        <f t="shared" si="147"/>
        <v>0</v>
      </c>
      <c r="IZN64" s="857">
        <f t="shared" si="147"/>
        <v>0</v>
      </c>
      <c r="IZO64" s="857">
        <f t="shared" si="147"/>
        <v>0</v>
      </c>
      <c r="IZP64" s="857">
        <f t="shared" si="147"/>
        <v>0</v>
      </c>
      <c r="IZQ64" s="857">
        <f t="shared" si="147"/>
        <v>0</v>
      </c>
      <c r="IZR64" s="857">
        <f t="shared" si="147"/>
        <v>0</v>
      </c>
      <c r="IZS64" s="857">
        <f t="shared" si="147"/>
        <v>0</v>
      </c>
      <c r="IZT64" s="857">
        <f t="shared" si="147"/>
        <v>0</v>
      </c>
      <c r="IZU64" s="857">
        <f t="shared" si="147"/>
        <v>0</v>
      </c>
      <c r="IZV64" s="857">
        <f t="shared" si="147"/>
        <v>0</v>
      </c>
      <c r="IZW64" s="857">
        <f t="shared" si="147"/>
        <v>0</v>
      </c>
      <c r="IZX64" s="857">
        <f t="shared" si="147"/>
        <v>0</v>
      </c>
      <c r="IZY64" s="857">
        <f t="shared" si="147"/>
        <v>0</v>
      </c>
      <c r="IZZ64" s="857">
        <f t="shared" si="147"/>
        <v>0</v>
      </c>
      <c r="JAA64" s="857">
        <f t="shared" si="147"/>
        <v>0</v>
      </c>
      <c r="JAB64" s="857">
        <f t="shared" si="147"/>
        <v>0</v>
      </c>
      <c r="JAC64" s="857">
        <f t="shared" si="147"/>
        <v>0</v>
      </c>
      <c r="JAD64" s="857">
        <f t="shared" ref="JAD64:JCO64" si="148">(JAD57-JAD59)*$C$64</f>
        <v>0</v>
      </c>
      <c r="JAE64" s="857">
        <f t="shared" si="148"/>
        <v>0</v>
      </c>
      <c r="JAF64" s="857">
        <f t="shared" si="148"/>
        <v>0</v>
      </c>
      <c r="JAG64" s="857">
        <f t="shared" si="148"/>
        <v>0</v>
      </c>
      <c r="JAH64" s="857">
        <f t="shared" si="148"/>
        <v>0</v>
      </c>
      <c r="JAI64" s="857">
        <f t="shared" si="148"/>
        <v>0</v>
      </c>
      <c r="JAJ64" s="857">
        <f t="shared" si="148"/>
        <v>0</v>
      </c>
      <c r="JAK64" s="857">
        <f t="shared" si="148"/>
        <v>0</v>
      </c>
      <c r="JAL64" s="857">
        <f t="shared" si="148"/>
        <v>0</v>
      </c>
      <c r="JAM64" s="857">
        <f t="shared" si="148"/>
        <v>0</v>
      </c>
      <c r="JAN64" s="857">
        <f t="shared" si="148"/>
        <v>0</v>
      </c>
      <c r="JAO64" s="857">
        <f t="shared" si="148"/>
        <v>0</v>
      </c>
      <c r="JAP64" s="857">
        <f t="shared" si="148"/>
        <v>0</v>
      </c>
      <c r="JAQ64" s="857">
        <f t="shared" si="148"/>
        <v>0</v>
      </c>
      <c r="JAR64" s="857">
        <f t="shared" si="148"/>
        <v>0</v>
      </c>
      <c r="JAS64" s="857">
        <f t="shared" si="148"/>
        <v>0</v>
      </c>
      <c r="JAT64" s="857">
        <f t="shared" si="148"/>
        <v>0</v>
      </c>
      <c r="JAU64" s="857">
        <f t="shared" si="148"/>
        <v>0</v>
      </c>
      <c r="JAV64" s="857">
        <f t="shared" si="148"/>
        <v>0</v>
      </c>
      <c r="JAW64" s="857">
        <f t="shared" si="148"/>
        <v>0</v>
      </c>
      <c r="JAX64" s="857">
        <f t="shared" si="148"/>
        <v>0</v>
      </c>
      <c r="JAY64" s="857">
        <f t="shared" si="148"/>
        <v>0</v>
      </c>
      <c r="JAZ64" s="857">
        <f t="shared" si="148"/>
        <v>0</v>
      </c>
      <c r="JBA64" s="857">
        <f t="shared" si="148"/>
        <v>0</v>
      </c>
      <c r="JBB64" s="857">
        <f t="shared" si="148"/>
        <v>0</v>
      </c>
      <c r="JBC64" s="857">
        <f t="shared" si="148"/>
        <v>0</v>
      </c>
      <c r="JBD64" s="857">
        <f t="shared" si="148"/>
        <v>0</v>
      </c>
      <c r="JBE64" s="857">
        <f t="shared" si="148"/>
        <v>0</v>
      </c>
      <c r="JBF64" s="857">
        <f t="shared" si="148"/>
        <v>0</v>
      </c>
      <c r="JBG64" s="857">
        <f t="shared" si="148"/>
        <v>0</v>
      </c>
      <c r="JBH64" s="857">
        <f t="shared" si="148"/>
        <v>0</v>
      </c>
      <c r="JBI64" s="857">
        <f t="shared" si="148"/>
        <v>0</v>
      </c>
      <c r="JBJ64" s="857">
        <f t="shared" si="148"/>
        <v>0</v>
      </c>
      <c r="JBK64" s="857">
        <f t="shared" si="148"/>
        <v>0</v>
      </c>
      <c r="JBL64" s="857">
        <f t="shared" si="148"/>
        <v>0</v>
      </c>
      <c r="JBM64" s="857">
        <f t="shared" si="148"/>
        <v>0</v>
      </c>
      <c r="JBN64" s="857">
        <f t="shared" si="148"/>
        <v>0</v>
      </c>
      <c r="JBO64" s="857">
        <f t="shared" si="148"/>
        <v>0</v>
      </c>
      <c r="JBP64" s="857">
        <f t="shared" si="148"/>
        <v>0</v>
      </c>
      <c r="JBQ64" s="857">
        <f t="shared" si="148"/>
        <v>0</v>
      </c>
      <c r="JBR64" s="857">
        <f t="shared" si="148"/>
        <v>0</v>
      </c>
      <c r="JBS64" s="857">
        <f t="shared" si="148"/>
        <v>0</v>
      </c>
      <c r="JBT64" s="857">
        <f t="shared" si="148"/>
        <v>0</v>
      </c>
      <c r="JBU64" s="857">
        <f t="shared" si="148"/>
        <v>0</v>
      </c>
      <c r="JBV64" s="857">
        <f t="shared" si="148"/>
        <v>0</v>
      </c>
      <c r="JBW64" s="857">
        <f t="shared" si="148"/>
        <v>0</v>
      </c>
      <c r="JBX64" s="857">
        <f t="shared" si="148"/>
        <v>0</v>
      </c>
      <c r="JBY64" s="857">
        <f t="shared" si="148"/>
        <v>0</v>
      </c>
      <c r="JBZ64" s="857">
        <f t="shared" si="148"/>
        <v>0</v>
      </c>
      <c r="JCA64" s="857">
        <f t="shared" si="148"/>
        <v>0</v>
      </c>
      <c r="JCB64" s="857">
        <f t="shared" si="148"/>
        <v>0</v>
      </c>
      <c r="JCC64" s="857">
        <f t="shared" si="148"/>
        <v>0</v>
      </c>
      <c r="JCD64" s="857">
        <f t="shared" si="148"/>
        <v>0</v>
      </c>
      <c r="JCE64" s="857">
        <f t="shared" si="148"/>
        <v>0</v>
      </c>
      <c r="JCF64" s="857">
        <f t="shared" si="148"/>
        <v>0</v>
      </c>
      <c r="JCG64" s="857">
        <f t="shared" si="148"/>
        <v>0</v>
      </c>
      <c r="JCH64" s="857">
        <f t="shared" si="148"/>
        <v>0</v>
      </c>
      <c r="JCI64" s="857">
        <f t="shared" si="148"/>
        <v>0</v>
      </c>
      <c r="JCJ64" s="857">
        <f t="shared" si="148"/>
        <v>0</v>
      </c>
      <c r="JCK64" s="857">
        <f t="shared" si="148"/>
        <v>0</v>
      </c>
      <c r="JCL64" s="857">
        <f t="shared" si="148"/>
        <v>0</v>
      </c>
      <c r="JCM64" s="857">
        <f t="shared" si="148"/>
        <v>0</v>
      </c>
      <c r="JCN64" s="857">
        <f t="shared" si="148"/>
        <v>0</v>
      </c>
      <c r="JCO64" s="857">
        <f t="shared" si="148"/>
        <v>0</v>
      </c>
      <c r="JCP64" s="857">
        <f t="shared" ref="JCP64:JFA64" si="149">(JCP57-JCP59)*$C$64</f>
        <v>0</v>
      </c>
      <c r="JCQ64" s="857">
        <f t="shared" si="149"/>
        <v>0</v>
      </c>
      <c r="JCR64" s="857">
        <f t="shared" si="149"/>
        <v>0</v>
      </c>
      <c r="JCS64" s="857">
        <f t="shared" si="149"/>
        <v>0</v>
      </c>
      <c r="JCT64" s="857">
        <f t="shared" si="149"/>
        <v>0</v>
      </c>
      <c r="JCU64" s="857">
        <f t="shared" si="149"/>
        <v>0</v>
      </c>
      <c r="JCV64" s="857">
        <f t="shared" si="149"/>
        <v>0</v>
      </c>
      <c r="JCW64" s="857">
        <f t="shared" si="149"/>
        <v>0</v>
      </c>
      <c r="JCX64" s="857">
        <f t="shared" si="149"/>
        <v>0</v>
      </c>
      <c r="JCY64" s="857">
        <f t="shared" si="149"/>
        <v>0</v>
      </c>
      <c r="JCZ64" s="857">
        <f t="shared" si="149"/>
        <v>0</v>
      </c>
      <c r="JDA64" s="857">
        <f t="shared" si="149"/>
        <v>0</v>
      </c>
      <c r="JDB64" s="857">
        <f t="shared" si="149"/>
        <v>0</v>
      </c>
      <c r="JDC64" s="857">
        <f t="shared" si="149"/>
        <v>0</v>
      </c>
      <c r="JDD64" s="857">
        <f t="shared" si="149"/>
        <v>0</v>
      </c>
      <c r="JDE64" s="857">
        <f t="shared" si="149"/>
        <v>0</v>
      </c>
      <c r="JDF64" s="857">
        <f t="shared" si="149"/>
        <v>0</v>
      </c>
      <c r="JDG64" s="857">
        <f t="shared" si="149"/>
        <v>0</v>
      </c>
      <c r="JDH64" s="857">
        <f t="shared" si="149"/>
        <v>0</v>
      </c>
      <c r="JDI64" s="857">
        <f t="shared" si="149"/>
        <v>0</v>
      </c>
      <c r="JDJ64" s="857">
        <f t="shared" si="149"/>
        <v>0</v>
      </c>
      <c r="JDK64" s="857">
        <f t="shared" si="149"/>
        <v>0</v>
      </c>
      <c r="JDL64" s="857">
        <f t="shared" si="149"/>
        <v>0</v>
      </c>
      <c r="JDM64" s="857">
        <f t="shared" si="149"/>
        <v>0</v>
      </c>
      <c r="JDN64" s="857">
        <f t="shared" si="149"/>
        <v>0</v>
      </c>
      <c r="JDO64" s="857">
        <f t="shared" si="149"/>
        <v>0</v>
      </c>
      <c r="JDP64" s="857">
        <f t="shared" si="149"/>
        <v>0</v>
      </c>
      <c r="JDQ64" s="857">
        <f t="shared" si="149"/>
        <v>0</v>
      </c>
      <c r="JDR64" s="857">
        <f t="shared" si="149"/>
        <v>0</v>
      </c>
      <c r="JDS64" s="857">
        <f t="shared" si="149"/>
        <v>0</v>
      </c>
      <c r="JDT64" s="857">
        <f t="shared" si="149"/>
        <v>0</v>
      </c>
      <c r="JDU64" s="857">
        <f t="shared" si="149"/>
        <v>0</v>
      </c>
      <c r="JDV64" s="857">
        <f t="shared" si="149"/>
        <v>0</v>
      </c>
      <c r="JDW64" s="857">
        <f t="shared" si="149"/>
        <v>0</v>
      </c>
      <c r="JDX64" s="857">
        <f t="shared" si="149"/>
        <v>0</v>
      </c>
      <c r="JDY64" s="857">
        <f t="shared" si="149"/>
        <v>0</v>
      </c>
      <c r="JDZ64" s="857">
        <f t="shared" si="149"/>
        <v>0</v>
      </c>
      <c r="JEA64" s="857">
        <f t="shared" si="149"/>
        <v>0</v>
      </c>
      <c r="JEB64" s="857">
        <f t="shared" si="149"/>
        <v>0</v>
      </c>
      <c r="JEC64" s="857">
        <f t="shared" si="149"/>
        <v>0</v>
      </c>
      <c r="JED64" s="857">
        <f t="shared" si="149"/>
        <v>0</v>
      </c>
      <c r="JEE64" s="857">
        <f t="shared" si="149"/>
        <v>0</v>
      </c>
      <c r="JEF64" s="857">
        <f t="shared" si="149"/>
        <v>0</v>
      </c>
      <c r="JEG64" s="857">
        <f t="shared" si="149"/>
        <v>0</v>
      </c>
      <c r="JEH64" s="857">
        <f t="shared" si="149"/>
        <v>0</v>
      </c>
      <c r="JEI64" s="857">
        <f t="shared" si="149"/>
        <v>0</v>
      </c>
      <c r="JEJ64" s="857">
        <f t="shared" si="149"/>
        <v>0</v>
      </c>
      <c r="JEK64" s="857">
        <f t="shared" si="149"/>
        <v>0</v>
      </c>
      <c r="JEL64" s="857">
        <f t="shared" si="149"/>
        <v>0</v>
      </c>
      <c r="JEM64" s="857">
        <f t="shared" si="149"/>
        <v>0</v>
      </c>
      <c r="JEN64" s="857">
        <f t="shared" si="149"/>
        <v>0</v>
      </c>
      <c r="JEO64" s="857">
        <f t="shared" si="149"/>
        <v>0</v>
      </c>
      <c r="JEP64" s="857">
        <f t="shared" si="149"/>
        <v>0</v>
      </c>
      <c r="JEQ64" s="857">
        <f t="shared" si="149"/>
        <v>0</v>
      </c>
      <c r="JER64" s="857">
        <f t="shared" si="149"/>
        <v>0</v>
      </c>
      <c r="JES64" s="857">
        <f t="shared" si="149"/>
        <v>0</v>
      </c>
      <c r="JET64" s="857">
        <f t="shared" si="149"/>
        <v>0</v>
      </c>
      <c r="JEU64" s="857">
        <f t="shared" si="149"/>
        <v>0</v>
      </c>
      <c r="JEV64" s="857">
        <f t="shared" si="149"/>
        <v>0</v>
      </c>
      <c r="JEW64" s="857">
        <f t="shared" si="149"/>
        <v>0</v>
      </c>
      <c r="JEX64" s="857">
        <f t="shared" si="149"/>
        <v>0</v>
      </c>
      <c r="JEY64" s="857">
        <f t="shared" si="149"/>
        <v>0</v>
      </c>
      <c r="JEZ64" s="857">
        <f t="shared" si="149"/>
        <v>0</v>
      </c>
      <c r="JFA64" s="857">
        <f t="shared" si="149"/>
        <v>0</v>
      </c>
      <c r="JFB64" s="857">
        <f t="shared" ref="JFB64:JHM64" si="150">(JFB57-JFB59)*$C$64</f>
        <v>0</v>
      </c>
      <c r="JFC64" s="857">
        <f t="shared" si="150"/>
        <v>0</v>
      </c>
      <c r="JFD64" s="857">
        <f t="shared" si="150"/>
        <v>0</v>
      </c>
      <c r="JFE64" s="857">
        <f t="shared" si="150"/>
        <v>0</v>
      </c>
      <c r="JFF64" s="857">
        <f t="shared" si="150"/>
        <v>0</v>
      </c>
      <c r="JFG64" s="857">
        <f t="shared" si="150"/>
        <v>0</v>
      </c>
      <c r="JFH64" s="857">
        <f t="shared" si="150"/>
        <v>0</v>
      </c>
      <c r="JFI64" s="857">
        <f t="shared" si="150"/>
        <v>0</v>
      </c>
      <c r="JFJ64" s="857">
        <f t="shared" si="150"/>
        <v>0</v>
      </c>
      <c r="JFK64" s="857">
        <f t="shared" si="150"/>
        <v>0</v>
      </c>
      <c r="JFL64" s="857">
        <f t="shared" si="150"/>
        <v>0</v>
      </c>
      <c r="JFM64" s="857">
        <f t="shared" si="150"/>
        <v>0</v>
      </c>
      <c r="JFN64" s="857">
        <f t="shared" si="150"/>
        <v>0</v>
      </c>
      <c r="JFO64" s="857">
        <f t="shared" si="150"/>
        <v>0</v>
      </c>
      <c r="JFP64" s="857">
        <f t="shared" si="150"/>
        <v>0</v>
      </c>
      <c r="JFQ64" s="857">
        <f t="shared" si="150"/>
        <v>0</v>
      </c>
      <c r="JFR64" s="857">
        <f t="shared" si="150"/>
        <v>0</v>
      </c>
      <c r="JFS64" s="857">
        <f t="shared" si="150"/>
        <v>0</v>
      </c>
      <c r="JFT64" s="857">
        <f t="shared" si="150"/>
        <v>0</v>
      </c>
      <c r="JFU64" s="857">
        <f t="shared" si="150"/>
        <v>0</v>
      </c>
      <c r="JFV64" s="857">
        <f t="shared" si="150"/>
        <v>0</v>
      </c>
      <c r="JFW64" s="857">
        <f t="shared" si="150"/>
        <v>0</v>
      </c>
      <c r="JFX64" s="857">
        <f t="shared" si="150"/>
        <v>0</v>
      </c>
      <c r="JFY64" s="857">
        <f t="shared" si="150"/>
        <v>0</v>
      </c>
      <c r="JFZ64" s="857">
        <f t="shared" si="150"/>
        <v>0</v>
      </c>
      <c r="JGA64" s="857">
        <f t="shared" si="150"/>
        <v>0</v>
      </c>
      <c r="JGB64" s="857">
        <f t="shared" si="150"/>
        <v>0</v>
      </c>
      <c r="JGC64" s="857">
        <f t="shared" si="150"/>
        <v>0</v>
      </c>
      <c r="JGD64" s="857">
        <f t="shared" si="150"/>
        <v>0</v>
      </c>
      <c r="JGE64" s="857">
        <f t="shared" si="150"/>
        <v>0</v>
      </c>
      <c r="JGF64" s="857">
        <f t="shared" si="150"/>
        <v>0</v>
      </c>
      <c r="JGG64" s="857">
        <f t="shared" si="150"/>
        <v>0</v>
      </c>
      <c r="JGH64" s="857">
        <f t="shared" si="150"/>
        <v>0</v>
      </c>
      <c r="JGI64" s="857">
        <f t="shared" si="150"/>
        <v>0</v>
      </c>
      <c r="JGJ64" s="857">
        <f t="shared" si="150"/>
        <v>0</v>
      </c>
      <c r="JGK64" s="857">
        <f t="shared" si="150"/>
        <v>0</v>
      </c>
      <c r="JGL64" s="857">
        <f t="shared" si="150"/>
        <v>0</v>
      </c>
      <c r="JGM64" s="857">
        <f t="shared" si="150"/>
        <v>0</v>
      </c>
      <c r="JGN64" s="857">
        <f t="shared" si="150"/>
        <v>0</v>
      </c>
      <c r="JGO64" s="857">
        <f t="shared" si="150"/>
        <v>0</v>
      </c>
      <c r="JGP64" s="857">
        <f t="shared" si="150"/>
        <v>0</v>
      </c>
      <c r="JGQ64" s="857">
        <f t="shared" si="150"/>
        <v>0</v>
      </c>
      <c r="JGR64" s="857">
        <f t="shared" si="150"/>
        <v>0</v>
      </c>
      <c r="JGS64" s="857">
        <f t="shared" si="150"/>
        <v>0</v>
      </c>
      <c r="JGT64" s="857">
        <f t="shared" si="150"/>
        <v>0</v>
      </c>
      <c r="JGU64" s="857">
        <f t="shared" si="150"/>
        <v>0</v>
      </c>
      <c r="JGV64" s="857">
        <f t="shared" si="150"/>
        <v>0</v>
      </c>
      <c r="JGW64" s="857">
        <f t="shared" si="150"/>
        <v>0</v>
      </c>
      <c r="JGX64" s="857">
        <f t="shared" si="150"/>
        <v>0</v>
      </c>
      <c r="JGY64" s="857">
        <f t="shared" si="150"/>
        <v>0</v>
      </c>
      <c r="JGZ64" s="857">
        <f t="shared" si="150"/>
        <v>0</v>
      </c>
      <c r="JHA64" s="857">
        <f t="shared" si="150"/>
        <v>0</v>
      </c>
      <c r="JHB64" s="857">
        <f t="shared" si="150"/>
        <v>0</v>
      </c>
      <c r="JHC64" s="857">
        <f t="shared" si="150"/>
        <v>0</v>
      </c>
      <c r="JHD64" s="857">
        <f t="shared" si="150"/>
        <v>0</v>
      </c>
      <c r="JHE64" s="857">
        <f t="shared" si="150"/>
        <v>0</v>
      </c>
      <c r="JHF64" s="857">
        <f t="shared" si="150"/>
        <v>0</v>
      </c>
      <c r="JHG64" s="857">
        <f t="shared" si="150"/>
        <v>0</v>
      </c>
      <c r="JHH64" s="857">
        <f t="shared" si="150"/>
        <v>0</v>
      </c>
      <c r="JHI64" s="857">
        <f t="shared" si="150"/>
        <v>0</v>
      </c>
      <c r="JHJ64" s="857">
        <f t="shared" si="150"/>
        <v>0</v>
      </c>
      <c r="JHK64" s="857">
        <f t="shared" si="150"/>
        <v>0</v>
      </c>
      <c r="JHL64" s="857">
        <f t="shared" si="150"/>
        <v>0</v>
      </c>
      <c r="JHM64" s="857">
        <f t="shared" si="150"/>
        <v>0</v>
      </c>
      <c r="JHN64" s="857">
        <f t="shared" ref="JHN64:JJY64" si="151">(JHN57-JHN59)*$C$64</f>
        <v>0</v>
      </c>
      <c r="JHO64" s="857">
        <f t="shared" si="151"/>
        <v>0</v>
      </c>
      <c r="JHP64" s="857">
        <f t="shared" si="151"/>
        <v>0</v>
      </c>
      <c r="JHQ64" s="857">
        <f t="shared" si="151"/>
        <v>0</v>
      </c>
      <c r="JHR64" s="857">
        <f t="shared" si="151"/>
        <v>0</v>
      </c>
      <c r="JHS64" s="857">
        <f t="shared" si="151"/>
        <v>0</v>
      </c>
      <c r="JHT64" s="857">
        <f t="shared" si="151"/>
        <v>0</v>
      </c>
      <c r="JHU64" s="857">
        <f t="shared" si="151"/>
        <v>0</v>
      </c>
      <c r="JHV64" s="857">
        <f t="shared" si="151"/>
        <v>0</v>
      </c>
      <c r="JHW64" s="857">
        <f t="shared" si="151"/>
        <v>0</v>
      </c>
      <c r="JHX64" s="857">
        <f t="shared" si="151"/>
        <v>0</v>
      </c>
      <c r="JHY64" s="857">
        <f t="shared" si="151"/>
        <v>0</v>
      </c>
      <c r="JHZ64" s="857">
        <f t="shared" si="151"/>
        <v>0</v>
      </c>
      <c r="JIA64" s="857">
        <f t="shared" si="151"/>
        <v>0</v>
      </c>
      <c r="JIB64" s="857">
        <f t="shared" si="151"/>
        <v>0</v>
      </c>
      <c r="JIC64" s="857">
        <f t="shared" si="151"/>
        <v>0</v>
      </c>
      <c r="JID64" s="857">
        <f t="shared" si="151"/>
        <v>0</v>
      </c>
      <c r="JIE64" s="857">
        <f t="shared" si="151"/>
        <v>0</v>
      </c>
      <c r="JIF64" s="857">
        <f t="shared" si="151"/>
        <v>0</v>
      </c>
      <c r="JIG64" s="857">
        <f t="shared" si="151"/>
        <v>0</v>
      </c>
      <c r="JIH64" s="857">
        <f t="shared" si="151"/>
        <v>0</v>
      </c>
      <c r="JII64" s="857">
        <f t="shared" si="151"/>
        <v>0</v>
      </c>
      <c r="JIJ64" s="857">
        <f t="shared" si="151"/>
        <v>0</v>
      </c>
      <c r="JIK64" s="857">
        <f t="shared" si="151"/>
        <v>0</v>
      </c>
      <c r="JIL64" s="857">
        <f t="shared" si="151"/>
        <v>0</v>
      </c>
      <c r="JIM64" s="857">
        <f t="shared" si="151"/>
        <v>0</v>
      </c>
      <c r="JIN64" s="857">
        <f t="shared" si="151"/>
        <v>0</v>
      </c>
      <c r="JIO64" s="857">
        <f t="shared" si="151"/>
        <v>0</v>
      </c>
      <c r="JIP64" s="857">
        <f t="shared" si="151"/>
        <v>0</v>
      </c>
      <c r="JIQ64" s="857">
        <f t="shared" si="151"/>
        <v>0</v>
      </c>
      <c r="JIR64" s="857">
        <f t="shared" si="151"/>
        <v>0</v>
      </c>
      <c r="JIS64" s="857">
        <f t="shared" si="151"/>
        <v>0</v>
      </c>
      <c r="JIT64" s="857">
        <f t="shared" si="151"/>
        <v>0</v>
      </c>
      <c r="JIU64" s="857">
        <f t="shared" si="151"/>
        <v>0</v>
      </c>
      <c r="JIV64" s="857">
        <f t="shared" si="151"/>
        <v>0</v>
      </c>
      <c r="JIW64" s="857">
        <f t="shared" si="151"/>
        <v>0</v>
      </c>
      <c r="JIX64" s="857">
        <f t="shared" si="151"/>
        <v>0</v>
      </c>
      <c r="JIY64" s="857">
        <f t="shared" si="151"/>
        <v>0</v>
      </c>
      <c r="JIZ64" s="857">
        <f t="shared" si="151"/>
        <v>0</v>
      </c>
      <c r="JJA64" s="857">
        <f t="shared" si="151"/>
        <v>0</v>
      </c>
      <c r="JJB64" s="857">
        <f t="shared" si="151"/>
        <v>0</v>
      </c>
      <c r="JJC64" s="857">
        <f t="shared" si="151"/>
        <v>0</v>
      </c>
      <c r="JJD64" s="857">
        <f t="shared" si="151"/>
        <v>0</v>
      </c>
      <c r="JJE64" s="857">
        <f t="shared" si="151"/>
        <v>0</v>
      </c>
      <c r="JJF64" s="857">
        <f t="shared" si="151"/>
        <v>0</v>
      </c>
      <c r="JJG64" s="857">
        <f t="shared" si="151"/>
        <v>0</v>
      </c>
      <c r="JJH64" s="857">
        <f t="shared" si="151"/>
        <v>0</v>
      </c>
      <c r="JJI64" s="857">
        <f t="shared" si="151"/>
        <v>0</v>
      </c>
      <c r="JJJ64" s="857">
        <f t="shared" si="151"/>
        <v>0</v>
      </c>
      <c r="JJK64" s="857">
        <f t="shared" si="151"/>
        <v>0</v>
      </c>
      <c r="JJL64" s="857">
        <f t="shared" si="151"/>
        <v>0</v>
      </c>
      <c r="JJM64" s="857">
        <f t="shared" si="151"/>
        <v>0</v>
      </c>
      <c r="JJN64" s="857">
        <f t="shared" si="151"/>
        <v>0</v>
      </c>
      <c r="JJO64" s="857">
        <f t="shared" si="151"/>
        <v>0</v>
      </c>
      <c r="JJP64" s="857">
        <f t="shared" si="151"/>
        <v>0</v>
      </c>
      <c r="JJQ64" s="857">
        <f t="shared" si="151"/>
        <v>0</v>
      </c>
      <c r="JJR64" s="857">
        <f t="shared" si="151"/>
        <v>0</v>
      </c>
      <c r="JJS64" s="857">
        <f t="shared" si="151"/>
        <v>0</v>
      </c>
      <c r="JJT64" s="857">
        <f t="shared" si="151"/>
        <v>0</v>
      </c>
      <c r="JJU64" s="857">
        <f t="shared" si="151"/>
        <v>0</v>
      </c>
      <c r="JJV64" s="857">
        <f t="shared" si="151"/>
        <v>0</v>
      </c>
      <c r="JJW64" s="857">
        <f t="shared" si="151"/>
        <v>0</v>
      </c>
      <c r="JJX64" s="857">
        <f t="shared" si="151"/>
        <v>0</v>
      </c>
      <c r="JJY64" s="857">
        <f t="shared" si="151"/>
        <v>0</v>
      </c>
      <c r="JJZ64" s="857">
        <f t="shared" ref="JJZ64:JMK64" si="152">(JJZ57-JJZ59)*$C$64</f>
        <v>0</v>
      </c>
      <c r="JKA64" s="857">
        <f t="shared" si="152"/>
        <v>0</v>
      </c>
      <c r="JKB64" s="857">
        <f t="shared" si="152"/>
        <v>0</v>
      </c>
      <c r="JKC64" s="857">
        <f t="shared" si="152"/>
        <v>0</v>
      </c>
      <c r="JKD64" s="857">
        <f t="shared" si="152"/>
        <v>0</v>
      </c>
      <c r="JKE64" s="857">
        <f t="shared" si="152"/>
        <v>0</v>
      </c>
      <c r="JKF64" s="857">
        <f t="shared" si="152"/>
        <v>0</v>
      </c>
      <c r="JKG64" s="857">
        <f t="shared" si="152"/>
        <v>0</v>
      </c>
      <c r="JKH64" s="857">
        <f t="shared" si="152"/>
        <v>0</v>
      </c>
      <c r="JKI64" s="857">
        <f t="shared" si="152"/>
        <v>0</v>
      </c>
      <c r="JKJ64" s="857">
        <f t="shared" si="152"/>
        <v>0</v>
      </c>
      <c r="JKK64" s="857">
        <f t="shared" si="152"/>
        <v>0</v>
      </c>
      <c r="JKL64" s="857">
        <f t="shared" si="152"/>
        <v>0</v>
      </c>
      <c r="JKM64" s="857">
        <f t="shared" si="152"/>
        <v>0</v>
      </c>
      <c r="JKN64" s="857">
        <f t="shared" si="152"/>
        <v>0</v>
      </c>
      <c r="JKO64" s="857">
        <f t="shared" si="152"/>
        <v>0</v>
      </c>
      <c r="JKP64" s="857">
        <f t="shared" si="152"/>
        <v>0</v>
      </c>
      <c r="JKQ64" s="857">
        <f t="shared" si="152"/>
        <v>0</v>
      </c>
      <c r="JKR64" s="857">
        <f t="shared" si="152"/>
        <v>0</v>
      </c>
      <c r="JKS64" s="857">
        <f t="shared" si="152"/>
        <v>0</v>
      </c>
      <c r="JKT64" s="857">
        <f t="shared" si="152"/>
        <v>0</v>
      </c>
      <c r="JKU64" s="857">
        <f t="shared" si="152"/>
        <v>0</v>
      </c>
      <c r="JKV64" s="857">
        <f t="shared" si="152"/>
        <v>0</v>
      </c>
      <c r="JKW64" s="857">
        <f t="shared" si="152"/>
        <v>0</v>
      </c>
      <c r="JKX64" s="857">
        <f t="shared" si="152"/>
        <v>0</v>
      </c>
      <c r="JKY64" s="857">
        <f t="shared" si="152"/>
        <v>0</v>
      </c>
      <c r="JKZ64" s="857">
        <f t="shared" si="152"/>
        <v>0</v>
      </c>
      <c r="JLA64" s="857">
        <f t="shared" si="152"/>
        <v>0</v>
      </c>
      <c r="JLB64" s="857">
        <f t="shared" si="152"/>
        <v>0</v>
      </c>
      <c r="JLC64" s="857">
        <f t="shared" si="152"/>
        <v>0</v>
      </c>
      <c r="JLD64" s="857">
        <f t="shared" si="152"/>
        <v>0</v>
      </c>
      <c r="JLE64" s="857">
        <f t="shared" si="152"/>
        <v>0</v>
      </c>
      <c r="JLF64" s="857">
        <f t="shared" si="152"/>
        <v>0</v>
      </c>
      <c r="JLG64" s="857">
        <f t="shared" si="152"/>
        <v>0</v>
      </c>
      <c r="JLH64" s="857">
        <f t="shared" si="152"/>
        <v>0</v>
      </c>
      <c r="JLI64" s="857">
        <f t="shared" si="152"/>
        <v>0</v>
      </c>
      <c r="JLJ64" s="857">
        <f t="shared" si="152"/>
        <v>0</v>
      </c>
      <c r="JLK64" s="857">
        <f t="shared" si="152"/>
        <v>0</v>
      </c>
      <c r="JLL64" s="857">
        <f t="shared" si="152"/>
        <v>0</v>
      </c>
      <c r="JLM64" s="857">
        <f t="shared" si="152"/>
        <v>0</v>
      </c>
      <c r="JLN64" s="857">
        <f t="shared" si="152"/>
        <v>0</v>
      </c>
      <c r="JLO64" s="857">
        <f t="shared" si="152"/>
        <v>0</v>
      </c>
      <c r="JLP64" s="857">
        <f t="shared" si="152"/>
        <v>0</v>
      </c>
      <c r="JLQ64" s="857">
        <f t="shared" si="152"/>
        <v>0</v>
      </c>
      <c r="JLR64" s="857">
        <f t="shared" si="152"/>
        <v>0</v>
      </c>
      <c r="JLS64" s="857">
        <f t="shared" si="152"/>
        <v>0</v>
      </c>
      <c r="JLT64" s="857">
        <f t="shared" si="152"/>
        <v>0</v>
      </c>
      <c r="JLU64" s="857">
        <f t="shared" si="152"/>
        <v>0</v>
      </c>
      <c r="JLV64" s="857">
        <f t="shared" si="152"/>
        <v>0</v>
      </c>
      <c r="JLW64" s="857">
        <f t="shared" si="152"/>
        <v>0</v>
      </c>
      <c r="JLX64" s="857">
        <f t="shared" si="152"/>
        <v>0</v>
      </c>
      <c r="JLY64" s="857">
        <f t="shared" si="152"/>
        <v>0</v>
      </c>
      <c r="JLZ64" s="857">
        <f t="shared" si="152"/>
        <v>0</v>
      </c>
      <c r="JMA64" s="857">
        <f t="shared" si="152"/>
        <v>0</v>
      </c>
      <c r="JMB64" s="857">
        <f t="shared" si="152"/>
        <v>0</v>
      </c>
      <c r="JMC64" s="857">
        <f t="shared" si="152"/>
        <v>0</v>
      </c>
      <c r="JMD64" s="857">
        <f t="shared" si="152"/>
        <v>0</v>
      </c>
      <c r="JME64" s="857">
        <f t="shared" si="152"/>
        <v>0</v>
      </c>
      <c r="JMF64" s="857">
        <f t="shared" si="152"/>
        <v>0</v>
      </c>
      <c r="JMG64" s="857">
        <f t="shared" si="152"/>
        <v>0</v>
      </c>
      <c r="JMH64" s="857">
        <f t="shared" si="152"/>
        <v>0</v>
      </c>
      <c r="JMI64" s="857">
        <f t="shared" si="152"/>
        <v>0</v>
      </c>
      <c r="JMJ64" s="857">
        <f t="shared" si="152"/>
        <v>0</v>
      </c>
      <c r="JMK64" s="857">
        <f t="shared" si="152"/>
        <v>0</v>
      </c>
      <c r="JML64" s="857">
        <f t="shared" ref="JML64:JOW64" si="153">(JML57-JML59)*$C$64</f>
        <v>0</v>
      </c>
      <c r="JMM64" s="857">
        <f t="shared" si="153"/>
        <v>0</v>
      </c>
      <c r="JMN64" s="857">
        <f t="shared" si="153"/>
        <v>0</v>
      </c>
      <c r="JMO64" s="857">
        <f t="shared" si="153"/>
        <v>0</v>
      </c>
      <c r="JMP64" s="857">
        <f t="shared" si="153"/>
        <v>0</v>
      </c>
      <c r="JMQ64" s="857">
        <f t="shared" si="153"/>
        <v>0</v>
      </c>
      <c r="JMR64" s="857">
        <f t="shared" si="153"/>
        <v>0</v>
      </c>
      <c r="JMS64" s="857">
        <f t="shared" si="153"/>
        <v>0</v>
      </c>
      <c r="JMT64" s="857">
        <f t="shared" si="153"/>
        <v>0</v>
      </c>
      <c r="JMU64" s="857">
        <f t="shared" si="153"/>
        <v>0</v>
      </c>
      <c r="JMV64" s="857">
        <f t="shared" si="153"/>
        <v>0</v>
      </c>
      <c r="JMW64" s="857">
        <f t="shared" si="153"/>
        <v>0</v>
      </c>
      <c r="JMX64" s="857">
        <f t="shared" si="153"/>
        <v>0</v>
      </c>
      <c r="JMY64" s="857">
        <f t="shared" si="153"/>
        <v>0</v>
      </c>
      <c r="JMZ64" s="857">
        <f t="shared" si="153"/>
        <v>0</v>
      </c>
      <c r="JNA64" s="857">
        <f t="shared" si="153"/>
        <v>0</v>
      </c>
      <c r="JNB64" s="857">
        <f t="shared" si="153"/>
        <v>0</v>
      </c>
      <c r="JNC64" s="857">
        <f t="shared" si="153"/>
        <v>0</v>
      </c>
      <c r="JND64" s="857">
        <f t="shared" si="153"/>
        <v>0</v>
      </c>
      <c r="JNE64" s="857">
        <f t="shared" si="153"/>
        <v>0</v>
      </c>
      <c r="JNF64" s="857">
        <f t="shared" si="153"/>
        <v>0</v>
      </c>
      <c r="JNG64" s="857">
        <f t="shared" si="153"/>
        <v>0</v>
      </c>
      <c r="JNH64" s="857">
        <f t="shared" si="153"/>
        <v>0</v>
      </c>
      <c r="JNI64" s="857">
        <f t="shared" si="153"/>
        <v>0</v>
      </c>
      <c r="JNJ64" s="857">
        <f t="shared" si="153"/>
        <v>0</v>
      </c>
      <c r="JNK64" s="857">
        <f t="shared" si="153"/>
        <v>0</v>
      </c>
      <c r="JNL64" s="857">
        <f t="shared" si="153"/>
        <v>0</v>
      </c>
      <c r="JNM64" s="857">
        <f t="shared" si="153"/>
        <v>0</v>
      </c>
      <c r="JNN64" s="857">
        <f t="shared" si="153"/>
        <v>0</v>
      </c>
      <c r="JNO64" s="857">
        <f t="shared" si="153"/>
        <v>0</v>
      </c>
      <c r="JNP64" s="857">
        <f t="shared" si="153"/>
        <v>0</v>
      </c>
      <c r="JNQ64" s="857">
        <f t="shared" si="153"/>
        <v>0</v>
      </c>
      <c r="JNR64" s="857">
        <f t="shared" si="153"/>
        <v>0</v>
      </c>
      <c r="JNS64" s="857">
        <f t="shared" si="153"/>
        <v>0</v>
      </c>
      <c r="JNT64" s="857">
        <f t="shared" si="153"/>
        <v>0</v>
      </c>
      <c r="JNU64" s="857">
        <f t="shared" si="153"/>
        <v>0</v>
      </c>
      <c r="JNV64" s="857">
        <f t="shared" si="153"/>
        <v>0</v>
      </c>
      <c r="JNW64" s="857">
        <f t="shared" si="153"/>
        <v>0</v>
      </c>
      <c r="JNX64" s="857">
        <f t="shared" si="153"/>
        <v>0</v>
      </c>
      <c r="JNY64" s="857">
        <f t="shared" si="153"/>
        <v>0</v>
      </c>
      <c r="JNZ64" s="857">
        <f t="shared" si="153"/>
        <v>0</v>
      </c>
      <c r="JOA64" s="857">
        <f t="shared" si="153"/>
        <v>0</v>
      </c>
      <c r="JOB64" s="857">
        <f t="shared" si="153"/>
        <v>0</v>
      </c>
      <c r="JOC64" s="857">
        <f t="shared" si="153"/>
        <v>0</v>
      </c>
      <c r="JOD64" s="857">
        <f t="shared" si="153"/>
        <v>0</v>
      </c>
      <c r="JOE64" s="857">
        <f t="shared" si="153"/>
        <v>0</v>
      </c>
      <c r="JOF64" s="857">
        <f t="shared" si="153"/>
        <v>0</v>
      </c>
      <c r="JOG64" s="857">
        <f t="shared" si="153"/>
        <v>0</v>
      </c>
      <c r="JOH64" s="857">
        <f t="shared" si="153"/>
        <v>0</v>
      </c>
      <c r="JOI64" s="857">
        <f t="shared" si="153"/>
        <v>0</v>
      </c>
      <c r="JOJ64" s="857">
        <f t="shared" si="153"/>
        <v>0</v>
      </c>
      <c r="JOK64" s="857">
        <f t="shared" si="153"/>
        <v>0</v>
      </c>
      <c r="JOL64" s="857">
        <f t="shared" si="153"/>
        <v>0</v>
      </c>
      <c r="JOM64" s="857">
        <f t="shared" si="153"/>
        <v>0</v>
      </c>
      <c r="JON64" s="857">
        <f t="shared" si="153"/>
        <v>0</v>
      </c>
      <c r="JOO64" s="857">
        <f t="shared" si="153"/>
        <v>0</v>
      </c>
      <c r="JOP64" s="857">
        <f t="shared" si="153"/>
        <v>0</v>
      </c>
      <c r="JOQ64" s="857">
        <f t="shared" si="153"/>
        <v>0</v>
      </c>
      <c r="JOR64" s="857">
        <f t="shared" si="153"/>
        <v>0</v>
      </c>
      <c r="JOS64" s="857">
        <f t="shared" si="153"/>
        <v>0</v>
      </c>
      <c r="JOT64" s="857">
        <f t="shared" si="153"/>
        <v>0</v>
      </c>
      <c r="JOU64" s="857">
        <f t="shared" si="153"/>
        <v>0</v>
      </c>
      <c r="JOV64" s="857">
        <f t="shared" si="153"/>
        <v>0</v>
      </c>
      <c r="JOW64" s="857">
        <f t="shared" si="153"/>
        <v>0</v>
      </c>
      <c r="JOX64" s="857">
        <f t="shared" ref="JOX64:JRI64" si="154">(JOX57-JOX59)*$C$64</f>
        <v>0</v>
      </c>
      <c r="JOY64" s="857">
        <f t="shared" si="154"/>
        <v>0</v>
      </c>
      <c r="JOZ64" s="857">
        <f t="shared" si="154"/>
        <v>0</v>
      </c>
      <c r="JPA64" s="857">
        <f t="shared" si="154"/>
        <v>0</v>
      </c>
      <c r="JPB64" s="857">
        <f t="shared" si="154"/>
        <v>0</v>
      </c>
      <c r="JPC64" s="857">
        <f t="shared" si="154"/>
        <v>0</v>
      </c>
      <c r="JPD64" s="857">
        <f t="shared" si="154"/>
        <v>0</v>
      </c>
      <c r="JPE64" s="857">
        <f t="shared" si="154"/>
        <v>0</v>
      </c>
      <c r="JPF64" s="857">
        <f t="shared" si="154"/>
        <v>0</v>
      </c>
      <c r="JPG64" s="857">
        <f t="shared" si="154"/>
        <v>0</v>
      </c>
      <c r="JPH64" s="857">
        <f t="shared" si="154"/>
        <v>0</v>
      </c>
      <c r="JPI64" s="857">
        <f t="shared" si="154"/>
        <v>0</v>
      </c>
      <c r="JPJ64" s="857">
        <f t="shared" si="154"/>
        <v>0</v>
      </c>
      <c r="JPK64" s="857">
        <f t="shared" si="154"/>
        <v>0</v>
      </c>
      <c r="JPL64" s="857">
        <f t="shared" si="154"/>
        <v>0</v>
      </c>
      <c r="JPM64" s="857">
        <f t="shared" si="154"/>
        <v>0</v>
      </c>
      <c r="JPN64" s="857">
        <f t="shared" si="154"/>
        <v>0</v>
      </c>
      <c r="JPO64" s="857">
        <f t="shared" si="154"/>
        <v>0</v>
      </c>
      <c r="JPP64" s="857">
        <f t="shared" si="154"/>
        <v>0</v>
      </c>
      <c r="JPQ64" s="857">
        <f t="shared" si="154"/>
        <v>0</v>
      </c>
      <c r="JPR64" s="857">
        <f t="shared" si="154"/>
        <v>0</v>
      </c>
      <c r="JPS64" s="857">
        <f t="shared" si="154"/>
        <v>0</v>
      </c>
      <c r="JPT64" s="857">
        <f t="shared" si="154"/>
        <v>0</v>
      </c>
      <c r="JPU64" s="857">
        <f t="shared" si="154"/>
        <v>0</v>
      </c>
      <c r="JPV64" s="857">
        <f t="shared" si="154"/>
        <v>0</v>
      </c>
      <c r="JPW64" s="857">
        <f t="shared" si="154"/>
        <v>0</v>
      </c>
      <c r="JPX64" s="857">
        <f t="shared" si="154"/>
        <v>0</v>
      </c>
      <c r="JPY64" s="857">
        <f t="shared" si="154"/>
        <v>0</v>
      </c>
      <c r="JPZ64" s="857">
        <f t="shared" si="154"/>
        <v>0</v>
      </c>
      <c r="JQA64" s="857">
        <f t="shared" si="154"/>
        <v>0</v>
      </c>
      <c r="JQB64" s="857">
        <f t="shared" si="154"/>
        <v>0</v>
      </c>
      <c r="JQC64" s="857">
        <f t="shared" si="154"/>
        <v>0</v>
      </c>
      <c r="JQD64" s="857">
        <f t="shared" si="154"/>
        <v>0</v>
      </c>
      <c r="JQE64" s="857">
        <f t="shared" si="154"/>
        <v>0</v>
      </c>
      <c r="JQF64" s="857">
        <f t="shared" si="154"/>
        <v>0</v>
      </c>
      <c r="JQG64" s="857">
        <f t="shared" si="154"/>
        <v>0</v>
      </c>
      <c r="JQH64" s="857">
        <f t="shared" si="154"/>
        <v>0</v>
      </c>
      <c r="JQI64" s="857">
        <f t="shared" si="154"/>
        <v>0</v>
      </c>
      <c r="JQJ64" s="857">
        <f t="shared" si="154"/>
        <v>0</v>
      </c>
      <c r="JQK64" s="857">
        <f t="shared" si="154"/>
        <v>0</v>
      </c>
      <c r="JQL64" s="857">
        <f t="shared" si="154"/>
        <v>0</v>
      </c>
      <c r="JQM64" s="857">
        <f t="shared" si="154"/>
        <v>0</v>
      </c>
      <c r="JQN64" s="857">
        <f t="shared" si="154"/>
        <v>0</v>
      </c>
      <c r="JQO64" s="857">
        <f t="shared" si="154"/>
        <v>0</v>
      </c>
      <c r="JQP64" s="857">
        <f t="shared" si="154"/>
        <v>0</v>
      </c>
      <c r="JQQ64" s="857">
        <f t="shared" si="154"/>
        <v>0</v>
      </c>
      <c r="JQR64" s="857">
        <f t="shared" si="154"/>
        <v>0</v>
      </c>
      <c r="JQS64" s="857">
        <f t="shared" si="154"/>
        <v>0</v>
      </c>
      <c r="JQT64" s="857">
        <f t="shared" si="154"/>
        <v>0</v>
      </c>
      <c r="JQU64" s="857">
        <f t="shared" si="154"/>
        <v>0</v>
      </c>
      <c r="JQV64" s="857">
        <f t="shared" si="154"/>
        <v>0</v>
      </c>
      <c r="JQW64" s="857">
        <f t="shared" si="154"/>
        <v>0</v>
      </c>
      <c r="JQX64" s="857">
        <f t="shared" si="154"/>
        <v>0</v>
      </c>
      <c r="JQY64" s="857">
        <f t="shared" si="154"/>
        <v>0</v>
      </c>
      <c r="JQZ64" s="857">
        <f t="shared" si="154"/>
        <v>0</v>
      </c>
      <c r="JRA64" s="857">
        <f t="shared" si="154"/>
        <v>0</v>
      </c>
      <c r="JRB64" s="857">
        <f t="shared" si="154"/>
        <v>0</v>
      </c>
      <c r="JRC64" s="857">
        <f t="shared" si="154"/>
        <v>0</v>
      </c>
      <c r="JRD64" s="857">
        <f t="shared" si="154"/>
        <v>0</v>
      </c>
      <c r="JRE64" s="857">
        <f t="shared" si="154"/>
        <v>0</v>
      </c>
      <c r="JRF64" s="857">
        <f t="shared" si="154"/>
        <v>0</v>
      </c>
      <c r="JRG64" s="857">
        <f t="shared" si="154"/>
        <v>0</v>
      </c>
      <c r="JRH64" s="857">
        <f t="shared" si="154"/>
        <v>0</v>
      </c>
      <c r="JRI64" s="857">
        <f t="shared" si="154"/>
        <v>0</v>
      </c>
      <c r="JRJ64" s="857">
        <f t="shared" ref="JRJ64:JTU64" si="155">(JRJ57-JRJ59)*$C$64</f>
        <v>0</v>
      </c>
      <c r="JRK64" s="857">
        <f t="shared" si="155"/>
        <v>0</v>
      </c>
      <c r="JRL64" s="857">
        <f t="shared" si="155"/>
        <v>0</v>
      </c>
      <c r="JRM64" s="857">
        <f t="shared" si="155"/>
        <v>0</v>
      </c>
      <c r="JRN64" s="857">
        <f t="shared" si="155"/>
        <v>0</v>
      </c>
      <c r="JRO64" s="857">
        <f t="shared" si="155"/>
        <v>0</v>
      </c>
      <c r="JRP64" s="857">
        <f t="shared" si="155"/>
        <v>0</v>
      </c>
      <c r="JRQ64" s="857">
        <f t="shared" si="155"/>
        <v>0</v>
      </c>
      <c r="JRR64" s="857">
        <f t="shared" si="155"/>
        <v>0</v>
      </c>
      <c r="JRS64" s="857">
        <f t="shared" si="155"/>
        <v>0</v>
      </c>
      <c r="JRT64" s="857">
        <f t="shared" si="155"/>
        <v>0</v>
      </c>
      <c r="JRU64" s="857">
        <f t="shared" si="155"/>
        <v>0</v>
      </c>
      <c r="JRV64" s="857">
        <f t="shared" si="155"/>
        <v>0</v>
      </c>
      <c r="JRW64" s="857">
        <f t="shared" si="155"/>
        <v>0</v>
      </c>
      <c r="JRX64" s="857">
        <f t="shared" si="155"/>
        <v>0</v>
      </c>
      <c r="JRY64" s="857">
        <f t="shared" si="155"/>
        <v>0</v>
      </c>
      <c r="JRZ64" s="857">
        <f t="shared" si="155"/>
        <v>0</v>
      </c>
      <c r="JSA64" s="857">
        <f t="shared" si="155"/>
        <v>0</v>
      </c>
      <c r="JSB64" s="857">
        <f t="shared" si="155"/>
        <v>0</v>
      </c>
      <c r="JSC64" s="857">
        <f t="shared" si="155"/>
        <v>0</v>
      </c>
      <c r="JSD64" s="857">
        <f t="shared" si="155"/>
        <v>0</v>
      </c>
      <c r="JSE64" s="857">
        <f t="shared" si="155"/>
        <v>0</v>
      </c>
      <c r="JSF64" s="857">
        <f t="shared" si="155"/>
        <v>0</v>
      </c>
      <c r="JSG64" s="857">
        <f t="shared" si="155"/>
        <v>0</v>
      </c>
      <c r="JSH64" s="857">
        <f t="shared" si="155"/>
        <v>0</v>
      </c>
      <c r="JSI64" s="857">
        <f t="shared" si="155"/>
        <v>0</v>
      </c>
      <c r="JSJ64" s="857">
        <f t="shared" si="155"/>
        <v>0</v>
      </c>
      <c r="JSK64" s="857">
        <f t="shared" si="155"/>
        <v>0</v>
      </c>
      <c r="JSL64" s="857">
        <f t="shared" si="155"/>
        <v>0</v>
      </c>
      <c r="JSM64" s="857">
        <f t="shared" si="155"/>
        <v>0</v>
      </c>
      <c r="JSN64" s="857">
        <f t="shared" si="155"/>
        <v>0</v>
      </c>
      <c r="JSO64" s="857">
        <f t="shared" si="155"/>
        <v>0</v>
      </c>
      <c r="JSP64" s="857">
        <f t="shared" si="155"/>
        <v>0</v>
      </c>
      <c r="JSQ64" s="857">
        <f t="shared" si="155"/>
        <v>0</v>
      </c>
      <c r="JSR64" s="857">
        <f t="shared" si="155"/>
        <v>0</v>
      </c>
      <c r="JSS64" s="857">
        <f t="shared" si="155"/>
        <v>0</v>
      </c>
      <c r="JST64" s="857">
        <f t="shared" si="155"/>
        <v>0</v>
      </c>
      <c r="JSU64" s="857">
        <f t="shared" si="155"/>
        <v>0</v>
      </c>
      <c r="JSV64" s="857">
        <f t="shared" si="155"/>
        <v>0</v>
      </c>
      <c r="JSW64" s="857">
        <f t="shared" si="155"/>
        <v>0</v>
      </c>
      <c r="JSX64" s="857">
        <f t="shared" si="155"/>
        <v>0</v>
      </c>
      <c r="JSY64" s="857">
        <f t="shared" si="155"/>
        <v>0</v>
      </c>
      <c r="JSZ64" s="857">
        <f t="shared" si="155"/>
        <v>0</v>
      </c>
      <c r="JTA64" s="857">
        <f t="shared" si="155"/>
        <v>0</v>
      </c>
      <c r="JTB64" s="857">
        <f t="shared" si="155"/>
        <v>0</v>
      </c>
      <c r="JTC64" s="857">
        <f t="shared" si="155"/>
        <v>0</v>
      </c>
      <c r="JTD64" s="857">
        <f t="shared" si="155"/>
        <v>0</v>
      </c>
      <c r="JTE64" s="857">
        <f t="shared" si="155"/>
        <v>0</v>
      </c>
      <c r="JTF64" s="857">
        <f t="shared" si="155"/>
        <v>0</v>
      </c>
      <c r="JTG64" s="857">
        <f t="shared" si="155"/>
        <v>0</v>
      </c>
      <c r="JTH64" s="857">
        <f t="shared" si="155"/>
        <v>0</v>
      </c>
      <c r="JTI64" s="857">
        <f t="shared" si="155"/>
        <v>0</v>
      </c>
      <c r="JTJ64" s="857">
        <f t="shared" si="155"/>
        <v>0</v>
      </c>
      <c r="JTK64" s="857">
        <f t="shared" si="155"/>
        <v>0</v>
      </c>
      <c r="JTL64" s="857">
        <f t="shared" si="155"/>
        <v>0</v>
      </c>
      <c r="JTM64" s="857">
        <f t="shared" si="155"/>
        <v>0</v>
      </c>
      <c r="JTN64" s="857">
        <f t="shared" si="155"/>
        <v>0</v>
      </c>
      <c r="JTO64" s="857">
        <f t="shared" si="155"/>
        <v>0</v>
      </c>
      <c r="JTP64" s="857">
        <f t="shared" si="155"/>
        <v>0</v>
      </c>
      <c r="JTQ64" s="857">
        <f t="shared" si="155"/>
        <v>0</v>
      </c>
      <c r="JTR64" s="857">
        <f t="shared" si="155"/>
        <v>0</v>
      </c>
      <c r="JTS64" s="857">
        <f t="shared" si="155"/>
        <v>0</v>
      </c>
      <c r="JTT64" s="857">
        <f t="shared" si="155"/>
        <v>0</v>
      </c>
      <c r="JTU64" s="857">
        <f t="shared" si="155"/>
        <v>0</v>
      </c>
      <c r="JTV64" s="857">
        <f t="shared" ref="JTV64:JWG64" si="156">(JTV57-JTV59)*$C$64</f>
        <v>0</v>
      </c>
      <c r="JTW64" s="857">
        <f t="shared" si="156"/>
        <v>0</v>
      </c>
      <c r="JTX64" s="857">
        <f t="shared" si="156"/>
        <v>0</v>
      </c>
      <c r="JTY64" s="857">
        <f t="shared" si="156"/>
        <v>0</v>
      </c>
      <c r="JTZ64" s="857">
        <f t="shared" si="156"/>
        <v>0</v>
      </c>
      <c r="JUA64" s="857">
        <f t="shared" si="156"/>
        <v>0</v>
      </c>
      <c r="JUB64" s="857">
        <f t="shared" si="156"/>
        <v>0</v>
      </c>
      <c r="JUC64" s="857">
        <f t="shared" si="156"/>
        <v>0</v>
      </c>
      <c r="JUD64" s="857">
        <f t="shared" si="156"/>
        <v>0</v>
      </c>
      <c r="JUE64" s="857">
        <f t="shared" si="156"/>
        <v>0</v>
      </c>
      <c r="JUF64" s="857">
        <f t="shared" si="156"/>
        <v>0</v>
      </c>
      <c r="JUG64" s="857">
        <f t="shared" si="156"/>
        <v>0</v>
      </c>
      <c r="JUH64" s="857">
        <f t="shared" si="156"/>
        <v>0</v>
      </c>
      <c r="JUI64" s="857">
        <f t="shared" si="156"/>
        <v>0</v>
      </c>
      <c r="JUJ64" s="857">
        <f t="shared" si="156"/>
        <v>0</v>
      </c>
      <c r="JUK64" s="857">
        <f t="shared" si="156"/>
        <v>0</v>
      </c>
      <c r="JUL64" s="857">
        <f t="shared" si="156"/>
        <v>0</v>
      </c>
      <c r="JUM64" s="857">
        <f t="shared" si="156"/>
        <v>0</v>
      </c>
      <c r="JUN64" s="857">
        <f t="shared" si="156"/>
        <v>0</v>
      </c>
      <c r="JUO64" s="857">
        <f t="shared" si="156"/>
        <v>0</v>
      </c>
      <c r="JUP64" s="857">
        <f t="shared" si="156"/>
        <v>0</v>
      </c>
      <c r="JUQ64" s="857">
        <f t="shared" si="156"/>
        <v>0</v>
      </c>
      <c r="JUR64" s="857">
        <f t="shared" si="156"/>
        <v>0</v>
      </c>
      <c r="JUS64" s="857">
        <f t="shared" si="156"/>
        <v>0</v>
      </c>
      <c r="JUT64" s="857">
        <f t="shared" si="156"/>
        <v>0</v>
      </c>
      <c r="JUU64" s="857">
        <f t="shared" si="156"/>
        <v>0</v>
      </c>
      <c r="JUV64" s="857">
        <f t="shared" si="156"/>
        <v>0</v>
      </c>
      <c r="JUW64" s="857">
        <f t="shared" si="156"/>
        <v>0</v>
      </c>
      <c r="JUX64" s="857">
        <f t="shared" si="156"/>
        <v>0</v>
      </c>
      <c r="JUY64" s="857">
        <f t="shared" si="156"/>
        <v>0</v>
      </c>
      <c r="JUZ64" s="857">
        <f t="shared" si="156"/>
        <v>0</v>
      </c>
      <c r="JVA64" s="857">
        <f t="shared" si="156"/>
        <v>0</v>
      </c>
      <c r="JVB64" s="857">
        <f t="shared" si="156"/>
        <v>0</v>
      </c>
      <c r="JVC64" s="857">
        <f t="shared" si="156"/>
        <v>0</v>
      </c>
      <c r="JVD64" s="857">
        <f t="shared" si="156"/>
        <v>0</v>
      </c>
      <c r="JVE64" s="857">
        <f t="shared" si="156"/>
        <v>0</v>
      </c>
      <c r="JVF64" s="857">
        <f t="shared" si="156"/>
        <v>0</v>
      </c>
      <c r="JVG64" s="857">
        <f t="shared" si="156"/>
        <v>0</v>
      </c>
      <c r="JVH64" s="857">
        <f t="shared" si="156"/>
        <v>0</v>
      </c>
      <c r="JVI64" s="857">
        <f t="shared" si="156"/>
        <v>0</v>
      </c>
      <c r="JVJ64" s="857">
        <f t="shared" si="156"/>
        <v>0</v>
      </c>
      <c r="JVK64" s="857">
        <f t="shared" si="156"/>
        <v>0</v>
      </c>
      <c r="JVL64" s="857">
        <f t="shared" si="156"/>
        <v>0</v>
      </c>
      <c r="JVM64" s="857">
        <f t="shared" si="156"/>
        <v>0</v>
      </c>
      <c r="JVN64" s="857">
        <f t="shared" si="156"/>
        <v>0</v>
      </c>
      <c r="JVO64" s="857">
        <f t="shared" si="156"/>
        <v>0</v>
      </c>
      <c r="JVP64" s="857">
        <f t="shared" si="156"/>
        <v>0</v>
      </c>
      <c r="JVQ64" s="857">
        <f t="shared" si="156"/>
        <v>0</v>
      </c>
      <c r="JVR64" s="857">
        <f t="shared" si="156"/>
        <v>0</v>
      </c>
      <c r="JVS64" s="857">
        <f t="shared" si="156"/>
        <v>0</v>
      </c>
      <c r="JVT64" s="857">
        <f t="shared" si="156"/>
        <v>0</v>
      </c>
      <c r="JVU64" s="857">
        <f t="shared" si="156"/>
        <v>0</v>
      </c>
      <c r="JVV64" s="857">
        <f t="shared" si="156"/>
        <v>0</v>
      </c>
      <c r="JVW64" s="857">
        <f t="shared" si="156"/>
        <v>0</v>
      </c>
      <c r="JVX64" s="857">
        <f t="shared" si="156"/>
        <v>0</v>
      </c>
      <c r="JVY64" s="857">
        <f t="shared" si="156"/>
        <v>0</v>
      </c>
      <c r="JVZ64" s="857">
        <f t="shared" si="156"/>
        <v>0</v>
      </c>
      <c r="JWA64" s="857">
        <f t="shared" si="156"/>
        <v>0</v>
      </c>
      <c r="JWB64" s="857">
        <f t="shared" si="156"/>
        <v>0</v>
      </c>
      <c r="JWC64" s="857">
        <f t="shared" si="156"/>
        <v>0</v>
      </c>
      <c r="JWD64" s="857">
        <f t="shared" si="156"/>
        <v>0</v>
      </c>
      <c r="JWE64" s="857">
        <f t="shared" si="156"/>
        <v>0</v>
      </c>
      <c r="JWF64" s="857">
        <f t="shared" si="156"/>
        <v>0</v>
      </c>
      <c r="JWG64" s="857">
        <f t="shared" si="156"/>
        <v>0</v>
      </c>
      <c r="JWH64" s="857">
        <f t="shared" ref="JWH64:JYS64" si="157">(JWH57-JWH59)*$C$64</f>
        <v>0</v>
      </c>
      <c r="JWI64" s="857">
        <f t="shared" si="157"/>
        <v>0</v>
      </c>
      <c r="JWJ64" s="857">
        <f t="shared" si="157"/>
        <v>0</v>
      </c>
      <c r="JWK64" s="857">
        <f t="shared" si="157"/>
        <v>0</v>
      </c>
      <c r="JWL64" s="857">
        <f t="shared" si="157"/>
        <v>0</v>
      </c>
      <c r="JWM64" s="857">
        <f t="shared" si="157"/>
        <v>0</v>
      </c>
      <c r="JWN64" s="857">
        <f t="shared" si="157"/>
        <v>0</v>
      </c>
      <c r="JWO64" s="857">
        <f t="shared" si="157"/>
        <v>0</v>
      </c>
      <c r="JWP64" s="857">
        <f t="shared" si="157"/>
        <v>0</v>
      </c>
      <c r="JWQ64" s="857">
        <f t="shared" si="157"/>
        <v>0</v>
      </c>
      <c r="JWR64" s="857">
        <f t="shared" si="157"/>
        <v>0</v>
      </c>
      <c r="JWS64" s="857">
        <f t="shared" si="157"/>
        <v>0</v>
      </c>
      <c r="JWT64" s="857">
        <f t="shared" si="157"/>
        <v>0</v>
      </c>
      <c r="JWU64" s="857">
        <f t="shared" si="157"/>
        <v>0</v>
      </c>
      <c r="JWV64" s="857">
        <f t="shared" si="157"/>
        <v>0</v>
      </c>
      <c r="JWW64" s="857">
        <f t="shared" si="157"/>
        <v>0</v>
      </c>
      <c r="JWX64" s="857">
        <f t="shared" si="157"/>
        <v>0</v>
      </c>
      <c r="JWY64" s="857">
        <f t="shared" si="157"/>
        <v>0</v>
      </c>
      <c r="JWZ64" s="857">
        <f t="shared" si="157"/>
        <v>0</v>
      </c>
      <c r="JXA64" s="857">
        <f t="shared" si="157"/>
        <v>0</v>
      </c>
      <c r="JXB64" s="857">
        <f t="shared" si="157"/>
        <v>0</v>
      </c>
      <c r="JXC64" s="857">
        <f t="shared" si="157"/>
        <v>0</v>
      </c>
      <c r="JXD64" s="857">
        <f t="shared" si="157"/>
        <v>0</v>
      </c>
      <c r="JXE64" s="857">
        <f t="shared" si="157"/>
        <v>0</v>
      </c>
      <c r="JXF64" s="857">
        <f t="shared" si="157"/>
        <v>0</v>
      </c>
      <c r="JXG64" s="857">
        <f t="shared" si="157"/>
        <v>0</v>
      </c>
      <c r="JXH64" s="857">
        <f t="shared" si="157"/>
        <v>0</v>
      </c>
      <c r="JXI64" s="857">
        <f t="shared" si="157"/>
        <v>0</v>
      </c>
      <c r="JXJ64" s="857">
        <f t="shared" si="157"/>
        <v>0</v>
      </c>
      <c r="JXK64" s="857">
        <f t="shared" si="157"/>
        <v>0</v>
      </c>
      <c r="JXL64" s="857">
        <f t="shared" si="157"/>
        <v>0</v>
      </c>
      <c r="JXM64" s="857">
        <f t="shared" si="157"/>
        <v>0</v>
      </c>
      <c r="JXN64" s="857">
        <f t="shared" si="157"/>
        <v>0</v>
      </c>
      <c r="JXO64" s="857">
        <f t="shared" si="157"/>
        <v>0</v>
      </c>
      <c r="JXP64" s="857">
        <f t="shared" si="157"/>
        <v>0</v>
      </c>
      <c r="JXQ64" s="857">
        <f t="shared" si="157"/>
        <v>0</v>
      </c>
      <c r="JXR64" s="857">
        <f t="shared" si="157"/>
        <v>0</v>
      </c>
      <c r="JXS64" s="857">
        <f t="shared" si="157"/>
        <v>0</v>
      </c>
      <c r="JXT64" s="857">
        <f t="shared" si="157"/>
        <v>0</v>
      </c>
      <c r="JXU64" s="857">
        <f t="shared" si="157"/>
        <v>0</v>
      </c>
      <c r="JXV64" s="857">
        <f t="shared" si="157"/>
        <v>0</v>
      </c>
      <c r="JXW64" s="857">
        <f t="shared" si="157"/>
        <v>0</v>
      </c>
      <c r="JXX64" s="857">
        <f t="shared" si="157"/>
        <v>0</v>
      </c>
      <c r="JXY64" s="857">
        <f t="shared" si="157"/>
        <v>0</v>
      </c>
      <c r="JXZ64" s="857">
        <f t="shared" si="157"/>
        <v>0</v>
      </c>
      <c r="JYA64" s="857">
        <f t="shared" si="157"/>
        <v>0</v>
      </c>
      <c r="JYB64" s="857">
        <f t="shared" si="157"/>
        <v>0</v>
      </c>
      <c r="JYC64" s="857">
        <f t="shared" si="157"/>
        <v>0</v>
      </c>
      <c r="JYD64" s="857">
        <f t="shared" si="157"/>
        <v>0</v>
      </c>
      <c r="JYE64" s="857">
        <f t="shared" si="157"/>
        <v>0</v>
      </c>
      <c r="JYF64" s="857">
        <f t="shared" si="157"/>
        <v>0</v>
      </c>
      <c r="JYG64" s="857">
        <f t="shared" si="157"/>
        <v>0</v>
      </c>
      <c r="JYH64" s="857">
        <f t="shared" si="157"/>
        <v>0</v>
      </c>
      <c r="JYI64" s="857">
        <f t="shared" si="157"/>
        <v>0</v>
      </c>
      <c r="JYJ64" s="857">
        <f t="shared" si="157"/>
        <v>0</v>
      </c>
      <c r="JYK64" s="857">
        <f t="shared" si="157"/>
        <v>0</v>
      </c>
      <c r="JYL64" s="857">
        <f t="shared" si="157"/>
        <v>0</v>
      </c>
      <c r="JYM64" s="857">
        <f t="shared" si="157"/>
        <v>0</v>
      </c>
      <c r="JYN64" s="857">
        <f t="shared" si="157"/>
        <v>0</v>
      </c>
      <c r="JYO64" s="857">
        <f t="shared" si="157"/>
        <v>0</v>
      </c>
      <c r="JYP64" s="857">
        <f t="shared" si="157"/>
        <v>0</v>
      </c>
      <c r="JYQ64" s="857">
        <f t="shared" si="157"/>
        <v>0</v>
      </c>
      <c r="JYR64" s="857">
        <f t="shared" si="157"/>
        <v>0</v>
      </c>
      <c r="JYS64" s="857">
        <f t="shared" si="157"/>
        <v>0</v>
      </c>
      <c r="JYT64" s="857">
        <f t="shared" ref="JYT64:KBE64" si="158">(JYT57-JYT59)*$C$64</f>
        <v>0</v>
      </c>
      <c r="JYU64" s="857">
        <f t="shared" si="158"/>
        <v>0</v>
      </c>
      <c r="JYV64" s="857">
        <f t="shared" si="158"/>
        <v>0</v>
      </c>
      <c r="JYW64" s="857">
        <f t="shared" si="158"/>
        <v>0</v>
      </c>
      <c r="JYX64" s="857">
        <f t="shared" si="158"/>
        <v>0</v>
      </c>
      <c r="JYY64" s="857">
        <f t="shared" si="158"/>
        <v>0</v>
      </c>
      <c r="JYZ64" s="857">
        <f t="shared" si="158"/>
        <v>0</v>
      </c>
      <c r="JZA64" s="857">
        <f t="shared" si="158"/>
        <v>0</v>
      </c>
      <c r="JZB64" s="857">
        <f t="shared" si="158"/>
        <v>0</v>
      </c>
      <c r="JZC64" s="857">
        <f t="shared" si="158"/>
        <v>0</v>
      </c>
      <c r="JZD64" s="857">
        <f t="shared" si="158"/>
        <v>0</v>
      </c>
      <c r="JZE64" s="857">
        <f t="shared" si="158"/>
        <v>0</v>
      </c>
      <c r="JZF64" s="857">
        <f t="shared" si="158"/>
        <v>0</v>
      </c>
      <c r="JZG64" s="857">
        <f t="shared" si="158"/>
        <v>0</v>
      </c>
      <c r="JZH64" s="857">
        <f t="shared" si="158"/>
        <v>0</v>
      </c>
      <c r="JZI64" s="857">
        <f t="shared" si="158"/>
        <v>0</v>
      </c>
      <c r="JZJ64" s="857">
        <f t="shared" si="158"/>
        <v>0</v>
      </c>
      <c r="JZK64" s="857">
        <f t="shared" si="158"/>
        <v>0</v>
      </c>
      <c r="JZL64" s="857">
        <f t="shared" si="158"/>
        <v>0</v>
      </c>
      <c r="JZM64" s="857">
        <f t="shared" si="158"/>
        <v>0</v>
      </c>
      <c r="JZN64" s="857">
        <f t="shared" si="158"/>
        <v>0</v>
      </c>
      <c r="JZO64" s="857">
        <f t="shared" si="158"/>
        <v>0</v>
      </c>
      <c r="JZP64" s="857">
        <f t="shared" si="158"/>
        <v>0</v>
      </c>
      <c r="JZQ64" s="857">
        <f t="shared" si="158"/>
        <v>0</v>
      </c>
      <c r="JZR64" s="857">
        <f t="shared" si="158"/>
        <v>0</v>
      </c>
      <c r="JZS64" s="857">
        <f t="shared" si="158"/>
        <v>0</v>
      </c>
      <c r="JZT64" s="857">
        <f t="shared" si="158"/>
        <v>0</v>
      </c>
      <c r="JZU64" s="857">
        <f t="shared" si="158"/>
        <v>0</v>
      </c>
      <c r="JZV64" s="857">
        <f t="shared" si="158"/>
        <v>0</v>
      </c>
      <c r="JZW64" s="857">
        <f t="shared" si="158"/>
        <v>0</v>
      </c>
      <c r="JZX64" s="857">
        <f t="shared" si="158"/>
        <v>0</v>
      </c>
      <c r="JZY64" s="857">
        <f t="shared" si="158"/>
        <v>0</v>
      </c>
      <c r="JZZ64" s="857">
        <f t="shared" si="158"/>
        <v>0</v>
      </c>
      <c r="KAA64" s="857">
        <f t="shared" si="158"/>
        <v>0</v>
      </c>
      <c r="KAB64" s="857">
        <f t="shared" si="158"/>
        <v>0</v>
      </c>
      <c r="KAC64" s="857">
        <f t="shared" si="158"/>
        <v>0</v>
      </c>
      <c r="KAD64" s="857">
        <f t="shared" si="158"/>
        <v>0</v>
      </c>
      <c r="KAE64" s="857">
        <f t="shared" si="158"/>
        <v>0</v>
      </c>
      <c r="KAF64" s="857">
        <f t="shared" si="158"/>
        <v>0</v>
      </c>
      <c r="KAG64" s="857">
        <f t="shared" si="158"/>
        <v>0</v>
      </c>
      <c r="KAH64" s="857">
        <f t="shared" si="158"/>
        <v>0</v>
      </c>
      <c r="KAI64" s="857">
        <f t="shared" si="158"/>
        <v>0</v>
      </c>
      <c r="KAJ64" s="857">
        <f t="shared" si="158"/>
        <v>0</v>
      </c>
      <c r="KAK64" s="857">
        <f t="shared" si="158"/>
        <v>0</v>
      </c>
      <c r="KAL64" s="857">
        <f t="shared" si="158"/>
        <v>0</v>
      </c>
      <c r="KAM64" s="857">
        <f t="shared" si="158"/>
        <v>0</v>
      </c>
      <c r="KAN64" s="857">
        <f t="shared" si="158"/>
        <v>0</v>
      </c>
      <c r="KAO64" s="857">
        <f t="shared" si="158"/>
        <v>0</v>
      </c>
      <c r="KAP64" s="857">
        <f t="shared" si="158"/>
        <v>0</v>
      </c>
      <c r="KAQ64" s="857">
        <f t="shared" si="158"/>
        <v>0</v>
      </c>
      <c r="KAR64" s="857">
        <f t="shared" si="158"/>
        <v>0</v>
      </c>
      <c r="KAS64" s="857">
        <f t="shared" si="158"/>
        <v>0</v>
      </c>
      <c r="KAT64" s="857">
        <f t="shared" si="158"/>
        <v>0</v>
      </c>
      <c r="KAU64" s="857">
        <f t="shared" si="158"/>
        <v>0</v>
      </c>
      <c r="KAV64" s="857">
        <f t="shared" si="158"/>
        <v>0</v>
      </c>
      <c r="KAW64" s="857">
        <f t="shared" si="158"/>
        <v>0</v>
      </c>
      <c r="KAX64" s="857">
        <f t="shared" si="158"/>
        <v>0</v>
      </c>
      <c r="KAY64" s="857">
        <f t="shared" si="158"/>
        <v>0</v>
      </c>
      <c r="KAZ64" s="857">
        <f t="shared" si="158"/>
        <v>0</v>
      </c>
      <c r="KBA64" s="857">
        <f t="shared" si="158"/>
        <v>0</v>
      </c>
      <c r="KBB64" s="857">
        <f t="shared" si="158"/>
        <v>0</v>
      </c>
      <c r="KBC64" s="857">
        <f t="shared" si="158"/>
        <v>0</v>
      </c>
      <c r="KBD64" s="857">
        <f t="shared" si="158"/>
        <v>0</v>
      </c>
      <c r="KBE64" s="857">
        <f t="shared" si="158"/>
        <v>0</v>
      </c>
      <c r="KBF64" s="857">
        <f t="shared" ref="KBF64:KDQ64" si="159">(KBF57-KBF59)*$C$64</f>
        <v>0</v>
      </c>
      <c r="KBG64" s="857">
        <f t="shared" si="159"/>
        <v>0</v>
      </c>
      <c r="KBH64" s="857">
        <f t="shared" si="159"/>
        <v>0</v>
      </c>
      <c r="KBI64" s="857">
        <f t="shared" si="159"/>
        <v>0</v>
      </c>
      <c r="KBJ64" s="857">
        <f t="shared" si="159"/>
        <v>0</v>
      </c>
      <c r="KBK64" s="857">
        <f t="shared" si="159"/>
        <v>0</v>
      </c>
      <c r="KBL64" s="857">
        <f t="shared" si="159"/>
        <v>0</v>
      </c>
      <c r="KBM64" s="857">
        <f t="shared" si="159"/>
        <v>0</v>
      </c>
      <c r="KBN64" s="857">
        <f t="shared" si="159"/>
        <v>0</v>
      </c>
      <c r="KBO64" s="857">
        <f t="shared" si="159"/>
        <v>0</v>
      </c>
      <c r="KBP64" s="857">
        <f t="shared" si="159"/>
        <v>0</v>
      </c>
      <c r="KBQ64" s="857">
        <f t="shared" si="159"/>
        <v>0</v>
      </c>
      <c r="KBR64" s="857">
        <f t="shared" si="159"/>
        <v>0</v>
      </c>
      <c r="KBS64" s="857">
        <f t="shared" si="159"/>
        <v>0</v>
      </c>
      <c r="KBT64" s="857">
        <f t="shared" si="159"/>
        <v>0</v>
      </c>
      <c r="KBU64" s="857">
        <f t="shared" si="159"/>
        <v>0</v>
      </c>
      <c r="KBV64" s="857">
        <f t="shared" si="159"/>
        <v>0</v>
      </c>
      <c r="KBW64" s="857">
        <f t="shared" si="159"/>
        <v>0</v>
      </c>
      <c r="KBX64" s="857">
        <f t="shared" si="159"/>
        <v>0</v>
      </c>
      <c r="KBY64" s="857">
        <f t="shared" si="159"/>
        <v>0</v>
      </c>
      <c r="KBZ64" s="857">
        <f t="shared" si="159"/>
        <v>0</v>
      </c>
      <c r="KCA64" s="857">
        <f t="shared" si="159"/>
        <v>0</v>
      </c>
      <c r="KCB64" s="857">
        <f t="shared" si="159"/>
        <v>0</v>
      </c>
      <c r="KCC64" s="857">
        <f t="shared" si="159"/>
        <v>0</v>
      </c>
      <c r="KCD64" s="857">
        <f t="shared" si="159"/>
        <v>0</v>
      </c>
      <c r="KCE64" s="857">
        <f t="shared" si="159"/>
        <v>0</v>
      </c>
      <c r="KCF64" s="857">
        <f t="shared" si="159"/>
        <v>0</v>
      </c>
      <c r="KCG64" s="857">
        <f t="shared" si="159"/>
        <v>0</v>
      </c>
      <c r="KCH64" s="857">
        <f t="shared" si="159"/>
        <v>0</v>
      </c>
      <c r="KCI64" s="857">
        <f t="shared" si="159"/>
        <v>0</v>
      </c>
      <c r="KCJ64" s="857">
        <f t="shared" si="159"/>
        <v>0</v>
      </c>
      <c r="KCK64" s="857">
        <f t="shared" si="159"/>
        <v>0</v>
      </c>
      <c r="KCL64" s="857">
        <f t="shared" si="159"/>
        <v>0</v>
      </c>
      <c r="KCM64" s="857">
        <f t="shared" si="159"/>
        <v>0</v>
      </c>
      <c r="KCN64" s="857">
        <f t="shared" si="159"/>
        <v>0</v>
      </c>
      <c r="KCO64" s="857">
        <f t="shared" si="159"/>
        <v>0</v>
      </c>
      <c r="KCP64" s="857">
        <f t="shared" si="159"/>
        <v>0</v>
      </c>
      <c r="KCQ64" s="857">
        <f t="shared" si="159"/>
        <v>0</v>
      </c>
      <c r="KCR64" s="857">
        <f t="shared" si="159"/>
        <v>0</v>
      </c>
      <c r="KCS64" s="857">
        <f t="shared" si="159"/>
        <v>0</v>
      </c>
      <c r="KCT64" s="857">
        <f t="shared" si="159"/>
        <v>0</v>
      </c>
      <c r="KCU64" s="857">
        <f t="shared" si="159"/>
        <v>0</v>
      </c>
      <c r="KCV64" s="857">
        <f t="shared" si="159"/>
        <v>0</v>
      </c>
      <c r="KCW64" s="857">
        <f t="shared" si="159"/>
        <v>0</v>
      </c>
      <c r="KCX64" s="857">
        <f t="shared" si="159"/>
        <v>0</v>
      </c>
      <c r="KCY64" s="857">
        <f t="shared" si="159"/>
        <v>0</v>
      </c>
      <c r="KCZ64" s="857">
        <f t="shared" si="159"/>
        <v>0</v>
      </c>
      <c r="KDA64" s="857">
        <f t="shared" si="159"/>
        <v>0</v>
      </c>
      <c r="KDB64" s="857">
        <f t="shared" si="159"/>
        <v>0</v>
      </c>
      <c r="KDC64" s="857">
        <f t="shared" si="159"/>
        <v>0</v>
      </c>
      <c r="KDD64" s="857">
        <f t="shared" si="159"/>
        <v>0</v>
      </c>
      <c r="KDE64" s="857">
        <f t="shared" si="159"/>
        <v>0</v>
      </c>
      <c r="KDF64" s="857">
        <f t="shared" si="159"/>
        <v>0</v>
      </c>
      <c r="KDG64" s="857">
        <f t="shared" si="159"/>
        <v>0</v>
      </c>
      <c r="KDH64" s="857">
        <f t="shared" si="159"/>
        <v>0</v>
      </c>
      <c r="KDI64" s="857">
        <f t="shared" si="159"/>
        <v>0</v>
      </c>
      <c r="KDJ64" s="857">
        <f t="shared" si="159"/>
        <v>0</v>
      </c>
      <c r="KDK64" s="857">
        <f t="shared" si="159"/>
        <v>0</v>
      </c>
      <c r="KDL64" s="857">
        <f t="shared" si="159"/>
        <v>0</v>
      </c>
      <c r="KDM64" s="857">
        <f t="shared" si="159"/>
        <v>0</v>
      </c>
      <c r="KDN64" s="857">
        <f t="shared" si="159"/>
        <v>0</v>
      </c>
      <c r="KDO64" s="857">
        <f t="shared" si="159"/>
        <v>0</v>
      </c>
      <c r="KDP64" s="857">
        <f t="shared" si="159"/>
        <v>0</v>
      </c>
      <c r="KDQ64" s="857">
        <f t="shared" si="159"/>
        <v>0</v>
      </c>
      <c r="KDR64" s="857">
        <f t="shared" ref="KDR64:KGC64" si="160">(KDR57-KDR59)*$C$64</f>
        <v>0</v>
      </c>
      <c r="KDS64" s="857">
        <f t="shared" si="160"/>
        <v>0</v>
      </c>
      <c r="KDT64" s="857">
        <f t="shared" si="160"/>
        <v>0</v>
      </c>
      <c r="KDU64" s="857">
        <f t="shared" si="160"/>
        <v>0</v>
      </c>
      <c r="KDV64" s="857">
        <f t="shared" si="160"/>
        <v>0</v>
      </c>
      <c r="KDW64" s="857">
        <f t="shared" si="160"/>
        <v>0</v>
      </c>
      <c r="KDX64" s="857">
        <f t="shared" si="160"/>
        <v>0</v>
      </c>
      <c r="KDY64" s="857">
        <f t="shared" si="160"/>
        <v>0</v>
      </c>
      <c r="KDZ64" s="857">
        <f t="shared" si="160"/>
        <v>0</v>
      </c>
      <c r="KEA64" s="857">
        <f t="shared" si="160"/>
        <v>0</v>
      </c>
      <c r="KEB64" s="857">
        <f t="shared" si="160"/>
        <v>0</v>
      </c>
      <c r="KEC64" s="857">
        <f t="shared" si="160"/>
        <v>0</v>
      </c>
      <c r="KED64" s="857">
        <f t="shared" si="160"/>
        <v>0</v>
      </c>
      <c r="KEE64" s="857">
        <f t="shared" si="160"/>
        <v>0</v>
      </c>
      <c r="KEF64" s="857">
        <f t="shared" si="160"/>
        <v>0</v>
      </c>
      <c r="KEG64" s="857">
        <f t="shared" si="160"/>
        <v>0</v>
      </c>
      <c r="KEH64" s="857">
        <f t="shared" si="160"/>
        <v>0</v>
      </c>
      <c r="KEI64" s="857">
        <f t="shared" si="160"/>
        <v>0</v>
      </c>
      <c r="KEJ64" s="857">
        <f t="shared" si="160"/>
        <v>0</v>
      </c>
      <c r="KEK64" s="857">
        <f t="shared" si="160"/>
        <v>0</v>
      </c>
      <c r="KEL64" s="857">
        <f t="shared" si="160"/>
        <v>0</v>
      </c>
      <c r="KEM64" s="857">
        <f t="shared" si="160"/>
        <v>0</v>
      </c>
      <c r="KEN64" s="857">
        <f t="shared" si="160"/>
        <v>0</v>
      </c>
      <c r="KEO64" s="857">
        <f t="shared" si="160"/>
        <v>0</v>
      </c>
      <c r="KEP64" s="857">
        <f t="shared" si="160"/>
        <v>0</v>
      </c>
      <c r="KEQ64" s="857">
        <f t="shared" si="160"/>
        <v>0</v>
      </c>
      <c r="KER64" s="857">
        <f t="shared" si="160"/>
        <v>0</v>
      </c>
      <c r="KES64" s="857">
        <f t="shared" si="160"/>
        <v>0</v>
      </c>
      <c r="KET64" s="857">
        <f t="shared" si="160"/>
        <v>0</v>
      </c>
      <c r="KEU64" s="857">
        <f t="shared" si="160"/>
        <v>0</v>
      </c>
      <c r="KEV64" s="857">
        <f t="shared" si="160"/>
        <v>0</v>
      </c>
      <c r="KEW64" s="857">
        <f t="shared" si="160"/>
        <v>0</v>
      </c>
      <c r="KEX64" s="857">
        <f t="shared" si="160"/>
        <v>0</v>
      </c>
      <c r="KEY64" s="857">
        <f t="shared" si="160"/>
        <v>0</v>
      </c>
      <c r="KEZ64" s="857">
        <f t="shared" si="160"/>
        <v>0</v>
      </c>
      <c r="KFA64" s="857">
        <f t="shared" si="160"/>
        <v>0</v>
      </c>
      <c r="KFB64" s="857">
        <f t="shared" si="160"/>
        <v>0</v>
      </c>
      <c r="KFC64" s="857">
        <f t="shared" si="160"/>
        <v>0</v>
      </c>
      <c r="KFD64" s="857">
        <f t="shared" si="160"/>
        <v>0</v>
      </c>
      <c r="KFE64" s="857">
        <f t="shared" si="160"/>
        <v>0</v>
      </c>
      <c r="KFF64" s="857">
        <f t="shared" si="160"/>
        <v>0</v>
      </c>
      <c r="KFG64" s="857">
        <f t="shared" si="160"/>
        <v>0</v>
      </c>
      <c r="KFH64" s="857">
        <f t="shared" si="160"/>
        <v>0</v>
      </c>
      <c r="KFI64" s="857">
        <f t="shared" si="160"/>
        <v>0</v>
      </c>
      <c r="KFJ64" s="857">
        <f t="shared" si="160"/>
        <v>0</v>
      </c>
      <c r="KFK64" s="857">
        <f t="shared" si="160"/>
        <v>0</v>
      </c>
      <c r="KFL64" s="857">
        <f t="shared" si="160"/>
        <v>0</v>
      </c>
      <c r="KFM64" s="857">
        <f t="shared" si="160"/>
        <v>0</v>
      </c>
      <c r="KFN64" s="857">
        <f t="shared" si="160"/>
        <v>0</v>
      </c>
      <c r="KFO64" s="857">
        <f t="shared" si="160"/>
        <v>0</v>
      </c>
      <c r="KFP64" s="857">
        <f t="shared" si="160"/>
        <v>0</v>
      </c>
      <c r="KFQ64" s="857">
        <f t="shared" si="160"/>
        <v>0</v>
      </c>
      <c r="KFR64" s="857">
        <f t="shared" si="160"/>
        <v>0</v>
      </c>
      <c r="KFS64" s="857">
        <f t="shared" si="160"/>
        <v>0</v>
      </c>
      <c r="KFT64" s="857">
        <f t="shared" si="160"/>
        <v>0</v>
      </c>
      <c r="KFU64" s="857">
        <f t="shared" si="160"/>
        <v>0</v>
      </c>
      <c r="KFV64" s="857">
        <f t="shared" si="160"/>
        <v>0</v>
      </c>
      <c r="KFW64" s="857">
        <f t="shared" si="160"/>
        <v>0</v>
      </c>
      <c r="KFX64" s="857">
        <f t="shared" si="160"/>
        <v>0</v>
      </c>
      <c r="KFY64" s="857">
        <f t="shared" si="160"/>
        <v>0</v>
      </c>
      <c r="KFZ64" s="857">
        <f t="shared" si="160"/>
        <v>0</v>
      </c>
      <c r="KGA64" s="857">
        <f t="shared" si="160"/>
        <v>0</v>
      </c>
      <c r="KGB64" s="857">
        <f t="shared" si="160"/>
        <v>0</v>
      </c>
      <c r="KGC64" s="857">
        <f t="shared" si="160"/>
        <v>0</v>
      </c>
      <c r="KGD64" s="857">
        <f t="shared" ref="KGD64:KIO64" si="161">(KGD57-KGD59)*$C$64</f>
        <v>0</v>
      </c>
      <c r="KGE64" s="857">
        <f t="shared" si="161"/>
        <v>0</v>
      </c>
      <c r="KGF64" s="857">
        <f t="shared" si="161"/>
        <v>0</v>
      </c>
      <c r="KGG64" s="857">
        <f t="shared" si="161"/>
        <v>0</v>
      </c>
      <c r="KGH64" s="857">
        <f t="shared" si="161"/>
        <v>0</v>
      </c>
      <c r="KGI64" s="857">
        <f t="shared" si="161"/>
        <v>0</v>
      </c>
      <c r="KGJ64" s="857">
        <f t="shared" si="161"/>
        <v>0</v>
      </c>
      <c r="KGK64" s="857">
        <f t="shared" si="161"/>
        <v>0</v>
      </c>
      <c r="KGL64" s="857">
        <f t="shared" si="161"/>
        <v>0</v>
      </c>
      <c r="KGM64" s="857">
        <f t="shared" si="161"/>
        <v>0</v>
      </c>
      <c r="KGN64" s="857">
        <f t="shared" si="161"/>
        <v>0</v>
      </c>
      <c r="KGO64" s="857">
        <f t="shared" si="161"/>
        <v>0</v>
      </c>
      <c r="KGP64" s="857">
        <f t="shared" si="161"/>
        <v>0</v>
      </c>
      <c r="KGQ64" s="857">
        <f t="shared" si="161"/>
        <v>0</v>
      </c>
      <c r="KGR64" s="857">
        <f t="shared" si="161"/>
        <v>0</v>
      </c>
      <c r="KGS64" s="857">
        <f t="shared" si="161"/>
        <v>0</v>
      </c>
      <c r="KGT64" s="857">
        <f t="shared" si="161"/>
        <v>0</v>
      </c>
      <c r="KGU64" s="857">
        <f t="shared" si="161"/>
        <v>0</v>
      </c>
      <c r="KGV64" s="857">
        <f t="shared" si="161"/>
        <v>0</v>
      </c>
      <c r="KGW64" s="857">
        <f t="shared" si="161"/>
        <v>0</v>
      </c>
      <c r="KGX64" s="857">
        <f t="shared" si="161"/>
        <v>0</v>
      </c>
      <c r="KGY64" s="857">
        <f t="shared" si="161"/>
        <v>0</v>
      </c>
      <c r="KGZ64" s="857">
        <f t="shared" si="161"/>
        <v>0</v>
      </c>
      <c r="KHA64" s="857">
        <f t="shared" si="161"/>
        <v>0</v>
      </c>
      <c r="KHB64" s="857">
        <f t="shared" si="161"/>
        <v>0</v>
      </c>
      <c r="KHC64" s="857">
        <f t="shared" si="161"/>
        <v>0</v>
      </c>
      <c r="KHD64" s="857">
        <f t="shared" si="161"/>
        <v>0</v>
      </c>
      <c r="KHE64" s="857">
        <f t="shared" si="161"/>
        <v>0</v>
      </c>
      <c r="KHF64" s="857">
        <f t="shared" si="161"/>
        <v>0</v>
      </c>
      <c r="KHG64" s="857">
        <f t="shared" si="161"/>
        <v>0</v>
      </c>
      <c r="KHH64" s="857">
        <f t="shared" si="161"/>
        <v>0</v>
      </c>
      <c r="KHI64" s="857">
        <f t="shared" si="161"/>
        <v>0</v>
      </c>
      <c r="KHJ64" s="857">
        <f t="shared" si="161"/>
        <v>0</v>
      </c>
      <c r="KHK64" s="857">
        <f t="shared" si="161"/>
        <v>0</v>
      </c>
      <c r="KHL64" s="857">
        <f t="shared" si="161"/>
        <v>0</v>
      </c>
      <c r="KHM64" s="857">
        <f t="shared" si="161"/>
        <v>0</v>
      </c>
      <c r="KHN64" s="857">
        <f t="shared" si="161"/>
        <v>0</v>
      </c>
      <c r="KHO64" s="857">
        <f t="shared" si="161"/>
        <v>0</v>
      </c>
      <c r="KHP64" s="857">
        <f t="shared" si="161"/>
        <v>0</v>
      </c>
      <c r="KHQ64" s="857">
        <f t="shared" si="161"/>
        <v>0</v>
      </c>
      <c r="KHR64" s="857">
        <f t="shared" si="161"/>
        <v>0</v>
      </c>
      <c r="KHS64" s="857">
        <f t="shared" si="161"/>
        <v>0</v>
      </c>
      <c r="KHT64" s="857">
        <f t="shared" si="161"/>
        <v>0</v>
      </c>
      <c r="KHU64" s="857">
        <f t="shared" si="161"/>
        <v>0</v>
      </c>
      <c r="KHV64" s="857">
        <f t="shared" si="161"/>
        <v>0</v>
      </c>
      <c r="KHW64" s="857">
        <f t="shared" si="161"/>
        <v>0</v>
      </c>
      <c r="KHX64" s="857">
        <f t="shared" si="161"/>
        <v>0</v>
      </c>
      <c r="KHY64" s="857">
        <f t="shared" si="161"/>
        <v>0</v>
      </c>
      <c r="KHZ64" s="857">
        <f t="shared" si="161"/>
        <v>0</v>
      </c>
      <c r="KIA64" s="857">
        <f t="shared" si="161"/>
        <v>0</v>
      </c>
      <c r="KIB64" s="857">
        <f t="shared" si="161"/>
        <v>0</v>
      </c>
      <c r="KIC64" s="857">
        <f t="shared" si="161"/>
        <v>0</v>
      </c>
      <c r="KID64" s="857">
        <f t="shared" si="161"/>
        <v>0</v>
      </c>
      <c r="KIE64" s="857">
        <f t="shared" si="161"/>
        <v>0</v>
      </c>
      <c r="KIF64" s="857">
        <f t="shared" si="161"/>
        <v>0</v>
      </c>
      <c r="KIG64" s="857">
        <f t="shared" si="161"/>
        <v>0</v>
      </c>
      <c r="KIH64" s="857">
        <f t="shared" si="161"/>
        <v>0</v>
      </c>
      <c r="KII64" s="857">
        <f t="shared" si="161"/>
        <v>0</v>
      </c>
      <c r="KIJ64" s="857">
        <f t="shared" si="161"/>
        <v>0</v>
      </c>
      <c r="KIK64" s="857">
        <f t="shared" si="161"/>
        <v>0</v>
      </c>
      <c r="KIL64" s="857">
        <f t="shared" si="161"/>
        <v>0</v>
      </c>
      <c r="KIM64" s="857">
        <f t="shared" si="161"/>
        <v>0</v>
      </c>
      <c r="KIN64" s="857">
        <f t="shared" si="161"/>
        <v>0</v>
      </c>
      <c r="KIO64" s="857">
        <f t="shared" si="161"/>
        <v>0</v>
      </c>
      <c r="KIP64" s="857">
        <f t="shared" ref="KIP64:KLA64" si="162">(KIP57-KIP59)*$C$64</f>
        <v>0</v>
      </c>
      <c r="KIQ64" s="857">
        <f t="shared" si="162"/>
        <v>0</v>
      </c>
      <c r="KIR64" s="857">
        <f t="shared" si="162"/>
        <v>0</v>
      </c>
      <c r="KIS64" s="857">
        <f t="shared" si="162"/>
        <v>0</v>
      </c>
      <c r="KIT64" s="857">
        <f t="shared" si="162"/>
        <v>0</v>
      </c>
      <c r="KIU64" s="857">
        <f t="shared" si="162"/>
        <v>0</v>
      </c>
      <c r="KIV64" s="857">
        <f t="shared" si="162"/>
        <v>0</v>
      </c>
      <c r="KIW64" s="857">
        <f t="shared" si="162"/>
        <v>0</v>
      </c>
      <c r="KIX64" s="857">
        <f t="shared" si="162"/>
        <v>0</v>
      </c>
      <c r="KIY64" s="857">
        <f t="shared" si="162"/>
        <v>0</v>
      </c>
      <c r="KIZ64" s="857">
        <f t="shared" si="162"/>
        <v>0</v>
      </c>
      <c r="KJA64" s="857">
        <f t="shared" si="162"/>
        <v>0</v>
      </c>
      <c r="KJB64" s="857">
        <f t="shared" si="162"/>
        <v>0</v>
      </c>
      <c r="KJC64" s="857">
        <f t="shared" si="162"/>
        <v>0</v>
      </c>
      <c r="KJD64" s="857">
        <f t="shared" si="162"/>
        <v>0</v>
      </c>
      <c r="KJE64" s="857">
        <f t="shared" si="162"/>
        <v>0</v>
      </c>
      <c r="KJF64" s="857">
        <f t="shared" si="162"/>
        <v>0</v>
      </c>
      <c r="KJG64" s="857">
        <f t="shared" si="162"/>
        <v>0</v>
      </c>
      <c r="KJH64" s="857">
        <f t="shared" si="162"/>
        <v>0</v>
      </c>
      <c r="KJI64" s="857">
        <f t="shared" si="162"/>
        <v>0</v>
      </c>
      <c r="KJJ64" s="857">
        <f t="shared" si="162"/>
        <v>0</v>
      </c>
      <c r="KJK64" s="857">
        <f t="shared" si="162"/>
        <v>0</v>
      </c>
      <c r="KJL64" s="857">
        <f t="shared" si="162"/>
        <v>0</v>
      </c>
      <c r="KJM64" s="857">
        <f t="shared" si="162"/>
        <v>0</v>
      </c>
      <c r="KJN64" s="857">
        <f t="shared" si="162"/>
        <v>0</v>
      </c>
      <c r="KJO64" s="857">
        <f t="shared" si="162"/>
        <v>0</v>
      </c>
      <c r="KJP64" s="857">
        <f t="shared" si="162"/>
        <v>0</v>
      </c>
      <c r="KJQ64" s="857">
        <f t="shared" si="162"/>
        <v>0</v>
      </c>
      <c r="KJR64" s="857">
        <f t="shared" si="162"/>
        <v>0</v>
      </c>
      <c r="KJS64" s="857">
        <f t="shared" si="162"/>
        <v>0</v>
      </c>
      <c r="KJT64" s="857">
        <f t="shared" si="162"/>
        <v>0</v>
      </c>
      <c r="KJU64" s="857">
        <f t="shared" si="162"/>
        <v>0</v>
      </c>
      <c r="KJV64" s="857">
        <f t="shared" si="162"/>
        <v>0</v>
      </c>
      <c r="KJW64" s="857">
        <f t="shared" si="162"/>
        <v>0</v>
      </c>
      <c r="KJX64" s="857">
        <f t="shared" si="162"/>
        <v>0</v>
      </c>
      <c r="KJY64" s="857">
        <f t="shared" si="162"/>
        <v>0</v>
      </c>
      <c r="KJZ64" s="857">
        <f t="shared" si="162"/>
        <v>0</v>
      </c>
      <c r="KKA64" s="857">
        <f t="shared" si="162"/>
        <v>0</v>
      </c>
      <c r="KKB64" s="857">
        <f t="shared" si="162"/>
        <v>0</v>
      </c>
      <c r="KKC64" s="857">
        <f t="shared" si="162"/>
        <v>0</v>
      </c>
      <c r="KKD64" s="857">
        <f t="shared" si="162"/>
        <v>0</v>
      </c>
      <c r="KKE64" s="857">
        <f t="shared" si="162"/>
        <v>0</v>
      </c>
      <c r="KKF64" s="857">
        <f t="shared" si="162"/>
        <v>0</v>
      </c>
      <c r="KKG64" s="857">
        <f t="shared" si="162"/>
        <v>0</v>
      </c>
      <c r="KKH64" s="857">
        <f t="shared" si="162"/>
        <v>0</v>
      </c>
      <c r="KKI64" s="857">
        <f t="shared" si="162"/>
        <v>0</v>
      </c>
      <c r="KKJ64" s="857">
        <f t="shared" si="162"/>
        <v>0</v>
      </c>
      <c r="KKK64" s="857">
        <f t="shared" si="162"/>
        <v>0</v>
      </c>
      <c r="KKL64" s="857">
        <f t="shared" si="162"/>
        <v>0</v>
      </c>
      <c r="KKM64" s="857">
        <f t="shared" si="162"/>
        <v>0</v>
      </c>
      <c r="KKN64" s="857">
        <f t="shared" si="162"/>
        <v>0</v>
      </c>
      <c r="KKO64" s="857">
        <f t="shared" si="162"/>
        <v>0</v>
      </c>
      <c r="KKP64" s="857">
        <f t="shared" si="162"/>
        <v>0</v>
      </c>
      <c r="KKQ64" s="857">
        <f t="shared" si="162"/>
        <v>0</v>
      </c>
      <c r="KKR64" s="857">
        <f t="shared" si="162"/>
        <v>0</v>
      </c>
      <c r="KKS64" s="857">
        <f t="shared" si="162"/>
        <v>0</v>
      </c>
      <c r="KKT64" s="857">
        <f t="shared" si="162"/>
        <v>0</v>
      </c>
      <c r="KKU64" s="857">
        <f t="shared" si="162"/>
        <v>0</v>
      </c>
      <c r="KKV64" s="857">
        <f t="shared" si="162"/>
        <v>0</v>
      </c>
      <c r="KKW64" s="857">
        <f t="shared" si="162"/>
        <v>0</v>
      </c>
      <c r="KKX64" s="857">
        <f t="shared" si="162"/>
        <v>0</v>
      </c>
      <c r="KKY64" s="857">
        <f t="shared" si="162"/>
        <v>0</v>
      </c>
      <c r="KKZ64" s="857">
        <f t="shared" si="162"/>
        <v>0</v>
      </c>
      <c r="KLA64" s="857">
        <f t="shared" si="162"/>
        <v>0</v>
      </c>
      <c r="KLB64" s="857">
        <f t="shared" ref="KLB64:KNM64" si="163">(KLB57-KLB59)*$C$64</f>
        <v>0</v>
      </c>
      <c r="KLC64" s="857">
        <f t="shared" si="163"/>
        <v>0</v>
      </c>
      <c r="KLD64" s="857">
        <f t="shared" si="163"/>
        <v>0</v>
      </c>
      <c r="KLE64" s="857">
        <f t="shared" si="163"/>
        <v>0</v>
      </c>
      <c r="KLF64" s="857">
        <f t="shared" si="163"/>
        <v>0</v>
      </c>
      <c r="KLG64" s="857">
        <f t="shared" si="163"/>
        <v>0</v>
      </c>
      <c r="KLH64" s="857">
        <f t="shared" si="163"/>
        <v>0</v>
      </c>
      <c r="KLI64" s="857">
        <f t="shared" si="163"/>
        <v>0</v>
      </c>
      <c r="KLJ64" s="857">
        <f t="shared" si="163"/>
        <v>0</v>
      </c>
      <c r="KLK64" s="857">
        <f t="shared" si="163"/>
        <v>0</v>
      </c>
      <c r="KLL64" s="857">
        <f t="shared" si="163"/>
        <v>0</v>
      </c>
      <c r="KLM64" s="857">
        <f t="shared" si="163"/>
        <v>0</v>
      </c>
      <c r="KLN64" s="857">
        <f t="shared" si="163"/>
        <v>0</v>
      </c>
      <c r="KLO64" s="857">
        <f t="shared" si="163"/>
        <v>0</v>
      </c>
      <c r="KLP64" s="857">
        <f t="shared" si="163"/>
        <v>0</v>
      </c>
      <c r="KLQ64" s="857">
        <f t="shared" si="163"/>
        <v>0</v>
      </c>
      <c r="KLR64" s="857">
        <f t="shared" si="163"/>
        <v>0</v>
      </c>
      <c r="KLS64" s="857">
        <f t="shared" si="163"/>
        <v>0</v>
      </c>
      <c r="KLT64" s="857">
        <f t="shared" si="163"/>
        <v>0</v>
      </c>
      <c r="KLU64" s="857">
        <f t="shared" si="163"/>
        <v>0</v>
      </c>
      <c r="KLV64" s="857">
        <f t="shared" si="163"/>
        <v>0</v>
      </c>
      <c r="KLW64" s="857">
        <f t="shared" si="163"/>
        <v>0</v>
      </c>
      <c r="KLX64" s="857">
        <f t="shared" si="163"/>
        <v>0</v>
      </c>
      <c r="KLY64" s="857">
        <f t="shared" si="163"/>
        <v>0</v>
      </c>
      <c r="KLZ64" s="857">
        <f t="shared" si="163"/>
        <v>0</v>
      </c>
      <c r="KMA64" s="857">
        <f t="shared" si="163"/>
        <v>0</v>
      </c>
      <c r="KMB64" s="857">
        <f t="shared" si="163"/>
        <v>0</v>
      </c>
      <c r="KMC64" s="857">
        <f t="shared" si="163"/>
        <v>0</v>
      </c>
      <c r="KMD64" s="857">
        <f t="shared" si="163"/>
        <v>0</v>
      </c>
      <c r="KME64" s="857">
        <f t="shared" si="163"/>
        <v>0</v>
      </c>
      <c r="KMF64" s="857">
        <f t="shared" si="163"/>
        <v>0</v>
      </c>
      <c r="KMG64" s="857">
        <f t="shared" si="163"/>
        <v>0</v>
      </c>
      <c r="KMH64" s="857">
        <f t="shared" si="163"/>
        <v>0</v>
      </c>
      <c r="KMI64" s="857">
        <f t="shared" si="163"/>
        <v>0</v>
      </c>
      <c r="KMJ64" s="857">
        <f t="shared" si="163"/>
        <v>0</v>
      </c>
      <c r="KMK64" s="857">
        <f t="shared" si="163"/>
        <v>0</v>
      </c>
      <c r="KML64" s="857">
        <f t="shared" si="163"/>
        <v>0</v>
      </c>
      <c r="KMM64" s="857">
        <f t="shared" si="163"/>
        <v>0</v>
      </c>
      <c r="KMN64" s="857">
        <f t="shared" si="163"/>
        <v>0</v>
      </c>
      <c r="KMO64" s="857">
        <f t="shared" si="163"/>
        <v>0</v>
      </c>
      <c r="KMP64" s="857">
        <f t="shared" si="163"/>
        <v>0</v>
      </c>
      <c r="KMQ64" s="857">
        <f t="shared" si="163"/>
        <v>0</v>
      </c>
      <c r="KMR64" s="857">
        <f t="shared" si="163"/>
        <v>0</v>
      </c>
      <c r="KMS64" s="857">
        <f t="shared" si="163"/>
        <v>0</v>
      </c>
      <c r="KMT64" s="857">
        <f t="shared" si="163"/>
        <v>0</v>
      </c>
      <c r="KMU64" s="857">
        <f t="shared" si="163"/>
        <v>0</v>
      </c>
      <c r="KMV64" s="857">
        <f t="shared" si="163"/>
        <v>0</v>
      </c>
      <c r="KMW64" s="857">
        <f t="shared" si="163"/>
        <v>0</v>
      </c>
      <c r="KMX64" s="857">
        <f t="shared" si="163"/>
        <v>0</v>
      </c>
      <c r="KMY64" s="857">
        <f t="shared" si="163"/>
        <v>0</v>
      </c>
      <c r="KMZ64" s="857">
        <f t="shared" si="163"/>
        <v>0</v>
      </c>
      <c r="KNA64" s="857">
        <f t="shared" si="163"/>
        <v>0</v>
      </c>
      <c r="KNB64" s="857">
        <f t="shared" si="163"/>
        <v>0</v>
      </c>
      <c r="KNC64" s="857">
        <f t="shared" si="163"/>
        <v>0</v>
      </c>
      <c r="KND64" s="857">
        <f t="shared" si="163"/>
        <v>0</v>
      </c>
      <c r="KNE64" s="857">
        <f t="shared" si="163"/>
        <v>0</v>
      </c>
      <c r="KNF64" s="857">
        <f t="shared" si="163"/>
        <v>0</v>
      </c>
      <c r="KNG64" s="857">
        <f t="shared" si="163"/>
        <v>0</v>
      </c>
      <c r="KNH64" s="857">
        <f t="shared" si="163"/>
        <v>0</v>
      </c>
      <c r="KNI64" s="857">
        <f t="shared" si="163"/>
        <v>0</v>
      </c>
      <c r="KNJ64" s="857">
        <f t="shared" si="163"/>
        <v>0</v>
      </c>
      <c r="KNK64" s="857">
        <f t="shared" si="163"/>
        <v>0</v>
      </c>
      <c r="KNL64" s="857">
        <f t="shared" si="163"/>
        <v>0</v>
      </c>
      <c r="KNM64" s="857">
        <f t="shared" si="163"/>
        <v>0</v>
      </c>
      <c r="KNN64" s="857">
        <f t="shared" ref="KNN64:KPY64" si="164">(KNN57-KNN59)*$C$64</f>
        <v>0</v>
      </c>
      <c r="KNO64" s="857">
        <f t="shared" si="164"/>
        <v>0</v>
      </c>
      <c r="KNP64" s="857">
        <f t="shared" si="164"/>
        <v>0</v>
      </c>
      <c r="KNQ64" s="857">
        <f t="shared" si="164"/>
        <v>0</v>
      </c>
      <c r="KNR64" s="857">
        <f t="shared" si="164"/>
        <v>0</v>
      </c>
      <c r="KNS64" s="857">
        <f t="shared" si="164"/>
        <v>0</v>
      </c>
      <c r="KNT64" s="857">
        <f t="shared" si="164"/>
        <v>0</v>
      </c>
      <c r="KNU64" s="857">
        <f t="shared" si="164"/>
        <v>0</v>
      </c>
      <c r="KNV64" s="857">
        <f t="shared" si="164"/>
        <v>0</v>
      </c>
      <c r="KNW64" s="857">
        <f t="shared" si="164"/>
        <v>0</v>
      </c>
      <c r="KNX64" s="857">
        <f t="shared" si="164"/>
        <v>0</v>
      </c>
      <c r="KNY64" s="857">
        <f t="shared" si="164"/>
        <v>0</v>
      </c>
      <c r="KNZ64" s="857">
        <f t="shared" si="164"/>
        <v>0</v>
      </c>
      <c r="KOA64" s="857">
        <f t="shared" si="164"/>
        <v>0</v>
      </c>
      <c r="KOB64" s="857">
        <f t="shared" si="164"/>
        <v>0</v>
      </c>
      <c r="KOC64" s="857">
        <f t="shared" si="164"/>
        <v>0</v>
      </c>
      <c r="KOD64" s="857">
        <f t="shared" si="164"/>
        <v>0</v>
      </c>
      <c r="KOE64" s="857">
        <f t="shared" si="164"/>
        <v>0</v>
      </c>
      <c r="KOF64" s="857">
        <f t="shared" si="164"/>
        <v>0</v>
      </c>
      <c r="KOG64" s="857">
        <f t="shared" si="164"/>
        <v>0</v>
      </c>
      <c r="KOH64" s="857">
        <f t="shared" si="164"/>
        <v>0</v>
      </c>
      <c r="KOI64" s="857">
        <f t="shared" si="164"/>
        <v>0</v>
      </c>
      <c r="KOJ64" s="857">
        <f t="shared" si="164"/>
        <v>0</v>
      </c>
      <c r="KOK64" s="857">
        <f t="shared" si="164"/>
        <v>0</v>
      </c>
      <c r="KOL64" s="857">
        <f t="shared" si="164"/>
        <v>0</v>
      </c>
      <c r="KOM64" s="857">
        <f t="shared" si="164"/>
        <v>0</v>
      </c>
      <c r="KON64" s="857">
        <f t="shared" si="164"/>
        <v>0</v>
      </c>
      <c r="KOO64" s="857">
        <f t="shared" si="164"/>
        <v>0</v>
      </c>
      <c r="KOP64" s="857">
        <f t="shared" si="164"/>
        <v>0</v>
      </c>
      <c r="KOQ64" s="857">
        <f t="shared" si="164"/>
        <v>0</v>
      </c>
      <c r="KOR64" s="857">
        <f t="shared" si="164"/>
        <v>0</v>
      </c>
      <c r="KOS64" s="857">
        <f t="shared" si="164"/>
        <v>0</v>
      </c>
      <c r="KOT64" s="857">
        <f t="shared" si="164"/>
        <v>0</v>
      </c>
      <c r="KOU64" s="857">
        <f t="shared" si="164"/>
        <v>0</v>
      </c>
      <c r="KOV64" s="857">
        <f t="shared" si="164"/>
        <v>0</v>
      </c>
      <c r="KOW64" s="857">
        <f t="shared" si="164"/>
        <v>0</v>
      </c>
      <c r="KOX64" s="857">
        <f t="shared" si="164"/>
        <v>0</v>
      </c>
      <c r="KOY64" s="857">
        <f t="shared" si="164"/>
        <v>0</v>
      </c>
      <c r="KOZ64" s="857">
        <f t="shared" si="164"/>
        <v>0</v>
      </c>
      <c r="KPA64" s="857">
        <f t="shared" si="164"/>
        <v>0</v>
      </c>
      <c r="KPB64" s="857">
        <f t="shared" si="164"/>
        <v>0</v>
      </c>
      <c r="KPC64" s="857">
        <f t="shared" si="164"/>
        <v>0</v>
      </c>
      <c r="KPD64" s="857">
        <f t="shared" si="164"/>
        <v>0</v>
      </c>
      <c r="KPE64" s="857">
        <f t="shared" si="164"/>
        <v>0</v>
      </c>
      <c r="KPF64" s="857">
        <f t="shared" si="164"/>
        <v>0</v>
      </c>
      <c r="KPG64" s="857">
        <f t="shared" si="164"/>
        <v>0</v>
      </c>
      <c r="KPH64" s="857">
        <f t="shared" si="164"/>
        <v>0</v>
      </c>
      <c r="KPI64" s="857">
        <f t="shared" si="164"/>
        <v>0</v>
      </c>
      <c r="KPJ64" s="857">
        <f t="shared" si="164"/>
        <v>0</v>
      </c>
      <c r="KPK64" s="857">
        <f t="shared" si="164"/>
        <v>0</v>
      </c>
      <c r="KPL64" s="857">
        <f t="shared" si="164"/>
        <v>0</v>
      </c>
      <c r="KPM64" s="857">
        <f t="shared" si="164"/>
        <v>0</v>
      </c>
      <c r="KPN64" s="857">
        <f t="shared" si="164"/>
        <v>0</v>
      </c>
      <c r="KPO64" s="857">
        <f t="shared" si="164"/>
        <v>0</v>
      </c>
      <c r="KPP64" s="857">
        <f t="shared" si="164"/>
        <v>0</v>
      </c>
      <c r="KPQ64" s="857">
        <f t="shared" si="164"/>
        <v>0</v>
      </c>
      <c r="KPR64" s="857">
        <f t="shared" si="164"/>
        <v>0</v>
      </c>
      <c r="KPS64" s="857">
        <f t="shared" si="164"/>
        <v>0</v>
      </c>
      <c r="KPT64" s="857">
        <f t="shared" si="164"/>
        <v>0</v>
      </c>
      <c r="KPU64" s="857">
        <f t="shared" si="164"/>
        <v>0</v>
      </c>
      <c r="KPV64" s="857">
        <f t="shared" si="164"/>
        <v>0</v>
      </c>
      <c r="KPW64" s="857">
        <f t="shared" si="164"/>
        <v>0</v>
      </c>
      <c r="KPX64" s="857">
        <f t="shared" si="164"/>
        <v>0</v>
      </c>
      <c r="KPY64" s="857">
        <f t="shared" si="164"/>
        <v>0</v>
      </c>
      <c r="KPZ64" s="857">
        <f t="shared" ref="KPZ64:KSK64" si="165">(KPZ57-KPZ59)*$C$64</f>
        <v>0</v>
      </c>
      <c r="KQA64" s="857">
        <f t="shared" si="165"/>
        <v>0</v>
      </c>
      <c r="KQB64" s="857">
        <f t="shared" si="165"/>
        <v>0</v>
      </c>
      <c r="KQC64" s="857">
        <f t="shared" si="165"/>
        <v>0</v>
      </c>
      <c r="KQD64" s="857">
        <f t="shared" si="165"/>
        <v>0</v>
      </c>
      <c r="KQE64" s="857">
        <f t="shared" si="165"/>
        <v>0</v>
      </c>
      <c r="KQF64" s="857">
        <f t="shared" si="165"/>
        <v>0</v>
      </c>
      <c r="KQG64" s="857">
        <f t="shared" si="165"/>
        <v>0</v>
      </c>
      <c r="KQH64" s="857">
        <f t="shared" si="165"/>
        <v>0</v>
      </c>
      <c r="KQI64" s="857">
        <f t="shared" si="165"/>
        <v>0</v>
      </c>
      <c r="KQJ64" s="857">
        <f t="shared" si="165"/>
        <v>0</v>
      </c>
      <c r="KQK64" s="857">
        <f t="shared" si="165"/>
        <v>0</v>
      </c>
      <c r="KQL64" s="857">
        <f t="shared" si="165"/>
        <v>0</v>
      </c>
      <c r="KQM64" s="857">
        <f t="shared" si="165"/>
        <v>0</v>
      </c>
      <c r="KQN64" s="857">
        <f t="shared" si="165"/>
        <v>0</v>
      </c>
      <c r="KQO64" s="857">
        <f t="shared" si="165"/>
        <v>0</v>
      </c>
      <c r="KQP64" s="857">
        <f t="shared" si="165"/>
        <v>0</v>
      </c>
      <c r="KQQ64" s="857">
        <f t="shared" si="165"/>
        <v>0</v>
      </c>
      <c r="KQR64" s="857">
        <f t="shared" si="165"/>
        <v>0</v>
      </c>
      <c r="KQS64" s="857">
        <f t="shared" si="165"/>
        <v>0</v>
      </c>
      <c r="KQT64" s="857">
        <f t="shared" si="165"/>
        <v>0</v>
      </c>
      <c r="KQU64" s="857">
        <f t="shared" si="165"/>
        <v>0</v>
      </c>
      <c r="KQV64" s="857">
        <f t="shared" si="165"/>
        <v>0</v>
      </c>
      <c r="KQW64" s="857">
        <f t="shared" si="165"/>
        <v>0</v>
      </c>
      <c r="KQX64" s="857">
        <f t="shared" si="165"/>
        <v>0</v>
      </c>
      <c r="KQY64" s="857">
        <f t="shared" si="165"/>
        <v>0</v>
      </c>
      <c r="KQZ64" s="857">
        <f t="shared" si="165"/>
        <v>0</v>
      </c>
      <c r="KRA64" s="857">
        <f t="shared" si="165"/>
        <v>0</v>
      </c>
      <c r="KRB64" s="857">
        <f t="shared" si="165"/>
        <v>0</v>
      </c>
      <c r="KRC64" s="857">
        <f t="shared" si="165"/>
        <v>0</v>
      </c>
      <c r="KRD64" s="857">
        <f t="shared" si="165"/>
        <v>0</v>
      </c>
      <c r="KRE64" s="857">
        <f t="shared" si="165"/>
        <v>0</v>
      </c>
      <c r="KRF64" s="857">
        <f t="shared" si="165"/>
        <v>0</v>
      </c>
      <c r="KRG64" s="857">
        <f t="shared" si="165"/>
        <v>0</v>
      </c>
      <c r="KRH64" s="857">
        <f t="shared" si="165"/>
        <v>0</v>
      </c>
      <c r="KRI64" s="857">
        <f t="shared" si="165"/>
        <v>0</v>
      </c>
      <c r="KRJ64" s="857">
        <f t="shared" si="165"/>
        <v>0</v>
      </c>
      <c r="KRK64" s="857">
        <f t="shared" si="165"/>
        <v>0</v>
      </c>
      <c r="KRL64" s="857">
        <f t="shared" si="165"/>
        <v>0</v>
      </c>
      <c r="KRM64" s="857">
        <f t="shared" si="165"/>
        <v>0</v>
      </c>
      <c r="KRN64" s="857">
        <f t="shared" si="165"/>
        <v>0</v>
      </c>
      <c r="KRO64" s="857">
        <f t="shared" si="165"/>
        <v>0</v>
      </c>
      <c r="KRP64" s="857">
        <f t="shared" si="165"/>
        <v>0</v>
      </c>
      <c r="KRQ64" s="857">
        <f t="shared" si="165"/>
        <v>0</v>
      </c>
      <c r="KRR64" s="857">
        <f t="shared" si="165"/>
        <v>0</v>
      </c>
      <c r="KRS64" s="857">
        <f t="shared" si="165"/>
        <v>0</v>
      </c>
      <c r="KRT64" s="857">
        <f t="shared" si="165"/>
        <v>0</v>
      </c>
      <c r="KRU64" s="857">
        <f t="shared" si="165"/>
        <v>0</v>
      </c>
      <c r="KRV64" s="857">
        <f t="shared" si="165"/>
        <v>0</v>
      </c>
      <c r="KRW64" s="857">
        <f t="shared" si="165"/>
        <v>0</v>
      </c>
      <c r="KRX64" s="857">
        <f t="shared" si="165"/>
        <v>0</v>
      </c>
      <c r="KRY64" s="857">
        <f t="shared" si="165"/>
        <v>0</v>
      </c>
      <c r="KRZ64" s="857">
        <f t="shared" si="165"/>
        <v>0</v>
      </c>
      <c r="KSA64" s="857">
        <f t="shared" si="165"/>
        <v>0</v>
      </c>
      <c r="KSB64" s="857">
        <f t="shared" si="165"/>
        <v>0</v>
      </c>
      <c r="KSC64" s="857">
        <f t="shared" si="165"/>
        <v>0</v>
      </c>
      <c r="KSD64" s="857">
        <f t="shared" si="165"/>
        <v>0</v>
      </c>
      <c r="KSE64" s="857">
        <f t="shared" si="165"/>
        <v>0</v>
      </c>
      <c r="KSF64" s="857">
        <f t="shared" si="165"/>
        <v>0</v>
      </c>
      <c r="KSG64" s="857">
        <f t="shared" si="165"/>
        <v>0</v>
      </c>
      <c r="KSH64" s="857">
        <f t="shared" si="165"/>
        <v>0</v>
      </c>
      <c r="KSI64" s="857">
        <f t="shared" si="165"/>
        <v>0</v>
      </c>
      <c r="KSJ64" s="857">
        <f t="shared" si="165"/>
        <v>0</v>
      </c>
      <c r="KSK64" s="857">
        <f t="shared" si="165"/>
        <v>0</v>
      </c>
      <c r="KSL64" s="857">
        <f t="shared" ref="KSL64:KUW64" si="166">(KSL57-KSL59)*$C$64</f>
        <v>0</v>
      </c>
      <c r="KSM64" s="857">
        <f t="shared" si="166"/>
        <v>0</v>
      </c>
      <c r="KSN64" s="857">
        <f t="shared" si="166"/>
        <v>0</v>
      </c>
      <c r="KSO64" s="857">
        <f t="shared" si="166"/>
        <v>0</v>
      </c>
      <c r="KSP64" s="857">
        <f t="shared" si="166"/>
        <v>0</v>
      </c>
      <c r="KSQ64" s="857">
        <f t="shared" si="166"/>
        <v>0</v>
      </c>
      <c r="KSR64" s="857">
        <f t="shared" si="166"/>
        <v>0</v>
      </c>
      <c r="KSS64" s="857">
        <f t="shared" si="166"/>
        <v>0</v>
      </c>
      <c r="KST64" s="857">
        <f t="shared" si="166"/>
        <v>0</v>
      </c>
      <c r="KSU64" s="857">
        <f t="shared" si="166"/>
        <v>0</v>
      </c>
      <c r="KSV64" s="857">
        <f t="shared" si="166"/>
        <v>0</v>
      </c>
      <c r="KSW64" s="857">
        <f t="shared" si="166"/>
        <v>0</v>
      </c>
      <c r="KSX64" s="857">
        <f t="shared" si="166"/>
        <v>0</v>
      </c>
      <c r="KSY64" s="857">
        <f t="shared" si="166"/>
        <v>0</v>
      </c>
      <c r="KSZ64" s="857">
        <f t="shared" si="166"/>
        <v>0</v>
      </c>
      <c r="KTA64" s="857">
        <f t="shared" si="166"/>
        <v>0</v>
      </c>
      <c r="KTB64" s="857">
        <f t="shared" si="166"/>
        <v>0</v>
      </c>
      <c r="KTC64" s="857">
        <f t="shared" si="166"/>
        <v>0</v>
      </c>
      <c r="KTD64" s="857">
        <f t="shared" si="166"/>
        <v>0</v>
      </c>
      <c r="KTE64" s="857">
        <f t="shared" si="166"/>
        <v>0</v>
      </c>
      <c r="KTF64" s="857">
        <f t="shared" si="166"/>
        <v>0</v>
      </c>
      <c r="KTG64" s="857">
        <f t="shared" si="166"/>
        <v>0</v>
      </c>
      <c r="KTH64" s="857">
        <f t="shared" si="166"/>
        <v>0</v>
      </c>
      <c r="KTI64" s="857">
        <f t="shared" si="166"/>
        <v>0</v>
      </c>
      <c r="KTJ64" s="857">
        <f t="shared" si="166"/>
        <v>0</v>
      </c>
      <c r="KTK64" s="857">
        <f t="shared" si="166"/>
        <v>0</v>
      </c>
      <c r="KTL64" s="857">
        <f t="shared" si="166"/>
        <v>0</v>
      </c>
      <c r="KTM64" s="857">
        <f t="shared" si="166"/>
        <v>0</v>
      </c>
      <c r="KTN64" s="857">
        <f t="shared" si="166"/>
        <v>0</v>
      </c>
      <c r="KTO64" s="857">
        <f t="shared" si="166"/>
        <v>0</v>
      </c>
      <c r="KTP64" s="857">
        <f t="shared" si="166"/>
        <v>0</v>
      </c>
      <c r="KTQ64" s="857">
        <f t="shared" si="166"/>
        <v>0</v>
      </c>
      <c r="KTR64" s="857">
        <f t="shared" si="166"/>
        <v>0</v>
      </c>
      <c r="KTS64" s="857">
        <f t="shared" si="166"/>
        <v>0</v>
      </c>
      <c r="KTT64" s="857">
        <f t="shared" si="166"/>
        <v>0</v>
      </c>
      <c r="KTU64" s="857">
        <f t="shared" si="166"/>
        <v>0</v>
      </c>
      <c r="KTV64" s="857">
        <f t="shared" si="166"/>
        <v>0</v>
      </c>
      <c r="KTW64" s="857">
        <f t="shared" si="166"/>
        <v>0</v>
      </c>
      <c r="KTX64" s="857">
        <f t="shared" si="166"/>
        <v>0</v>
      </c>
      <c r="KTY64" s="857">
        <f t="shared" si="166"/>
        <v>0</v>
      </c>
      <c r="KTZ64" s="857">
        <f t="shared" si="166"/>
        <v>0</v>
      </c>
      <c r="KUA64" s="857">
        <f t="shared" si="166"/>
        <v>0</v>
      </c>
      <c r="KUB64" s="857">
        <f t="shared" si="166"/>
        <v>0</v>
      </c>
      <c r="KUC64" s="857">
        <f t="shared" si="166"/>
        <v>0</v>
      </c>
      <c r="KUD64" s="857">
        <f t="shared" si="166"/>
        <v>0</v>
      </c>
      <c r="KUE64" s="857">
        <f t="shared" si="166"/>
        <v>0</v>
      </c>
      <c r="KUF64" s="857">
        <f t="shared" si="166"/>
        <v>0</v>
      </c>
      <c r="KUG64" s="857">
        <f t="shared" si="166"/>
        <v>0</v>
      </c>
      <c r="KUH64" s="857">
        <f t="shared" si="166"/>
        <v>0</v>
      </c>
      <c r="KUI64" s="857">
        <f t="shared" si="166"/>
        <v>0</v>
      </c>
      <c r="KUJ64" s="857">
        <f t="shared" si="166"/>
        <v>0</v>
      </c>
      <c r="KUK64" s="857">
        <f t="shared" si="166"/>
        <v>0</v>
      </c>
      <c r="KUL64" s="857">
        <f t="shared" si="166"/>
        <v>0</v>
      </c>
      <c r="KUM64" s="857">
        <f t="shared" si="166"/>
        <v>0</v>
      </c>
      <c r="KUN64" s="857">
        <f t="shared" si="166"/>
        <v>0</v>
      </c>
      <c r="KUO64" s="857">
        <f t="shared" si="166"/>
        <v>0</v>
      </c>
      <c r="KUP64" s="857">
        <f t="shared" si="166"/>
        <v>0</v>
      </c>
      <c r="KUQ64" s="857">
        <f t="shared" si="166"/>
        <v>0</v>
      </c>
      <c r="KUR64" s="857">
        <f t="shared" si="166"/>
        <v>0</v>
      </c>
      <c r="KUS64" s="857">
        <f t="shared" si="166"/>
        <v>0</v>
      </c>
      <c r="KUT64" s="857">
        <f t="shared" si="166"/>
        <v>0</v>
      </c>
      <c r="KUU64" s="857">
        <f t="shared" si="166"/>
        <v>0</v>
      </c>
      <c r="KUV64" s="857">
        <f t="shared" si="166"/>
        <v>0</v>
      </c>
      <c r="KUW64" s="857">
        <f t="shared" si="166"/>
        <v>0</v>
      </c>
      <c r="KUX64" s="857">
        <f t="shared" ref="KUX64:KXI64" si="167">(KUX57-KUX59)*$C$64</f>
        <v>0</v>
      </c>
      <c r="KUY64" s="857">
        <f t="shared" si="167"/>
        <v>0</v>
      </c>
      <c r="KUZ64" s="857">
        <f t="shared" si="167"/>
        <v>0</v>
      </c>
      <c r="KVA64" s="857">
        <f t="shared" si="167"/>
        <v>0</v>
      </c>
      <c r="KVB64" s="857">
        <f t="shared" si="167"/>
        <v>0</v>
      </c>
      <c r="KVC64" s="857">
        <f t="shared" si="167"/>
        <v>0</v>
      </c>
      <c r="KVD64" s="857">
        <f t="shared" si="167"/>
        <v>0</v>
      </c>
      <c r="KVE64" s="857">
        <f t="shared" si="167"/>
        <v>0</v>
      </c>
      <c r="KVF64" s="857">
        <f t="shared" si="167"/>
        <v>0</v>
      </c>
      <c r="KVG64" s="857">
        <f t="shared" si="167"/>
        <v>0</v>
      </c>
      <c r="KVH64" s="857">
        <f t="shared" si="167"/>
        <v>0</v>
      </c>
      <c r="KVI64" s="857">
        <f t="shared" si="167"/>
        <v>0</v>
      </c>
      <c r="KVJ64" s="857">
        <f t="shared" si="167"/>
        <v>0</v>
      </c>
      <c r="KVK64" s="857">
        <f t="shared" si="167"/>
        <v>0</v>
      </c>
      <c r="KVL64" s="857">
        <f t="shared" si="167"/>
        <v>0</v>
      </c>
      <c r="KVM64" s="857">
        <f t="shared" si="167"/>
        <v>0</v>
      </c>
      <c r="KVN64" s="857">
        <f t="shared" si="167"/>
        <v>0</v>
      </c>
      <c r="KVO64" s="857">
        <f t="shared" si="167"/>
        <v>0</v>
      </c>
      <c r="KVP64" s="857">
        <f t="shared" si="167"/>
        <v>0</v>
      </c>
      <c r="KVQ64" s="857">
        <f t="shared" si="167"/>
        <v>0</v>
      </c>
      <c r="KVR64" s="857">
        <f t="shared" si="167"/>
        <v>0</v>
      </c>
      <c r="KVS64" s="857">
        <f t="shared" si="167"/>
        <v>0</v>
      </c>
      <c r="KVT64" s="857">
        <f t="shared" si="167"/>
        <v>0</v>
      </c>
      <c r="KVU64" s="857">
        <f t="shared" si="167"/>
        <v>0</v>
      </c>
      <c r="KVV64" s="857">
        <f t="shared" si="167"/>
        <v>0</v>
      </c>
      <c r="KVW64" s="857">
        <f t="shared" si="167"/>
        <v>0</v>
      </c>
      <c r="KVX64" s="857">
        <f t="shared" si="167"/>
        <v>0</v>
      </c>
      <c r="KVY64" s="857">
        <f t="shared" si="167"/>
        <v>0</v>
      </c>
      <c r="KVZ64" s="857">
        <f t="shared" si="167"/>
        <v>0</v>
      </c>
      <c r="KWA64" s="857">
        <f t="shared" si="167"/>
        <v>0</v>
      </c>
      <c r="KWB64" s="857">
        <f t="shared" si="167"/>
        <v>0</v>
      </c>
      <c r="KWC64" s="857">
        <f t="shared" si="167"/>
        <v>0</v>
      </c>
      <c r="KWD64" s="857">
        <f t="shared" si="167"/>
        <v>0</v>
      </c>
      <c r="KWE64" s="857">
        <f t="shared" si="167"/>
        <v>0</v>
      </c>
      <c r="KWF64" s="857">
        <f t="shared" si="167"/>
        <v>0</v>
      </c>
      <c r="KWG64" s="857">
        <f t="shared" si="167"/>
        <v>0</v>
      </c>
      <c r="KWH64" s="857">
        <f t="shared" si="167"/>
        <v>0</v>
      </c>
      <c r="KWI64" s="857">
        <f t="shared" si="167"/>
        <v>0</v>
      </c>
      <c r="KWJ64" s="857">
        <f t="shared" si="167"/>
        <v>0</v>
      </c>
      <c r="KWK64" s="857">
        <f t="shared" si="167"/>
        <v>0</v>
      </c>
      <c r="KWL64" s="857">
        <f t="shared" si="167"/>
        <v>0</v>
      </c>
      <c r="KWM64" s="857">
        <f t="shared" si="167"/>
        <v>0</v>
      </c>
      <c r="KWN64" s="857">
        <f t="shared" si="167"/>
        <v>0</v>
      </c>
      <c r="KWO64" s="857">
        <f t="shared" si="167"/>
        <v>0</v>
      </c>
      <c r="KWP64" s="857">
        <f t="shared" si="167"/>
        <v>0</v>
      </c>
      <c r="KWQ64" s="857">
        <f t="shared" si="167"/>
        <v>0</v>
      </c>
      <c r="KWR64" s="857">
        <f t="shared" si="167"/>
        <v>0</v>
      </c>
      <c r="KWS64" s="857">
        <f t="shared" si="167"/>
        <v>0</v>
      </c>
      <c r="KWT64" s="857">
        <f t="shared" si="167"/>
        <v>0</v>
      </c>
      <c r="KWU64" s="857">
        <f t="shared" si="167"/>
        <v>0</v>
      </c>
      <c r="KWV64" s="857">
        <f t="shared" si="167"/>
        <v>0</v>
      </c>
      <c r="KWW64" s="857">
        <f t="shared" si="167"/>
        <v>0</v>
      </c>
      <c r="KWX64" s="857">
        <f t="shared" si="167"/>
        <v>0</v>
      </c>
      <c r="KWY64" s="857">
        <f t="shared" si="167"/>
        <v>0</v>
      </c>
      <c r="KWZ64" s="857">
        <f t="shared" si="167"/>
        <v>0</v>
      </c>
      <c r="KXA64" s="857">
        <f t="shared" si="167"/>
        <v>0</v>
      </c>
      <c r="KXB64" s="857">
        <f t="shared" si="167"/>
        <v>0</v>
      </c>
      <c r="KXC64" s="857">
        <f t="shared" si="167"/>
        <v>0</v>
      </c>
      <c r="KXD64" s="857">
        <f t="shared" si="167"/>
        <v>0</v>
      </c>
      <c r="KXE64" s="857">
        <f t="shared" si="167"/>
        <v>0</v>
      </c>
      <c r="KXF64" s="857">
        <f t="shared" si="167"/>
        <v>0</v>
      </c>
      <c r="KXG64" s="857">
        <f t="shared" si="167"/>
        <v>0</v>
      </c>
      <c r="KXH64" s="857">
        <f t="shared" si="167"/>
        <v>0</v>
      </c>
      <c r="KXI64" s="857">
        <f t="shared" si="167"/>
        <v>0</v>
      </c>
      <c r="KXJ64" s="857">
        <f t="shared" ref="KXJ64:KZU64" si="168">(KXJ57-KXJ59)*$C$64</f>
        <v>0</v>
      </c>
      <c r="KXK64" s="857">
        <f t="shared" si="168"/>
        <v>0</v>
      </c>
      <c r="KXL64" s="857">
        <f t="shared" si="168"/>
        <v>0</v>
      </c>
      <c r="KXM64" s="857">
        <f t="shared" si="168"/>
        <v>0</v>
      </c>
      <c r="KXN64" s="857">
        <f t="shared" si="168"/>
        <v>0</v>
      </c>
      <c r="KXO64" s="857">
        <f t="shared" si="168"/>
        <v>0</v>
      </c>
      <c r="KXP64" s="857">
        <f t="shared" si="168"/>
        <v>0</v>
      </c>
      <c r="KXQ64" s="857">
        <f t="shared" si="168"/>
        <v>0</v>
      </c>
      <c r="KXR64" s="857">
        <f t="shared" si="168"/>
        <v>0</v>
      </c>
      <c r="KXS64" s="857">
        <f t="shared" si="168"/>
        <v>0</v>
      </c>
      <c r="KXT64" s="857">
        <f t="shared" si="168"/>
        <v>0</v>
      </c>
      <c r="KXU64" s="857">
        <f t="shared" si="168"/>
        <v>0</v>
      </c>
      <c r="KXV64" s="857">
        <f t="shared" si="168"/>
        <v>0</v>
      </c>
      <c r="KXW64" s="857">
        <f t="shared" si="168"/>
        <v>0</v>
      </c>
      <c r="KXX64" s="857">
        <f t="shared" si="168"/>
        <v>0</v>
      </c>
      <c r="KXY64" s="857">
        <f t="shared" si="168"/>
        <v>0</v>
      </c>
      <c r="KXZ64" s="857">
        <f t="shared" si="168"/>
        <v>0</v>
      </c>
      <c r="KYA64" s="857">
        <f t="shared" si="168"/>
        <v>0</v>
      </c>
      <c r="KYB64" s="857">
        <f t="shared" si="168"/>
        <v>0</v>
      </c>
      <c r="KYC64" s="857">
        <f t="shared" si="168"/>
        <v>0</v>
      </c>
      <c r="KYD64" s="857">
        <f t="shared" si="168"/>
        <v>0</v>
      </c>
      <c r="KYE64" s="857">
        <f t="shared" si="168"/>
        <v>0</v>
      </c>
      <c r="KYF64" s="857">
        <f t="shared" si="168"/>
        <v>0</v>
      </c>
      <c r="KYG64" s="857">
        <f t="shared" si="168"/>
        <v>0</v>
      </c>
      <c r="KYH64" s="857">
        <f t="shared" si="168"/>
        <v>0</v>
      </c>
      <c r="KYI64" s="857">
        <f t="shared" si="168"/>
        <v>0</v>
      </c>
      <c r="KYJ64" s="857">
        <f t="shared" si="168"/>
        <v>0</v>
      </c>
      <c r="KYK64" s="857">
        <f t="shared" si="168"/>
        <v>0</v>
      </c>
      <c r="KYL64" s="857">
        <f t="shared" si="168"/>
        <v>0</v>
      </c>
      <c r="KYM64" s="857">
        <f t="shared" si="168"/>
        <v>0</v>
      </c>
      <c r="KYN64" s="857">
        <f t="shared" si="168"/>
        <v>0</v>
      </c>
      <c r="KYO64" s="857">
        <f t="shared" si="168"/>
        <v>0</v>
      </c>
      <c r="KYP64" s="857">
        <f t="shared" si="168"/>
        <v>0</v>
      </c>
      <c r="KYQ64" s="857">
        <f t="shared" si="168"/>
        <v>0</v>
      </c>
      <c r="KYR64" s="857">
        <f t="shared" si="168"/>
        <v>0</v>
      </c>
      <c r="KYS64" s="857">
        <f t="shared" si="168"/>
        <v>0</v>
      </c>
      <c r="KYT64" s="857">
        <f t="shared" si="168"/>
        <v>0</v>
      </c>
      <c r="KYU64" s="857">
        <f t="shared" si="168"/>
        <v>0</v>
      </c>
      <c r="KYV64" s="857">
        <f t="shared" si="168"/>
        <v>0</v>
      </c>
      <c r="KYW64" s="857">
        <f t="shared" si="168"/>
        <v>0</v>
      </c>
      <c r="KYX64" s="857">
        <f t="shared" si="168"/>
        <v>0</v>
      </c>
      <c r="KYY64" s="857">
        <f t="shared" si="168"/>
        <v>0</v>
      </c>
      <c r="KYZ64" s="857">
        <f t="shared" si="168"/>
        <v>0</v>
      </c>
      <c r="KZA64" s="857">
        <f t="shared" si="168"/>
        <v>0</v>
      </c>
      <c r="KZB64" s="857">
        <f t="shared" si="168"/>
        <v>0</v>
      </c>
      <c r="KZC64" s="857">
        <f t="shared" si="168"/>
        <v>0</v>
      </c>
      <c r="KZD64" s="857">
        <f t="shared" si="168"/>
        <v>0</v>
      </c>
      <c r="KZE64" s="857">
        <f t="shared" si="168"/>
        <v>0</v>
      </c>
      <c r="KZF64" s="857">
        <f t="shared" si="168"/>
        <v>0</v>
      </c>
      <c r="KZG64" s="857">
        <f t="shared" si="168"/>
        <v>0</v>
      </c>
      <c r="KZH64" s="857">
        <f t="shared" si="168"/>
        <v>0</v>
      </c>
      <c r="KZI64" s="857">
        <f t="shared" si="168"/>
        <v>0</v>
      </c>
      <c r="KZJ64" s="857">
        <f t="shared" si="168"/>
        <v>0</v>
      </c>
      <c r="KZK64" s="857">
        <f t="shared" si="168"/>
        <v>0</v>
      </c>
      <c r="KZL64" s="857">
        <f t="shared" si="168"/>
        <v>0</v>
      </c>
      <c r="KZM64" s="857">
        <f t="shared" si="168"/>
        <v>0</v>
      </c>
      <c r="KZN64" s="857">
        <f t="shared" si="168"/>
        <v>0</v>
      </c>
      <c r="KZO64" s="857">
        <f t="shared" si="168"/>
        <v>0</v>
      </c>
      <c r="KZP64" s="857">
        <f t="shared" si="168"/>
        <v>0</v>
      </c>
      <c r="KZQ64" s="857">
        <f t="shared" si="168"/>
        <v>0</v>
      </c>
      <c r="KZR64" s="857">
        <f t="shared" si="168"/>
        <v>0</v>
      </c>
      <c r="KZS64" s="857">
        <f t="shared" si="168"/>
        <v>0</v>
      </c>
      <c r="KZT64" s="857">
        <f t="shared" si="168"/>
        <v>0</v>
      </c>
      <c r="KZU64" s="857">
        <f t="shared" si="168"/>
        <v>0</v>
      </c>
      <c r="KZV64" s="857">
        <f t="shared" ref="KZV64:LCG64" si="169">(KZV57-KZV59)*$C$64</f>
        <v>0</v>
      </c>
      <c r="KZW64" s="857">
        <f t="shared" si="169"/>
        <v>0</v>
      </c>
      <c r="KZX64" s="857">
        <f t="shared" si="169"/>
        <v>0</v>
      </c>
      <c r="KZY64" s="857">
        <f t="shared" si="169"/>
        <v>0</v>
      </c>
      <c r="KZZ64" s="857">
        <f t="shared" si="169"/>
        <v>0</v>
      </c>
      <c r="LAA64" s="857">
        <f t="shared" si="169"/>
        <v>0</v>
      </c>
      <c r="LAB64" s="857">
        <f t="shared" si="169"/>
        <v>0</v>
      </c>
      <c r="LAC64" s="857">
        <f t="shared" si="169"/>
        <v>0</v>
      </c>
      <c r="LAD64" s="857">
        <f t="shared" si="169"/>
        <v>0</v>
      </c>
      <c r="LAE64" s="857">
        <f t="shared" si="169"/>
        <v>0</v>
      </c>
      <c r="LAF64" s="857">
        <f t="shared" si="169"/>
        <v>0</v>
      </c>
      <c r="LAG64" s="857">
        <f t="shared" si="169"/>
        <v>0</v>
      </c>
      <c r="LAH64" s="857">
        <f t="shared" si="169"/>
        <v>0</v>
      </c>
      <c r="LAI64" s="857">
        <f t="shared" si="169"/>
        <v>0</v>
      </c>
      <c r="LAJ64" s="857">
        <f t="shared" si="169"/>
        <v>0</v>
      </c>
      <c r="LAK64" s="857">
        <f t="shared" si="169"/>
        <v>0</v>
      </c>
      <c r="LAL64" s="857">
        <f t="shared" si="169"/>
        <v>0</v>
      </c>
      <c r="LAM64" s="857">
        <f t="shared" si="169"/>
        <v>0</v>
      </c>
      <c r="LAN64" s="857">
        <f t="shared" si="169"/>
        <v>0</v>
      </c>
      <c r="LAO64" s="857">
        <f t="shared" si="169"/>
        <v>0</v>
      </c>
      <c r="LAP64" s="857">
        <f t="shared" si="169"/>
        <v>0</v>
      </c>
      <c r="LAQ64" s="857">
        <f t="shared" si="169"/>
        <v>0</v>
      </c>
      <c r="LAR64" s="857">
        <f t="shared" si="169"/>
        <v>0</v>
      </c>
      <c r="LAS64" s="857">
        <f t="shared" si="169"/>
        <v>0</v>
      </c>
      <c r="LAT64" s="857">
        <f t="shared" si="169"/>
        <v>0</v>
      </c>
      <c r="LAU64" s="857">
        <f t="shared" si="169"/>
        <v>0</v>
      </c>
      <c r="LAV64" s="857">
        <f t="shared" si="169"/>
        <v>0</v>
      </c>
      <c r="LAW64" s="857">
        <f t="shared" si="169"/>
        <v>0</v>
      </c>
      <c r="LAX64" s="857">
        <f t="shared" si="169"/>
        <v>0</v>
      </c>
      <c r="LAY64" s="857">
        <f t="shared" si="169"/>
        <v>0</v>
      </c>
      <c r="LAZ64" s="857">
        <f t="shared" si="169"/>
        <v>0</v>
      </c>
      <c r="LBA64" s="857">
        <f t="shared" si="169"/>
        <v>0</v>
      </c>
      <c r="LBB64" s="857">
        <f t="shared" si="169"/>
        <v>0</v>
      </c>
      <c r="LBC64" s="857">
        <f t="shared" si="169"/>
        <v>0</v>
      </c>
      <c r="LBD64" s="857">
        <f t="shared" si="169"/>
        <v>0</v>
      </c>
      <c r="LBE64" s="857">
        <f t="shared" si="169"/>
        <v>0</v>
      </c>
      <c r="LBF64" s="857">
        <f t="shared" si="169"/>
        <v>0</v>
      </c>
      <c r="LBG64" s="857">
        <f t="shared" si="169"/>
        <v>0</v>
      </c>
      <c r="LBH64" s="857">
        <f t="shared" si="169"/>
        <v>0</v>
      </c>
      <c r="LBI64" s="857">
        <f t="shared" si="169"/>
        <v>0</v>
      </c>
      <c r="LBJ64" s="857">
        <f t="shared" si="169"/>
        <v>0</v>
      </c>
      <c r="LBK64" s="857">
        <f t="shared" si="169"/>
        <v>0</v>
      </c>
      <c r="LBL64" s="857">
        <f t="shared" si="169"/>
        <v>0</v>
      </c>
      <c r="LBM64" s="857">
        <f t="shared" si="169"/>
        <v>0</v>
      </c>
      <c r="LBN64" s="857">
        <f t="shared" si="169"/>
        <v>0</v>
      </c>
      <c r="LBO64" s="857">
        <f t="shared" si="169"/>
        <v>0</v>
      </c>
      <c r="LBP64" s="857">
        <f t="shared" si="169"/>
        <v>0</v>
      </c>
      <c r="LBQ64" s="857">
        <f t="shared" si="169"/>
        <v>0</v>
      </c>
      <c r="LBR64" s="857">
        <f t="shared" si="169"/>
        <v>0</v>
      </c>
      <c r="LBS64" s="857">
        <f t="shared" si="169"/>
        <v>0</v>
      </c>
      <c r="LBT64" s="857">
        <f t="shared" si="169"/>
        <v>0</v>
      </c>
      <c r="LBU64" s="857">
        <f t="shared" si="169"/>
        <v>0</v>
      </c>
      <c r="LBV64" s="857">
        <f t="shared" si="169"/>
        <v>0</v>
      </c>
      <c r="LBW64" s="857">
        <f t="shared" si="169"/>
        <v>0</v>
      </c>
      <c r="LBX64" s="857">
        <f t="shared" si="169"/>
        <v>0</v>
      </c>
      <c r="LBY64" s="857">
        <f t="shared" si="169"/>
        <v>0</v>
      </c>
      <c r="LBZ64" s="857">
        <f t="shared" si="169"/>
        <v>0</v>
      </c>
      <c r="LCA64" s="857">
        <f t="shared" si="169"/>
        <v>0</v>
      </c>
      <c r="LCB64" s="857">
        <f t="shared" si="169"/>
        <v>0</v>
      </c>
      <c r="LCC64" s="857">
        <f t="shared" si="169"/>
        <v>0</v>
      </c>
      <c r="LCD64" s="857">
        <f t="shared" si="169"/>
        <v>0</v>
      </c>
      <c r="LCE64" s="857">
        <f t="shared" si="169"/>
        <v>0</v>
      </c>
      <c r="LCF64" s="857">
        <f t="shared" si="169"/>
        <v>0</v>
      </c>
      <c r="LCG64" s="857">
        <f t="shared" si="169"/>
        <v>0</v>
      </c>
      <c r="LCH64" s="857">
        <f t="shared" ref="LCH64:LES64" si="170">(LCH57-LCH59)*$C$64</f>
        <v>0</v>
      </c>
      <c r="LCI64" s="857">
        <f t="shared" si="170"/>
        <v>0</v>
      </c>
      <c r="LCJ64" s="857">
        <f t="shared" si="170"/>
        <v>0</v>
      </c>
      <c r="LCK64" s="857">
        <f t="shared" si="170"/>
        <v>0</v>
      </c>
      <c r="LCL64" s="857">
        <f t="shared" si="170"/>
        <v>0</v>
      </c>
      <c r="LCM64" s="857">
        <f t="shared" si="170"/>
        <v>0</v>
      </c>
      <c r="LCN64" s="857">
        <f t="shared" si="170"/>
        <v>0</v>
      </c>
      <c r="LCO64" s="857">
        <f t="shared" si="170"/>
        <v>0</v>
      </c>
      <c r="LCP64" s="857">
        <f t="shared" si="170"/>
        <v>0</v>
      </c>
      <c r="LCQ64" s="857">
        <f t="shared" si="170"/>
        <v>0</v>
      </c>
      <c r="LCR64" s="857">
        <f t="shared" si="170"/>
        <v>0</v>
      </c>
      <c r="LCS64" s="857">
        <f t="shared" si="170"/>
        <v>0</v>
      </c>
      <c r="LCT64" s="857">
        <f t="shared" si="170"/>
        <v>0</v>
      </c>
      <c r="LCU64" s="857">
        <f t="shared" si="170"/>
        <v>0</v>
      </c>
      <c r="LCV64" s="857">
        <f t="shared" si="170"/>
        <v>0</v>
      </c>
      <c r="LCW64" s="857">
        <f t="shared" si="170"/>
        <v>0</v>
      </c>
      <c r="LCX64" s="857">
        <f t="shared" si="170"/>
        <v>0</v>
      </c>
      <c r="LCY64" s="857">
        <f t="shared" si="170"/>
        <v>0</v>
      </c>
      <c r="LCZ64" s="857">
        <f t="shared" si="170"/>
        <v>0</v>
      </c>
      <c r="LDA64" s="857">
        <f t="shared" si="170"/>
        <v>0</v>
      </c>
      <c r="LDB64" s="857">
        <f t="shared" si="170"/>
        <v>0</v>
      </c>
      <c r="LDC64" s="857">
        <f t="shared" si="170"/>
        <v>0</v>
      </c>
      <c r="LDD64" s="857">
        <f t="shared" si="170"/>
        <v>0</v>
      </c>
      <c r="LDE64" s="857">
        <f t="shared" si="170"/>
        <v>0</v>
      </c>
      <c r="LDF64" s="857">
        <f t="shared" si="170"/>
        <v>0</v>
      </c>
      <c r="LDG64" s="857">
        <f t="shared" si="170"/>
        <v>0</v>
      </c>
      <c r="LDH64" s="857">
        <f t="shared" si="170"/>
        <v>0</v>
      </c>
      <c r="LDI64" s="857">
        <f t="shared" si="170"/>
        <v>0</v>
      </c>
      <c r="LDJ64" s="857">
        <f t="shared" si="170"/>
        <v>0</v>
      </c>
      <c r="LDK64" s="857">
        <f t="shared" si="170"/>
        <v>0</v>
      </c>
      <c r="LDL64" s="857">
        <f t="shared" si="170"/>
        <v>0</v>
      </c>
      <c r="LDM64" s="857">
        <f t="shared" si="170"/>
        <v>0</v>
      </c>
      <c r="LDN64" s="857">
        <f t="shared" si="170"/>
        <v>0</v>
      </c>
      <c r="LDO64" s="857">
        <f t="shared" si="170"/>
        <v>0</v>
      </c>
      <c r="LDP64" s="857">
        <f t="shared" si="170"/>
        <v>0</v>
      </c>
      <c r="LDQ64" s="857">
        <f t="shared" si="170"/>
        <v>0</v>
      </c>
      <c r="LDR64" s="857">
        <f t="shared" si="170"/>
        <v>0</v>
      </c>
      <c r="LDS64" s="857">
        <f t="shared" si="170"/>
        <v>0</v>
      </c>
      <c r="LDT64" s="857">
        <f t="shared" si="170"/>
        <v>0</v>
      </c>
      <c r="LDU64" s="857">
        <f t="shared" si="170"/>
        <v>0</v>
      </c>
      <c r="LDV64" s="857">
        <f t="shared" si="170"/>
        <v>0</v>
      </c>
      <c r="LDW64" s="857">
        <f t="shared" si="170"/>
        <v>0</v>
      </c>
      <c r="LDX64" s="857">
        <f t="shared" si="170"/>
        <v>0</v>
      </c>
      <c r="LDY64" s="857">
        <f t="shared" si="170"/>
        <v>0</v>
      </c>
      <c r="LDZ64" s="857">
        <f t="shared" si="170"/>
        <v>0</v>
      </c>
      <c r="LEA64" s="857">
        <f t="shared" si="170"/>
        <v>0</v>
      </c>
      <c r="LEB64" s="857">
        <f t="shared" si="170"/>
        <v>0</v>
      </c>
      <c r="LEC64" s="857">
        <f t="shared" si="170"/>
        <v>0</v>
      </c>
      <c r="LED64" s="857">
        <f t="shared" si="170"/>
        <v>0</v>
      </c>
      <c r="LEE64" s="857">
        <f t="shared" si="170"/>
        <v>0</v>
      </c>
      <c r="LEF64" s="857">
        <f t="shared" si="170"/>
        <v>0</v>
      </c>
      <c r="LEG64" s="857">
        <f t="shared" si="170"/>
        <v>0</v>
      </c>
      <c r="LEH64" s="857">
        <f t="shared" si="170"/>
        <v>0</v>
      </c>
      <c r="LEI64" s="857">
        <f t="shared" si="170"/>
        <v>0</v>
      </c>
      <c r="LEJ64" s="857">
        <f t="shared" si="170"/>
        <v>0</v>
      </c>
      <c r="LEK64" s="857">
        <f t="shared" si="170"/>
        <v>0</v>
      </c>
      <c r="LEL64" s="857">
        <f t="shared" si="170"/>
        <v>0</v>
      </c>
      <c r="LEM64" s="857">
        <f t="shared" si="170"/>
        <v>0</v>
      </c>
      <c r="LEN64" s="857">
        <f t="shared" si="170"/>
        <v>0</v>
      </c>
      <c r="LEO64" s="857">
        <f t="shared" si="170"/>
        <v>0</v>
      </c>
      <c r="LEP64" s="857">
        <f t="shared" si="170"/>
        <v>0</v>
      </c>
      <c r="LEQ64" s="857">
        <f t="shared" si="170"/>
        <v>0</v>
      </c>
      <c r="LER64" s="857">
        <f t="shared" si="170"/>
        <v>0</v>
      </c>
      <c r="LES64" s="857">
        <f t="shared" si="170"/>
        <v>0</v>
      </c>
      <c r="LET64" s="857">
        <f t="shared" ref="LET64:LHE64" si="171">(LET57-LET59)*$C$64</f>
        <v>0</v>
      </c>
      <c r="LEU64" s="857">
        <f t="shared" si="171"/>
        <v>0</v>
      </c>
      <c r="LEV64" s="857">
        <f t="shared" si="171"/>
        <v>0</v>
      </c>
      <c r="LEW64" s="857">
        <f t="shared" si="171"/>
        <v>0</v>
      </c>
      <c r="LEX64" s="857">
        <f t="shared" si="171"/>
        <v>0</v>
      </c>
      <c r="LEY64" s="857">
        <f t="shared" si="171"/>
        <v>0</v>
      </c>
      <c r="LEZ64" s="857">
        <f t="shared" si="171"/>
        <v>0</v>
      </c>
      <c r="LFA64" s="857">
        <f t="shared" si="171"/>
        <v>0</v>
      </c>
      <c r="LFB64" s="857">
        <f t="shared" si="171"/>
        <v>0</v>
      </c>
      <c r="LFC64" s="857">
        <f t="shared" si="171"/>
        <v>0</v>
      </c>
      <c r="LFD64" s="857">
        <f t="shared" si="171"/>
        <v>0</v>
      </c>
      <c r="LFE64" s="857">
        <f t="shared" si="171"/>
        <v>0</v>
      </c>
      <c r="LFF64" s="857">
        <f t="shared" si="171"/>
        <v>0</v>
      </c>
      <c r="LFG64" s="857">
        <f t="shared" si="171"/>
        <v>0</v>
      </c>
      <c r="LFH64" s="857">
        <f t="shared" si="171"/>
        <v>0</v>
      </c>
      <c r="LFI64" s="857">
        <f t="shared" si="171"/>
        <v>0</v>
      </c>
      <c r="LFJ64" s="857">
        <f t="shared" si="171"/>
        <v>0</v>
      </c>
      <c r="LFK64" s="857">
        <f t="shared" si="171"/>
        <v>0</v>
      </c>
      <c r="LFL64" s="857">
        <f t="shared" si="171"/>
        <v>0</v>
      </c>
      <c r="LFM64" s="857">
        <f t="shared" si="171"/>
        <v>0</v>
      </c>
      <c r="LFN64" s="857">
        <f t="shared" si="171"/>
        <v>0</v>
      </c>
      <c r="LFO64" s="857">
        <f t="shared" si="171"/>
        <v>0</v>
      </c>
      <c r="LFP64" s="857">
        <f t="shared" si="171"/>
        <v>0</v>
      </c>
      <c r="LFQ64" s="857">
        <f t="shared" si="171"/>
        <v>0</v>
      </c>
      <c r="LFR64" s="857">
        <f t="shared" si="171"/>
        <v>0</v>
      </c>
      <c r="LFS64" s="857">
        <f t="shared" si="171"/>
        <v>0</v>
      </c>
      <c r="LFT64" s="857">
        <f t="shared" si="171"/>
        <v>0</v>
      </c>
      <c r="LFU64" s="857">
        <f t="shared" si="171"/>
        <v>0</v>
      </c>
      <c r="LFV64" s="857">
        <f t="shared" si="171"/>
        <v>0</v>
      </c>
      <c r="LFW64" s="857">
        <f t="shared" si="171"/>
        <v>0</v>
      </c>
      <c r="LFX64" s="857">
        <f t="shared" si="171"/>
        <v>0</v>
      </c>
      <c r="LFY64" s="857">
        <f t="shared" si="171"/>
        <v>0</v>
      </c>
      <c r="LFZ64" s="857">
        <f t="shared" si="171"/>
        <v>0</v>
      </c>
      <c r="LGA64" s="857">
        <f t="shared" si="171"/>
        <v>0</v>
      </c>
      <c r="LGB64" s="857">
        <f t="shared" si="171"/>
        <v>0</v>
      </c>
      <c r="LGC64" s="857">
        <f t="shared" si="171"/>
        <v>0</v>
      </c>
      <c r="LGD64" s="857">
        <f t="shared" si="171"/>
        <v>0</v>
      </c>
      <c r="LGE64" s="857">
        <f t="shared" si="171"/>
        <v>0</v>
      </c>
      <c r="LGF64" s="857">
        <f t="shared" si="171"/>
        <v>0</v>
      </c>
      <c r="LGG64" s="857">
        <f t="shared" si="171"/>
        <v>0</v>
      </c>
      <c r="LGH64" s="857">
        <f t="shared" si="171"/>
        <v>0</v>
      </c>
      <c r="LGI64" s="857">
        <f t="shared" si="171"/>
        <v>0</v>
      </c>
      <c r="LGJ64" s="857">
        <f t="shared" si="171"/>
        <v>0</v>
      </c>
      <c r="LGK64" s="857">
        <f t="shared" si="171"/>
        <v>0</v>
      </c>
      <c r="LGL64" s="857">
        <f t="shared" si="171"/>
        <v>0</v>
      </c>
      <c r="LGM64" s="857">
        <f t="shared" si="171"/>
        <v>0</v>
      </c>
      <c r="LGN64" s="857">
        <f t="shared" si="171"/>
        <v>0</v>
      </c>
      <c r="LGO64" s="857">
        <f t="shared" si="171"/>
        <v>0</v>
      </c>
      <c r="LGP64" s="857">
        <f t="shared" si="171"/>
        <v>0</v>
      </c>
      <c r="LGQ64" s="857">
        <f t="shared" si="171"/>
        <v>0</v>
      </c>
      <c r="LGR64" s="857">
        <f t="shared" si="171"/>
        <v>0</v>
      </c>
      <c r="LGS64" s="857">
        <f t="shared" si="171"/>
        <v>0</v>
      </c>
      <c r="LGT64" s="857">
        <f t="shared" si="171"/>
        <v>0</v>
      </c>
      <c r="LGU64" s="857">
        <f t="shared" si="171"/>
        <v>0</v>
      </c>
      <c r="LGV64" s="857">
        <f t="shared" si="171"/>
        <v>0</v>
      </c>
      <c r="LGW64" s="857">
        <f t="shared" si="171"/>
        <v>0</v>
      </c>
      <c r="LGX64" s="857">
        <f t="shared" si="171"/>
        <v>0</v>
      </c>
      <c r="LGY64" s="857">
        <f t="shared" si="171"/>
        <v>0</v>
      </c>
      <c r="LGZ64" s="857">
        <f t="shared" si="171"/>
        <v>0</v>
      </c>
      <c r="LHA64" s="857">
        <f t="shared" si="171"/>
        <v>0</v>
      </c>
      <c r="LHB64" s="857">
        <f t="shared" si="171"/>
        <v>0</v>
      </c>
      <c r="LHC64" s="857">
        <f t="shared" si="171"/>
        <v>0</v>
      </c>
      <c r="LHD64" s="857">
        <f t="shared" si="171"/>
        <v>0</v>
      </c>
      <c r="LHE64" s="857">
        <f t="shared" si="171"/>
        <v>0</v>
      </c>
      <c r="LHF64" s="857">
        <f t="shared" ref="LHF64:LJQ64" si="172">(LHF57-LHF59)*$C$64</f>
        <v>0</v>
      </c>
      <c r="LHG64" s="857">
        <f t="shared" si="172"/>
        <v>0</v>
      </c>
      <c r="LHH64" s="857">
        <f t="shared" si="172"/>
        <v>0</v>
      </c>
      <c r="LHI64" s="857">
        <f t="shared" si="172"/>
        <v>0</v>
      </c>
      <c r="LHJ64" s="857">
        <f t="shared" si="172"/>
        <v>0</v>
      </c>
      <c r="LHK64" s="857">
        <f t="shared" si="172"/>
        <v>0</v>
      </c>
      <c r="LHL64" s="857">
        <f t="shared" si="172"/>
        <v>0</v>
      </c>
      <c r="LHM64" s="857">
        <f t="shared" si="172"/>
        <v>0</v>
      </c>
      <c r="LHN64" s="857">
        <f t="shared" si="172"/>
        <v>0</v>
      </c>
      <c r="LHO64" s="857">
        <f t="shared" si="172"/>
        <v>0</v>
      </c>
      <c r="LHP64" s="857">
        <f t="shared" si="172"/>
        <v>0</v>
      </c>
      <c r="LHQ64" s="857">
        <f t="shared" si="172"/>
        <v>0</v>
      </c>
      <c r="LHR64" s="857">
        <f t="shared" si="172"/>
        <v>0</v>
      </c>
      <c r="LHS64" s="857">
        <f t="shared" si="172"/>
        <v>0</v>
      </c>
      <c r="LHT64" s="857">
        <f t="shared" si="172"/>
        <v>0</v>
      </c>
      <c r="LHU64" s="857">
        <f t="shared" si="172"/>
        <v>0</v>
      </c>
      <c r="LHV64" s="857">
        <f t="shared" si="172"/>
        <v>0</v>
      </c>
      <c r="LHW64" s="857">
        <f t="shared" si="172"/>
        <v>0</v>
      </c>
      <c r="LHX64" s="857">
        <f t="shared" si="172"/>
        <v>0</v>
      </c>
      <c r="LHY64" s="857">
        <f t="shared" si="172"/>
        <v>0</v>
      </c>
      <c r="LHZ64" s="857">
        <f t="shared" si="172"/>
        <v>0</v>
      </c>
      <c r="LIA64" s="857">
        <f t="shared" si="172"/>
        <v>0</v>
      </c>
      <c r="LIB64" s="857">
        <f t="shared" si="172"/>
        <v>0</v>
      </c>
      <c r="LIC64" s="857">
        <f t="shared" si="172"/>
        <v>0</v>
      </c>
      <c r="LID64" s="857">
        <f t="shared" si="172"/>
        <v>0</v>
      </c>
      <c r="LIE64" s="857">
        <f t="shared" si="172"/>
        <v>0</v>
      </c>
      <c r="LIF64" s="857">
        <f t="shared" si="172"/>
        <v>0</v>
      </c>
      <c r="LIG64" s="857">
        <f t="shared" si="172"/>
        <v>0</v>
      </c>
      <c r="LIH64" s="857">
        <f t="shared" si="172"/>
        <v>0</v>
      </c>
      <c r="LII64" s="857">
        <f t="shared" si="172"/>
        <v>0</v>
      </c>
      <c r="LIJ64" s="857">
        <f t="shared" si="172"/>
        <v>0</v>
      </c>
      <c r="LIK64" s="857">
        <f t="shared" si="172"/>
        <v>0</v>
      </c>
      <c r="LIL64" s="857">
        <f t="shared" si="172"/>
        <v>0</v>
      </c>
      <c r="LIM64" s="857">
        <f t="shared" si="172"/>
        <v>0</v>
      </c>
      <c r="LIN64" s="857">
        <f t="shared" si="172"/>
        <v>0</v>
      </c>
      <c r="LIO64" s="857">
        <f t="shared" si="172"/>
        <v>0</v>
      </c>
      <c r="LIP64" s="857">
        <f t="shared" si="172"/>
        <v>0</v>
      </c>
      <c r="LIQ64" s="857">
        <f t="shared" si="172"/>
        <v>0</v>
      </c>
      <c r="LIR64" s="857">
        <f t="shared" si="172"/>
        <v>0</v>
      </c>
      <c r="LIS64" s="857">
        <f t="shared" si="172"/>
        <v>0</v>
      </c>
      <c r="LIT64" s="857">
        <f t="shared" si="172"/>
        <v>0</v>
      </c>
      <c r="LIU64" s="857">
        <f t="shared" si="172"/>
        <v>0</v>
      </c>
      <c r="LIV64" s="857">
        <f t="shared" si="172"/>
        <v>0</v>
      </c>
      <c r="LIW64" s="857">
        <f t="shared" si="172"/>
        <v>0</v>
      </c>
      <c r="LIX64" s="857">
        <f t="shared" si="172"/>
        <v>0</v>
      </c>
      <c r="LIY64" s="857">
        <f t="shared" si="172"/>
        <v>0</v>
      </c>
      <c r="LIZ64" s="857">
        <f t="shared" si="172"/>
        <v>0</v>
      </c>
      <c r="LJA64" s="857">
        <f t="shared" si="172"/>
        <v>0</v>
      </c>
      <c r="LJB64" s="857">
        <f t="shared" si="172"/>
        <v>0</v>
      </c>
      <c r="LJC64" s="857">
        <f t="shared" si="172"/>
        <v>0</v>
      </c>
      <c r="LJD64" s="857">
        <f t="shared" si="172"/>
        <v>0</v>
      </c>
      <c r="LJE64" s="857">
        <f t="shared" si="172"/>
        <v>0</v>
      </c>
      <c r="LJF64" s="857">
        <f t="shared" si="172"/>
        <v>0</v>
      </c>
      <c r="LJG64" s="857">
        <f t="shared" si="172"/>
        <v>0</v>
      </c>
      <c r="LJH64" s="857">
        <f t="shared" si="172"/>
        <v>0</v>
      </c>
      <c r="LJI64" s="857">
        <f t="shared" si="172"/>
        <v>0</v>
      </c>
      <c r="LJJ64" s="857">
        <f t="shared" si="172"/>
        <v>0</v>
      </c>
      <c r="LJK64" s="857">
        <f t="shared" si="172"/>
        <v>0</v>
      </c>
      <c r="LJL64" s="857">
        <f t="shared" si="172"/>
        <v>0</v>
      </c>
      <c r="LJM64" s="857">
        <f t="shared" si="172"/>
        <v>0</v>
      </c>
      <c r="LJN64" s="857">
        <f t="shared" si="172"/>
        <v>0</v>
      </c>
      <c r="LJO64" s="857">
        <f t="shared" si="172"/>
        <v>0</v>
      </c>
      <c r="LJP64" s="857">
        <f t="shared" si="172"/>
        <v>0</v>
      </c>
      <c r="LJQ64" s="857">
        <f t="shared" si="172"/>
        <v>0</v>
      </c>
      <c r="LJR64" s="857">
        <f t="shared" ref="LJR64:LMC64" si="173">(LJR57-LJR59)*$C$64</f>
        <v>0</v>
      </c>
      <c r="LJS64" s="857">
        <f t="shared" si="173"/>
        <v>0</v>
      </c>
      <c r="LJT64" s="857">
        <f t="shared" si="173"/>
        <v>0</v>
      </c>
      <c r="LJU64" s="857">
        <f t="shared" si="173"/>
        <v>0</v>
      </c>
      <c r="LJV64" s="857">
        <f t="shared" si="173"/>
        <v>0</v>
      </c>
      <c r="LJW64" s="857">
        <f t="shared" si="173"/>
        <v>0</v>
      </c>
      <c r="LJX64" s="857">
        <f t="shared" si="173"/>
        <v>0</v>
      </c>
      <c r="LJY64" s="857">
        <f t="shared" si="173"/>
        <v>0</v>
      </c>
      <c r="LJZ64" s="857">
        <f t="shared" si="173"/>
        <v>0</v>
      </c>
      <c r="LKA64" s="857">
        <f t="shared" si="173"/>
        <v>0</v>
      </c>
      <c r="LKB64" s="857">
        <f t="shared" si="173"/>
        <v>0</v>
      </c>
      <c r="LKC64" s="857">
        <f t="shared" si="173"/>
        <v>0</v>
      </c>
      <c r="LKD64" s="857">
        <f t="shared" si="173"/>
        <v>0</v>
      </c>
      <c r="LKE64" s="857">
        <f t="shared" si="173"/>
        <v>0</v>
      </c>
      <c r="LKF64" s="857">
        <f t="shared" si="173"/>
        <v>0</v>
      </c>
      <c r="LKG64" s="857">
        <f t="shared" si="173"/>
        <v>0</v>
      </c>
      <c r="LKH64" s="857">
        <f t="shared" si="173"/>
        <v>0</v>
      </c>
      <c r="LKI64" s="857">
        <f t="shared" si="173"/>
        <v>0</v>
      </c>
      <c r="LKJ64" s="857">
        <f t="shared" si="173"/>
        <v>0</v>
      </c>
      <c r="LKK64" s="857">
        <f t="shared" si="173"/>
        <v>0</v>
      </c>
      <c r="LKL64" s="857">
        <f t="shared" si="173"/>
        <v>0</v>
      </c>
      <c r="LKM64" s="857">
        <f t="shared" si="173"/>
        <v>0</v>
      </c>
      <c r="LKN64" s="857">
        <f t="shared" si="173"/>
        <v>0</v>
      </c>
      <c r="LKO64" s="857">
        <f t="shared" si="173"/>
        <v>0</v>
      </c>
      <c r="LKP64" s="857">
        <f t="shared" si="173"/>
        <v>0</v>
      </c>
      <c r="LKQ64" s="857">
        <f t="shared" si="173"/>
        <v>0</v>
      </c>
      <c r="LKR64" s="857">
        <f t="shared" si="173"/>
        <v>0</v>
      </c>
      <c r="LKS64" s="857">
        <f t="shared" si="173"/>
        <v>0</v>
      </c>
      <c r="LKT64" s="857">
        <f t="shared" si="173"/>
        <v>0</v>
      </c>
      <c r="LKU64" s="857">
        <f t="shared" si="173"/>
        <v>0</v>
      </c>
      <c r="LKV64" s="857">
        <f t="shared" si="173"/>
        <v>0</v>
      </c>
      <c r="LKW64" s="857">
        <f t="shared" si="173"/>
        <v>0</v>
      </c>
      <c r="LKX64" s="857">
        <f t="shared" si="173"/>
        <v>0</v>
      </c>
      <c r="LKY64" s="857">
        <f t="shared" si="173"/>
        <v>0</v>
      </c>
      <c r="LKZ64" s="857">
        <f t="shared" si="173"/>
        <v>0</v>
      </c>
      <c r="LLA64" s="857">
        <f t="shared" si="173"/>
        <v>0</v>
      </c>
      <c r="LLB64" s="857">
        <f t="shared" si="173"/>
        <v>0</v>
      </c>
      <c r="LLC64" s="857">
        <f t="shared" si="173"/>
        <v>0</v>
      </c>
      <c r="LLD64" s="857">
        <f t="shared" si="173"/>
        <v>0</v>
      </c>
      <c r="LLE64" s="857">
        <f t="shared" si="173"/>
        <v>0</v>
      </c>
      <c r="LLF64" s="857">
        <f t="shared" si="173"/>
        <v>0</v>
      </c>
      <c r="LLG64" s="857">
        <f t="shared" si="173"/>
        <v>0</v>
      </c>
      <c r="LLH64" s="857">
        <f t="shared" si="173"/>
        <v>0</v>
      </c>
      <c r="LLI64" s="857">
        <f t="shared" si="173"/>
        <v>0</v>
      </c>
      <c r="LLJ64" s="857">
        <f t="shared" si="173"/>
        <v>0</v>
      </c>
      <c r="LLK64" s="857">
        <f t="shared" si="173"/>
        <v>0</v>
      </c>
      <c r="LLL64" s="857">
        <f t="shared" si="173"/>
        <v>0</v>
      </c>
      <c r="LLM64" s="857">
        <f t="shared" si="173"/>
        <v>0</v>
      </c>
      <c r="LLN64" s="857">
        <f t="shared" si="173"/>
        <v>0</v>
      </c>
      <c r="LLO64" s="857">
        <f t="shared" si="173"/>
        <v>0</v>
      </c>
      <c r="LLP64" s="857">
        <f t="shared" si="173"/>
        <v>0</v>
      </c>
      <c r="LLQ64" s="857">
        <f t="shared" si="173"/>
        <v>0</v>
      </c>
      <c r="LLR64" s="857">
        <f t="shared" si="173"/>
        <v>0</v>
      </c>
      <c r="LLS64" s="857">
        <f t="shared" si="173"/>
        <v>0</v>
      </c>
      <c r="LLT64" s="857">
        <f t="shared" si="173"/>
        <v>0</v>
      </c>
      <c r="LLU64" s="857">
        <f t="shared" si="173"/>
        <v>0</v>
      </c>
      <c r="LLV64" s="857">
        <f t="shared" si="173"/>
        <v>0</v>
      </c>
      <c r="LLW64" s="857">
        <f t="shared" si="173"/>
        <v>0</v>
      </c>
      <c r="LLX64" s="857">
        <f t="shared" si="173"/>
        <v>0</v>
      </c>
      <c r="LLY64" s="857">
        <f t="shared" si="173"/>
        <v>0</v>
      </c>
      <c r="LLZ64" s="857">
        <f t="shared" si="173"/>
        <v>0</v>
      </c>
      <c r="LMA64" s="857">
        <f t="shared" si="173"/>
        <v>0</v>
      </c>
      <c r="LMB64" s="857">
        <f t="shared" si="173"/>
        <v>0</v>
      </c>
      <c r="LMC64" s="857">
        <f t="shared" si="173"/>
        <v>0</v>
      </c>
      <c r="LMD64" s="857">
        <f t="shared" ref="LMD64:LOO64" si="174">(LMD57-LMD59)*$C$64</f>
        <v>0</v>
      </c>
      <c r="LME64" s="857">
        <f t="shared" si="174"/>
        <v>0</v>
      </c>
      <c r="LMF64" s="857">
        <f t="shared" si="174"/>
        <v>0</v>
      </c>
      <c r="LMG64" s="857">
        <f t="shared" si="174"/>
        <v>0</v>
      </c>
      <c r="LMH64" s="857">
        <f t="shared" si="174"/>
        <v>0</v>
      </c>
      <c r="LMI64" s="857">
        <f t="shared" si="174"/>
        <v>0</v>
      </c>
      <c r="LMJ64" s="857">
        <f t="shared" si="174"/>
        <v>0</v>
      </c>
      <c r="LMK64" s="857">
        <f t="shared" si="174"/>
        <v>0</v>
      </c>
      <c r="LML64" s="857">
        <f t="shared" si="174"/>
        <v>0</v>
      </c>
      <c r="LMM64" s="857">
        <f t="shared" si="174"/>
        <v>0</v>
      </c>
      <c r="LMN64" s="857">
        <f t="shared" si="174"/>
        <v>0</v>
      </c>
      <c r="LMO64" s="857">
        <f t="shared" si="174"/>
        <v>0</v>
      </c>
      <c r="LMP64" s="857">
        <f t="shared" si="174"/>
        <v>0</v>
      </c>
      <c r="LMQ64" s="857">
        <f t="shared" si="174"/>
        <v>0</v>
      </c>
      <c r="LMR64" s="857">
        <f t="shared" si="174"/>
        <v>0</v>
      </c>
      <c r="LMS64" s="857">
        <f t="shared" si="174"/>
        <v>0</v>
      </c>
      <c r="LMT64" s="857">
        <f t="shared" si="174"/>
        <v>0</v>
      </c>
      <c r="LMU64" s="857">
        <f t="shared" si="174"/>
        <v>0</v>
      </c>
      <c r="LMV64" s="857">
        <f t="shared" si="174"/>
        <v>0</v>
      </c>
      <c r="LMW64" s="857">
        <f t="shared" si="174"/>
        <v>0</v>
      </c>
      <c r="LMX64" s="857">
        <f t="shared" si="174"/>
        <v>0</v>
      </c>
      <c r="LMY64" s="857">
        <f t="shared" si="174"/>
        <v>0</v>
      </c>
      <c r="LMZ64" s="857">
        <f t="shared" si="174"/>
        <v>0</v>
      </c>
      <c r="LNA64" s="857">
        <f t="shared" si="174"/>
        <v>0</v>
      </c>
      <c r="LNB64" s="857">
        <f t="shared" si="174"/>
        <v>0</v>
      </c>
      <c r="LNC64" s="857">
        <f t="shared" si="174"/>
        <v>0</v>
      </c>
      <c r="LND64" s="857">
        <f t="shared" si="174"/>
        <v>0</v>
      </c>
      <c r="LNE64" s="857">
        <f t="shared" si="174"/>
        <v>0</v>
      </c>
      <c r="LNF64" s="857">
        <f t="shared" si="174"/>
        <v>0</v>
      </c>
      <c r="LNG64" s="857">
        <f t="shared" si="174"/>
        <v>0</v>
      </c>
      <c r="LNH64" s="857">
        <f t="shared" si="174"/>
        <v>0</v>
      </c>
      <c r="LNI64" s="857">
        <f t="shared" si="174"/>
        <v>0</v>
      </c>
      <c r="LNJ64" s="857">
        <f t="shared" si="174"/>
        <v>0</v>
      </c>
      <c r="LNK64" s="857">
        <f t="shared" si="174"/>
        <v>0</v>
      </c>
      <c r="LNL64" s="857">
        <f t="shared" si="174"/>
        <v>0</v>
      </c>
      <c r="LNM64" s="857">
        <f t="shared" si="174"/>
        <v>0</v>
      </c>
      <c r="LNN64" s="857">
        <f t="shared" si="174"/>
        <v>0</v>
      </c>
      <c r="LNO64" s="857">
        <f t="shared" si="174"/>
        <v>0</v>
      </c>
      <c r="LNP64" s="857">
        <f t="shared" si="174"/>
        <v>0</v>
      </c>
      <c r="LNQ64" s="857">
        <f t="shared" si="174"/>
        <v>0</v>
      </c>
      <c r="LNR64" s="857">
        <f t="shared" si="174"/>
        <v>0</v>
      </c>
      <c r="LNS64" s="857">
        <f t="shared" si="174"/>
        <v>0</v>
      </c>
      <c r="LNT64" s="857">
        <f t="shared" si="174"/>
        <v>0</v>
      </c>
      <c r="LNU64" s="857">
        <f t="shared" si="174"/>
        <v>0</v>
      </c>
      <c r="LNV64" s="857">
        <f t="shared" si="174"/>
        <v>0</v>
      </c>
      <c r="LNW64" s="857">
        <f t="shared" si="174"/>
        <v>0</v>
      </c>
      <c r="LNX64" s="857">
        <f t="shared" si="174"/>
        <v>0</v>
      </c>
      <c r="LNY64" s="857">
        <f t="shared" si="174"/>
        <v>0</v>
      </c>
      <c r="LNZ64" s="857">
        <f t="shared" si="174"/>
        <v>0</v>
      </c>
      <c r="LOA64" s="857">
        <f t="shared" si="174"/>
        <v>0</v>
      </c>
      <c r="LOB64" s="857">
        <f t="shared" si="174"/>
        <v>0</v>
      </c>
      <c r="LOC64" s="857">
        <f t="shared" si="174"/>
        <v>0</v>
      </c>
      <c r="LOD64" s="857">
        <f t="shared" si="174"/>
        <v>0</v>
      </c>
      <c r="LOE64" s="857">
        <f t="shared" si="174"/>
        <v>0</v>
      </c>
      <c r="LOF64" s="857">
        <f t="shared" si="174"/>
        <v>0</v>
      </c>
      <c r="LOG64" s="857">
        <f t="shared" si="174"/>
        <v>0</v>
      </c>
      <c r="LOH64" s="857">
        <f t="shared" si="174"/>
        <v>0</v>
      </c>
      <c r="LOI64" s="857">
        <f t="shared" si="174"/>
        <v>0</v>
      </c>
      <c r="LOJ64" s="857">
        <f t="shared" si="174"/>
        <v>0</v>
      </c>
      <c r="LOK64" s="857">
        <f t="shared" si="174"/>
        <v>0</v>
      </c>
      <c r="LOL64" s="857">
        <f t="shared" si="174"/>
        <v>0</v>
      </c>
      <c r="LOM64" s="857">
        <f t="shared" si="174"/>
        <v>0</v>
      </c>
      <c r="LON64" s="857">
        <f t="shared" si="174"/>
        <v>0</v>
      </c>
      <c r="LOO64" s="857">
        <f t="shared" si="174"/>
        <v>0</v>
      </c>
      <c r="LOP64" s="857">
        <f t="shared" ref="LOP64:LRA64" si="175">(LOP57-LOP59)*$C$64</f>
        <v>0</v>
      </c>
      <c r="LOQ64" s="857">
        <f t="shared" si="175"/>
        <v>0</v>
      </c>
      <c r="LOR64" s="857">
        <f t="shared" si="175"/>
        <v>0</v>
      </c>
      <c r="LOS64" s="857">
        <f t="shared" si="175"/>
        <v>0</v>
      </c>
      <c r="LOT64" s="857">
        <f t="shared" si="175"/>
        <v>0</v>
      </c>
      <c r="LOU64" s="857">
        <f t="shared" si="175"/>
        <v>0</v>
      </c>
      <c r="LOV64" s="857">
        <f t="shared" si="175"/>
        <v>0</v>
      </c>
      <c r="LOW64" s="857">
        <f t="shared" si="175"/>
        <v>0</v>
      </c>
      <c r="LOX64" s="857">
        <f t="shared" si="175"/>
        <v>0</v>
      </c>
      <c r="LOY64" s="857">
        <f t="shared" si="175"/>
        <v>0</v>
      </c>
      <c r="LOZ64" s="857">
        <f t="shared" si="175"/>
        <v>0</v>
      </c>
      <c r="LPA64" s="857">
        <f t="shared" si="175"/>
        <v>0</v>
      </c>
      <c r="LPB64" s="857">
        <f t="shared" si="175"/>
        <v>0</v>
      </c>
      <c r="LPC64" s="857">
        <f t="shared" si="175"/>
        <v>0</v>
      </c>
      <c r="LPD64" s="857">
        <f t="shared" si="175"/>
        <v>0</v>
      </c>
      <c r="LPE64" s="857">
        <f t="shared" si="175"/>
        <v>0</v>
      </c>
      <c r="LPF64" s="857">
        <f t="shared" si="175"/>
        <v>0</v>
      </c>
      <c r="LPG64" s="857">
        <f t="shared" si="175"/>
        <v>0</v>
      </c>
      <c r="LPH64" s="857">
        <f t="shared" si="175"/>
        <v>0</v>
      </c>
      <c r="LPI64" s="857">
        <f t="shared" si="175"/>
        <v>0</v>
      </c>
      <c r="LPJ64" s="857">
        <f t="shared" si="175"/>
        <v>0</v>
      </c>
      <c r="LPK64" s="857">
        <f t="shared" si="175"/>
        <v>0</v>
      </c>
      <c r="LPL64" s="857">
        <f t="shared" si="175"/>
        <v>0</v>
      </c>
      <c r="LPM64" s="857">
        <f t="shared" si="175"/>
        <v>0</v>
      </c>
      <c r="LPN64" s="857">
        <f t="shared" si="175"/>
        <v>0</v>
      </c>
      <c r="LPO64" s="857">
        <f t="shared" si="175"/>
        <v>0</v>
      </c>
      <c r="LPP64" s="857">
        <f t="shared" si="175"/>
        <v>0</v>
      </c>
      <c r="LPQ64" s="857">
        <f t="shared" si="175"/>
        <v>0</v>
      </c>
      <c r="LPR64" s="857">
        <f t="shared" si="175"/>
        <v>0</v>
      </c>
      <c r="LPS64" s="857">
        <f t="shared" si="175"/>
        <v>0</v>
      </c>
      <c r="LPT64" s="857">
        <f t="shared" si="175"/>
        <v>0</v>
      </c>
      <c r="LPU64" s="857">
        <f t="shared" si="175"/>
        <v>0</v>
      </c>
      <c r="LPV64" s="857">
        <f t="shared" si="175"/>
        <v>0</v>
      </c>
      <c r="LPW64" s="857">
        <f t="shared" si="175"/>
        <v>0</v>
      </c>
      <c r="LPX64" s="857">
        <f t="shared" si="175"/>
        <v>0</v>
      </c>
      <c r="LPY64" s="857">
        <f t="shared" si="175"/>
        <v>0</v>
      </c>
      <c r="LPZ64" s="857">
        <f t="shared" si="175"/>
        <v>0</v>
      </c>
      <c r="LQA64" s="857">
        <f t="shared" si="175"/>
        <v>0</v>
      </c>
      <c r="LQB64" s="857">
        <f t="shared" si="175"/>
        <v>0</v>
      </c>
      <c r="LQC64" s="857">
        <f t="shared" si="175"/>
        <v>0</v>
      </c>
      <c r="LQD64" s="857">
        <f t="shared" si="175"/>
        <v>0</v>
      </c>
      <c r="LQE64" s="857">
        <f t="shared" si="175"/>
        <v>0</v>
      </c>
      <c r="LQF64" s="857">
        <f t="shared" si="175"/>
        <v>0</v>
      </c>
      <c r="LQG64" s="857">
        <f t="shared" si="175"/>
        <v>0</v>
      </c>
      <c r="LQH64" s="857">
        <f t="shared" si="175"/>
        <v>0</v>
      </c>
      <c r="LQI64" s="857">
        <f t="shared" si="175"/>
        <v>0</v>
      </c>
      <c r="LQJ64" s="857">
        <f t="shared" si="175"/>
        <v>0</v>
      </c>
      <c r="LQK64" s="857">
        <f t="shared" si="175"/>
        <v>0</v>
      </c>
      <c r="LQL64" s="857">
        <f t="shared" si="175"/>
        <v>0</v>
      </c>
      <c r="LQM64" s="857">
        <f t="shared" si="175"/>
        <v>0</v>
      </c>
      <c r="LQN64" s="857">
        <f t="shared" si="175"/>
        <v>0</v>
      </c>
      <c r="LQO64" s="857">
        <f t="shared" si="175"/>
        <v>0</v>
      </c>
      <c r="LQP64" s="857">
        <f t="shared" si="175"/>
        <v>0</v>
      </c>
      <c r="LQQ64" s="857">
        <f t="shared" si="175"/>
        <v>0</v>
      </c>
      <c r="LQR64" s="857">
        <f t="shared" si="175"/>
        <v>0</v>
      </c>
      <c r="LQS64" s="857">
        <f t="shared" si="175"/>
        <v>0</v>
      </c>
      <c r="LQT64" s="857">
        <f t="shared" si="175"/>
        <v>0</v>
      </c>
      <c r="LQU64" s="857">
        <f t="shared" si="175"/>
        <v>0</v>
      </c>
      <c r="LQV64" s="857">
        <f t="shared" si="175"/>
        <v>0</v>
      </c>
      <c r="LQW64" s="857">
        <f t="shared" si="175"/>
        <v>0</v>
      </c>
      <c r="LQX64" s="857">
        <f t="shared" si="175"/>
        <v>0</v>
      </c>
      <c r="LQY64" s="857">
        <f t="shared" si="175"/>
        <v>0</v>
      </c>
      <c r="LQZ64" s="857">
        <f t="shared" si="175"/>
        <v>0</v>
      </c>
      <c r="LRA64" s="857">
        <f t="shared" si="175"/>
        <v>0</v>
      </c>
      <c r="LRB64" s="857">
        <f t="shared" ref="LRB64:LTM64" si="176">(LRB57-LRB59)*$C$64</f>
        <v>0</v>
      </c>
      <c r="LRC64" s="857">
        <f t="shared" si="176"/>
        <v>0</v>
      </c>
      <c r="LRD64" s="857">
        <f t="shared" si="176"/>
        <v>0</v>
      </c>
      <c r="LRE64" s="857">
        <f t="shared" si="176"/>
        <v>0</v>
      </c>
      <c r="LRF64" s="857">
        <f t="shared" si="176"/>
        <v>0</v>
      </c>
      <c r="LRG64" s="857">
        <f t="shared" si="176"/>
        <v>0</v>
      </c>
      <c r="LRH64" s="857">
        <f t="shared" si="176"/>
        <v>0</v>
      </c>
      <c r="LRI64" s="857">
        <f t="shared" si="176"/>
        <v>0</v>
      </c>
      <c r="LRJ64" s="857">
        <f t="shared" si="176"/>
        <v>0</v>
      </c>
      <c r="LRK64" s="857">
        <f t="shared" si="176"/>
        <v>0</v>
      </c>
      <c r="LRL64" s="857">
        <f t="shared" si="176"/>
        <v>0</v>
      </c>
      <c r="LRM64" s="857">
        <f t="shared" si="176"/>
        <v>0</v>
      </c>
      <c r="LRN64" s="857">
        <f t="shared" si="176"/>
        <v>0</v>
      </c>
      <c r="LRO64" s="857">
        <f t="shared" si="176"/>
        <v>0</v>
      </c>
      <c r="LRP64" s="857">
        <f t="shared" si="176"/>
        <v>0</v>
      </c>
      <c r="LRQ64" s="857">
        <f t="shared" si="176"/>
        <v>0</v>
      </c>
      <c r="LRR64" s="857">
        <f t="shared" si="176"/>
        <v>0</v>
      </c>
      <c r="LRS64" s="857">
        <f t="shared" si="176"/>
        <v>0</v>
      </c>
      <c r="LRT64" s="857">
        <f t="shared" si="176"/>
        <v>0</v>
      </c>
      <c r="LRU64" s="857">
        <f t="shared" si="176"/>
        <v>0</v>
      </c>
      <c r="LRV64" s="857">
        <f t="shared" si="176"/>
        <v>0</v>
      </c>
      <c r="LRW64" s="857">
        <f t="shared" si="176"/>
        <v>0</v>
      </c>
      <c r="LRX64" s="857">
        <f t="shared" si="176"/>
        <v>0</v>
      </c>
      <c r="LRY64" s="857">
        <f t="shared" si="176"/>
        <v>0</v>
      </c>
      <c r="LRZ64" s="857">
        <f t="shared" si="176"/>
        <v>0</v>
      </c>
      <c r="LSA64" s="857">
        <f t="shared" si="176"/>
        <v>0</v>
      </c>
      <c r="LSB64" s="857">
        <f t="shared" si="176"/>
        <v>0</v>
      </c>
      <c r="LSC64" s="857">
        <f t="shared" si="176"/>
        <v>0</v>
      </c>
      <c r="LSD64" s="857">
        <f t="shared" si="176"/>
        <v>0</v>
      </c>
      <c r="LSE64" s="857">
        <f t="shared" si="176"/>
        <v>0</v>
      </c>
      <c r="LSF64" s="857">
        <f t="shared" si="176"/>
        <v>0</v>
      </c>
      <c r="LSG64" s="857">
        <f t="shared" si="176"/>
        <v>0</v>
      </c>
      <c r="LSH64" s="857">
        <f t="shared" si="176"/>
        <v>0</v>
      </c>
      <c r="LSI64" s="857">
        <f t="shared" si="176"/>
        <v>0</v>
      </c>
      <c r="LSJ64" s="857">
        <f t="shared" si="176"/>
        <v>0</v>
      </c>
      <c r="LSK64" s="857">
        <f t="shared" si="176"/>
        <v>0</v>
      </c>
      <c r="LSL64" s="857">
        <f t="shared" si="176"/>
        <v>0</v>
      </c>
      <c r="LSM64" s="857">
        <f t="shared" si="176"/>
        <v>0</v>
      </c>
      <c r="LSN64" s="857">
        <f t="shared" si="176"/>
        <v>0</v>
      </c>
      <c r="LSO64" s="857">
        <f t="shared" si="176"/>
        <v>0</v>
      </c>
      <c r="LSP64" s="857">
        <f t="shared" si="176"/>
        <v>0</v>
      </c>
      <c r="LSQ64" s="857">
        <f t="shared" si="176"/>
        <v>0</v>
      </c>
      <c r="LSR64" s="857">
        <f t="shared" si="176"/>
        <v>0</v>
      </c>
      <c r="LSS64" s="857">
        <f t="shared" si="176"/>
        <v>0</v>
      </c>
      <c r="LST64" s="857">
        <f t="shared" si="176"/>
        <v>0</v>
      </c>
      <c r="LSU64" s="857">
        <f t="shared" si="176"/>
        <v>0</v>
      </c>
      <c r="LSV64" s="857">
        <f t="shared" si="176"/>
        <v>0</v>
      </c>
      <c r="LSW64" s="857">
        <f t="shared" si="176"/>
        <v>0</v>
      </c>
      <c r="LSX64" s="857">
        <f t="shared" si="176"/>
        <v>0</v>
      </c>
      <c r="LSY64" s="857">
        <f t="shared" si="176"/>
        <v>0</v>
      </c>
      <c r="LSZ64" s="857">
        <f t="shared" si="176"/>
        <v>0</v>
      </c>
      <c r="LTA64" s="857">
        <f t="shared" si="176"/>
        <v>0</v>
      </c>
      <c r="LTB64" s="857">
        <f t="shared" si="176"/>
        <v>0</v>
      </c>
      <c r="LTC64" s="857">
        <f t="shared" si="176"/>
        <v>0</v>
      </c>
      <c r="LTD64" s="857">
        <f t="shared" si="176"/>
        <v>0</v>
      </c>
      <c r="LTE64" s="857">
        <f t="shared" si="176"/>
        <v>0</v>
      </c>
      <c r="LTF64" s="857">
        <f t="shared" si="176"/>
        <v>0</v>
      </c>
      <c r="LTG64" s="857">
        <f t="shared" si="176"/>
        <v>0</v>
      </c>
      <c r="LTH64" s="857">
        <f t="shared" si="176"/>
        <v>0</v>
      </c>
      <c r="LTI64" s="857">
        <f t="shared" si="176"/>
        <v>0</v>
      </c>
      <c r="LTJ64" s="857">
        <f t="shared" si="176"/>
        <v>0</v>
      </c>
      <c r="LTK64" s="857">
        <f t="shared" si="176"/>
        <v>0</v>
      </c>
      <c r="LTL64" s="857">
        <f t="shared" si="176"/>
        <v>0</v>
      </c>
      <c r="LTM64" s="857">
        <f t="shared" si="176"/>
        <v>0</v>
      </c>
      <c r="LTN64" s="857">
        <f t="shared" ref="LTN64:LVY64" si="177">(LTN57-LTN59)*$C$64</f>
        <v>0</v>
      </c>
      <c r="LTO64" s="857">
        <f t="shared" si="177"/>
        <v>0</v>
      </c>
      <c r="LTP64" s="857">
        <f t="shared" si="177"/>
        <v>0</v>
      </c>
      <c r="LTQ64" s="857">
        <f t="shared" si="177"/>
        <v>0</v>
      </c>
      <c r="LTR64" s="857">
        <f t="shared" si="177"/>
        <v>0</v>
      </c>
      <c r="LTS64" s="857">
        <f t="shared" si="177"/>
        <v>0</v>
      </c>
      <c r="LTT64" s="857">
        <f t="shared" si="177"/>
        <v>0</v>
      </c>
      <c r="LTU64" s="857">
        <f t="shared" si="177"/>
        <v>0</v>
      </c>
      <c r="LTV64" s="857">
        <f t="shared" si="177"/>
        <v>0</v>
      </c>
      <c r="LTW64" s="857">
        <f t="shared" si="177"/>
        <v>0</v>
      </c>
      <c r="LTX64" s="857">
        <f t="shared" si="177"/>
        <v>0</v>
      </c>
      <c r="LTY64" s="857">
        <f t="shared" si="177"/>
        <v>0</v>
      </c>
      <c r="LTZ64" s="857">
        <f t="shared" si="177"/>
        <v>0</v>
      </c>
      <c r="LUA64" s="857">
        <f t="shared" si="177"/>
        <v>0</v>
      </c>
      <c r="LUB64" s="857">
        <f t="shared" si="177"/>
        <v>0</v>
      </c>
      <c r="LUC64" s="857">
        <f t="shared" si="177"/>
        <v>0</v>
      </c>
      <c r="LUD64" s="857">
        <f t="shared" si="177"/>
        <v>0</v>
      </c>
      <c r="LUE64" s="857">
        <f t="shared" si="177"/>
        <v>0</v>
      </c>
      <c r="LUF64" s="857">
        <f t="shared" si="177"/>
        <v>0</v>
      </c>
      <c r="LUG64" s="857">
        <f t="shared" si="177"/>
        <v>0</v>
      </c>
      <c r="LUH64" s="857">
        <f t="shared" si="177"/>
        <v>0</v>
      </c>
      <c r="LUI64" s="857">
        <f t="shared" si="177"/>
        <v>0</v>
      </c>
      <c r="LUJ64" s="857">
        <f t="shared" si="177"/>
        <v>0</v>
      </c>
      <c r="LUK64" s="857">
        <f t="shared" si="177"/>
        <v>0</v>
      </c>
      <c r="LUL64" s="857">
        <f t="shared" si="177"/>
        <v>0</v>
      </c>
      <c r="LUM64" s="857">
        <f t="shared" si="177"/>
        <v>0</v>
      </c>
      <c r="LUN64" s="857">
        <f t="shared" si="177"/>
        <v>0</v>
      </c>
      <c r="LUO64" s="857">
        <f t="shared" si="177"/>
        <v>0</v>
      </c>
      <c r="LUP64" s="857">
        <f t="shared" si="177"/>
        <v>0</v>
      </c>
      <c r="LUQ64" s="857">
        <f t="shared" si="177"/>
        <v>0</v>
      </c>
      <c r="LUR64" s="857">
        <f t="shared" si="177"/>
        <v>0</v>
      </c>
      <c r="LUS64" s="857">
        <f t="shared" si="177"/>
        <v>0</v>
      </c>
      <c r="LUT64" s="857">
        <f t="shared" si="177"/>
        <v>0</v>
      </c>
      <c r="LUU64" s="857">
        <f t="shared" si="177"/>
        <v>0</v>
      </c>
      <c r="LUV64" s="857">
        <f t="shared" si="177"/>
        <v>0</v>
      </c>
      <c r="LUW64" s="857">
        <f t="shared" si="177"/>
        <v>0</v>
      </c>
      <c r="LUX64" s="857">
        <f t="shared" si="177"/>
        <v>0</v>
      </c>
      <c r="LUY64" s="857">
        <f t="shared" si="177"/>
        <v>0</v>
      </c>
      <c r="LUZ64" s="857">
        <f t="shared" si="177"/>
        <v>0</v>
      </c>
      <c r="LVA64" s="857">
        <f t="shared" si="177"/>
        <v>0</v>
      </c>
      <c r="LVB64" s="857">
        <f t="shared" si="177"/>
        <v>0</v>
      </c>
      <c r="LVC64" s="857">
        <f t="shared" si="177"/>
        <v>0</v>
      </c>
      <c r="LVD64" s="857">
        <f t="shared" si="177"/>
        <v>0</v>
      </c>
      <c r="LVE64" s="857">
        <f t="shared" si="177"/>
        <v>0</v>
      </c>
      <c r="LVF64" s="857">
        <f t="shared" si="177"/>
        <v>0</v>
      </c>
      <c r="LVG64" s="857">
        <f t="shared" si="177"/>
        <v>0</v>
      </c>
      <c r="LVH64" s="857">
        <f t="shared" si="177"/>
        <v>0</v>
      </c>
      <c r="LVI64" s="857">
        <f t="shared" si="177"/>
        <v>0</v>
      </c>
      <c r="LVJ64" s="857">
        <f t="shared" si="177"/>
        <v>0</v>
      </c>
      <c r="LVK64" s="857">
        <f t="shared" si="177"/>
        <v>0</v>
      </c>
      <c r="LVL64" s="857">
        <f t="shared" si="177"/>
        <v>0</v>
      </c>
      <c r="LVM64" s="857">
        <f t="shared" si="177"/>
        <v>0</v>
      </c>
      <c r="LVN64" s="857">
        <f t="shared" si="177"/>
        <v>0</v>
      </c>
      <c r="LVO64" s="857">
        <f t="shared" si="177"/>
        <v>0</v>
      </c>
      <c r="LVP64" s="857">
        <f t="shared" si="177"/>
        <v>0</v>
      </c>
      <c r="LVQ64" s="857">
        <f t="shared" si="177"/>
        <v>0</v>
      </c>
      <c r="LVR64" s="857">
        <f t="shared" si="177"/>
        <v>0</v>
      </c>
      <c r="LVS64" s="857">
        <f t="shared" si="177"/>
        <v>0</v>
      </c>
      <c r="LVT64" s="857">
        <f t="shared" si="177"/>
        <v>0</v>
      </c>
      <c r="LVU64" s="857">
        <f t="shared" si="177"/>
        <v>0</v>
      </c>
      <c r="LVV64" s="857">
        <f t="shared" si="177"/>
        <v>0</v>
      </c>
      <c r="LVW64" s="857">
        <f t="shared" si="177"/>
        <v>0</v>
      </c>
      <c r="LVX64" s="857">
        <f t="shared" si="177"/>
        <v>0</v>
      </c>
      <c r="LVY64" s="857">
        <f t="shared" si="177"/>
        <v>0</v>
      </c>
      <c r="LVZ64" s="857">
        <f t="shared" ref="LVZ64:LYK64" si="178">(LVZ57-LVZ59)*$C$64</f>
        <v>0</v>
      </c>
      <c r="LWA64" s="857">
        <f t="shared" si="178"/>
        <v>0</v>
      </c>
      <c r="LWB64" s="857">
        <f t="shared" si="178"/>
        <v>0</v>
      </c>
      <c r="LWC64" s="857">
        <f t="shared" si="178"/>
        <v>0</v>
      </c>
      <c r="LWD64" s="857">
        <f t="shared" si="178"/>
        <v>0</v>
      </c>
      <c r="LWE64" s="857">
        <f t="shared" si="178"/>
        <v>0</v>
      </c>
      <c r="LWF64" s="857">
        <f t="shared" si="178"/>
        <v>0</v>
      </c>
      <c r="LWG64" s="857">
        <f t="shared" si="178"/>
        <v>0</v>
      </c>
      <c r="LWH64" s="857">
        <f t="shared" si="178"/>
        <v>0</v>
      </c>
      <c r="LWI64" s="857">
        <f t="shared" si="178"/>
        <v>0</v>
      </c>
      <c r="LWJ64" s="857">
        <f t="shared" si="178"/>
        <v>0</v>
      </c>
      <c r="LWK64" s="857">
        <f t="shared" si="178"/>
        <v>0</v>
      </c>
      <c r="LWL64" s="857">
        <f t="shared" si="178"/>
        <v>0</v>
      </c>
      <c r="LWM64" s="857">
        <f t="shared" si="178"/>
        <v>0</v>
      </c>
      <c r="LWN64" s="857">
        <f t="shared" si="178"/>
        <v>0</v>
      </c>
      <c r="LWO64" s="857">
        <f t="shared" si="178"/>
        <v>0</v>
      </c>
      <c r="LWP64" s="857">
        <f t="shared" si="178"/>
        <v>0</v>
      </c>
      <c r="LWQ64" s="857">
        <f t="shared" si="178"/>
        <v>0</v>
      </c>
      <c r="LWR64" s="857">
        <f t="shared" si="178"/>
        <v>0</v>
      </c>
      <c r="LWS64" s="857">
        <f t="shared" si="178"/>
        <v>0</v>
      </c>
      <c r="LWT64" s="857">
        <f t="shared" si="178"/>
        <v>0</v>
      </c>
      <c r="LWU64" s="857">
        <f t="shared" si="178"/>
        <v>0</v>
      </c>
      <c r="LWV64" s="857">
        <f t="shared" si="178"/>
        <v>0</v>
      </c>
      <c r="LWW64" s="857">
        <f t="shared" si="178"/>
        <v>0</v>
      </c>
      <c r="LWX64" s="857">
        <f t="shared" si="178"/>
        <v>0</v>
      </c>
      <c r="LWY64" s="857">
        <f t="shared" si="178"/>
        <v>0</v>
      </c>
      <c r="LWZ64" s="857">
        <f t="shared" si="178"/>
        <v>0</v>
      </c>
      <c r="LXA64" s="857">
        <f t="shared" si="178"/>
        <v>0</v>
      </c>
      <c r="LXB64" s="857">
        <f t="shared" si="178"/>
        <v>0</v>
      </c>
      <c r="LXC64" s="857">
        <f t="shared" si="178"/>
        <v>0</v>
      </c>
      <c r="LXD64" s="857">
        <f t="shared" si="178"/>
        <v>0</v>
      </c>
      <c r="LXE64" s="857">
        <f t="shared" si="178"/>
        <v>0</v>
      </c>
      <c r="LXF64" s="857">
        <f t="shared" si="178"/>
        <v>0</v>
      </c>
      <c r="LXG64" s="857">
        <f t="shared" si="178"/>
        <v>0</v>
      </c>
      <c r="LXH64" s="857">
        <f t="shared" si="178"/>
        <v>0</v>
      </c>
      <c r="LXI64" s="857">
        <f t="shared" si="178"/>
        <v>0</v>
      </c>
      <c r="LXJ64" s="857">
        <f t="shared" si="178"/>
        <v>0</v>
      </c>
      <c r="LXK64" s="857">
        <f t="shared" si="178"/>
        <v>0</v>
      </c>
      <c r="LXL64" s="857">
        <f t="shared" si="178"/>
        <v>0</v>
      </c>
      <c r="LXM64" s="857">
        <f t="shared" si="178"/>
        <v>0</v>
      </c>
      <c r="LXN64" s="857">
        <f t="shared" si="178"/>
        <v>0</v>
      </c>
      <c r="LXO64" s="857">
        <f t="shared" si="178"/>
        <v>0</v>
      </c>
      <c r="LXP64" s="857">
        <f t="shared" si="178"/>
        <v>0</v>
      </c>
      <c r="LXQ64" s="857">
        <f t="shared" si="178"/>
        <v>0</v>
      </c>
      <c r="LXR64" s="857">
        <f t="shared" si="178"/>
        <v>0</v>
      </c>
      <c r="LXS64" s="857">
        <f t="shared" si="178"/>
        <v>0</v>
      </c>
      <c r="LXT64" s="857">
        <f t="shared" si="178"/>
        <v>0</v>
      </c>
      <c r="LXU64" s="857">
        <f t="shared" si="178"/>
        <v>0</v>
      </c>
      <c r="LXV64" s="857">
        <f t="shared" si="178"/>
        <v>0</v>
      </c>
      <c r="LXW64" s="857">
        <f t="shared" si="178"/>
        <v>0</v>
      </c>
      <c r="LXX64" s="857">
        <f t="shared" si="178"/>
        <v>0</v>
      </c>
      <c r="LXY64" s="857">
        <f t="shared" si="178"/>
        <v>0</v>
      </c>
      <c r="LXZ64" s="857">
        <f t="shared" si="178"/>
        <v>0</v>
      </c>
      <c r="LYA64" s="857">
        <f t="shared" si="178"/>
        <v>0</v>
      </c>
      <c r="LYB64" s="857">
        <f t="shared" si="178"/>
        <v>0</v>
      </c>
      <c r="LYC64" s="857">
        <f t="shared" si="178"/>
        <v>0</v>
      </c>
      <c r="LYD64" s="857">
        <f t="shared" si="178"/>
        <v>0</v>
      </c>
      <c r="LYE64" s="857">
        <f t="shared" si="178"/>
        <v>0</v>
      </c>
      <c r="LYF64" s="857">
        <f t="shared" si="178"/>
        <v>0</v>
      </c>
      <c r="LYG64" s="857">
        <f t="shared" si="178"/>
        <v>0</v>
      </c>
      <c r="LYH64" s="857">
        <f t="shared" si="178"/>
        <v>0</v>
      </c>
      <c r="LYI64" s="857">
        <f t="shared" si="178"/>
        <v>0</v>
      </c>
      <c r="LYJ64" s="857">
        <f t="shared" si="178"/>
        <v>0</v>
      </c>
      <c r="LYK64" s="857">
        <f t="shared" si="178"/>
        <v>0</v>
      </c>
      <c r="LYL64" s="857">
        <f t="shared" ref="LYL64:MAW64" si="179">(LYL57-LYL59)*$C$64</f>
        <v>0</v>
      </c>
      <c r="LYM64" s="857">
        <f t="shared" si="179"/>
        <v>0</v>
      </c>
      <c r="LYN64" s="857">
        <f t="shared" si="179"/>
        <v>0</v>
      </c>
      <c r="LYO64" s="857">
        <f t="shared" si="179"/>
        <v>0</v>
      </c>
      <c r="LYP64" s="857">
        <f t="shared" si="179"/>
        <v>0</v>
      </c>
      <c r="LYQ64" s="857">
        <f t="shared" si="179"/>
        <v>0</v>
      </c>
      <c r="LYR64" s="857">
        <f t="shared" si="179"/>
        <v>0</v>
      </c>
      <c r="LYS64" s="857">
        <f t="shared" si="179"/>
        <v>0</v>
      </c>
      <c r="LYT64" s="857">
        <f t="shared" si="179"/>
        <v>0</v>
      </c>
      <c r="LYU64" s="857">
        <f t="shared" si="179"/>
        <v>0</v>
      </c>
      <c r="LYV64" s="857">
        <f t="shared" si="179"/>
        <v>0</v>
      </c>
      <c r="LYW64" s="857">
        <f t="shared" si="179"/>
        <v>0</v>
      </c>
      <c r="LYX64" s="857">
        <f t="shared" si="179"/>
        <v>0</v>
      </c>
      <c r="LYY64" s="857">
        <f t="shared" si="179"/>
        <v>0</v>
      </c>
      <c r="LYZ64" s="857">
        <f t="shared" si="179"/>
        <v>0</v>
      </c>
      <c r="LZA64" s="857">
        <f t="shared" si="179"/>
        <v>0</v>
      </c>
      <c r="LZB64" s="857">
        <f t="shared" si="179"/>
        <v>0</v>
      </c>
      <c r="LZC64" s="857">
        <f t="shared" si="179"/>
        <v>0</v>
      </c>
      <c r="LZD64" s="857">
        <f t="shared" si="179"/>
        <v>0</v>
      </c>
      <c r="LZE64" s="857">
        <f t="shared" si="179"/>
        <v>0</v>
      </c>
      <c r="LZF64" s="857">
        <f t="shared" si="179"/>
        <v>0</v>
      </c>
      <c r="LZG64" s="857">
        <f t="shared" si="179"/>
        <v>0</v>
      </c>
      <c r="LZH64" s="857">
        <f t="shared" si="179"/>
        <v>0</v>
      </c>
      <c r="LZI64" s="857">
        <f t="shared" si="179"/>
        <v>0</v>
      </c>
      <c r="LZJ64" s="857">
        <f t="shared" si="179"/>
        <v>0</v>
      </c>
      <c r="LZK64" s="857">
        <f t="shared" si="179"/>
        <v>0</v>
      </c>
      <c r="LZL64" s="857">
        <f t="shared" si="179"/>
        <v>0</v>
      </c>
      <c r="LZM64" s="857">
        <f t="shared" si="179"/>
        <v>0</v>
      </c>
      <c r="LZN64" s="857">
        <f t="shared" si="179"/>
        <v>0</v>
      </c>
      <c r="LZO64" s="857">
        <f t="shared" si="179"/>
        <v>0</v>
      </c>
      <c r="LZP64" s="857">
        <f t="shared" si="179"/>
        <v>0</v>
      </c>
      <c r="LZQ64" s="857">
        <f t="shared" si="179"/>
        <v>0</v>
      </c>
      <c r="LZR64" s="857">
        <f t="shared" si="179"/>
        <v>0</v>
      </c>
      <c r="LZS64" s="857">
        <f t="shared" si="179"/>
        <v>0</v>
      </c>
      <c r="LZT64" s="857">
        <f t="shared" si="179"/>
        <v>0</v>
      </c>
      <c r="LZU64" s="857">
        <f t="shared" si="179"/>
        <v>0</v>
      </c>
      <c r="LZV64" s="857">
        <f t="shared" si="179"/>
        <v>0</v>
      </c>
      <c r="LZW64" s="857">
        <f t="shared" si="179"/>
        <v>0</v>
      </c>
      <c r="LZX64" s="857">
        <f t="shared" si="179"/>
        <v>0</v>
      </c>
      <c r="LZY64" s="857">
        <f t="shared" si="179"/>
        <v>0</v>
      </c>
      <c r="LZZ64" s="857">
        <f t="shared" si="179"/>
        <v>0</v>
      </c>
      <c r="MAA64" s="857">
        <f t="shared" si="179"/>
        <v>0</v>
      </c>
      <c r="MAB64" s="857">
        <f t="shared" si="179"/>
        <v>0</v>
      </c>
      <c r="MAC64" s="857">
        <f t="shared" si="179"/>
        <v>0</v>
      </c>
      <c r="MAD64" s="857">
        <f t="shared" si="179"/>
        <v>0</v>
      </c>
      <c r="MAE64" s="857">
        <f t="shared" si="179"/>
        <v>0</v>
      </c>
      <c r="MAF64" s="857">
        <f t="shared" si="179"/>
        <v>0</v>
      </c>
      <c r="MAG64" s="857">
        <f t="shared" si="179"/>
        <v>0</v>
      </c>
      <c r="MAH64" s="857">
        <f t="shared" si="179"/>
        <v>0</v>
      </c>
      <c r="MAI64" s="857">
        <f t="shared" si="179"/>
        <v>0</v>
      </c>
      <c r="MAJ64" s="857">
        <f t="shared" si="179"/>
        <v>0</v>
      </c>
      <c r="MAK64" s="857">
        <f t="shared" si="179"/>
        <v>0</v>
      </c>
      <c r="MAL64" s="857">
        <f t="shared" si="179"/>
        <v>0</v>
      </c>
      <c r="MAM64" s="857">
        <f t="shared" si="179"/>
        <v>0</v>
      </c>
      <c r="MAN64" s="857">
        <f t="shared" si="179"/>
        <v>0</v>
      </c>
      <c r="MAO64" s="857">
        <f t="shared" si="179"/>
        <v>0</v>
      </c>
      <c r="MAP64" s="857">
        <f t="shared" si="179"/>
        <v>0</v>
      </c>
      <c r="MAQ64" s="857">
        <f t="shared" si="179"/>
        <v>0</v>
      </c>
      <c r="MAR64" s="857">
        <f t="shared" si="179"/>
        <v>0</v>
      </c>
      <c r="MAS64" s="857">
        <f t="shared" si="179"/>
        <v>0</v>
      </c>
      <c r="MAT64" s="857">
        <f t="shared" si="179"/>
        <v>0</v>
      </c>
      <c r="MAU64" s="857">
        <f t="shared" si="179"/>
        <v>0</v>
      </c>
      <c r="MAV64" s="857">
        <f t="shared" si="179"/>
        <v>0</v>
      </c>
      <c r="MAW64" s="857">
        <f t="shared" si="179"/>
        <v>0</v>
      </c>
      <c r="MAX64" s="857">
        <f t="shared" ref="MAX64:MDI64" si="180">(MAX57-MAX59)*$C$64</f>
        <v>0</v>
      </c>
      <c r="MAY64" s="857">
        <f t="shared" si="180"/>
        <v>0</v>
      </c>
      <c r="MAZ64" s="857">
        <f t="shared" si="180"/>
        <v>0</v>
      </c>
      <c r="MBA64" s="857">
        <f t="shared" si="180"/>
        <v>0</v>
      </c>
      <c r="MBB64" s="857">
        <f t="shared" si="180"/>
        <v>0</v>
      </c>
      <c r="MBC64" s="857">
        <f t="shared" si="180"/>
        <v>0</v>
      </c>
      <c r="MBD64" s="857">
        <f t="shared" si="180"/>
        <v>0</v>
      </c>
      <c r="MBE64" s="857">
        <f t="shared" si="180"/>
        <v>0</v>
      </c>
      <c r="MBF64" s="857">
        <f t="shared" si="180"/>
        <v>0</v>
      </c>
      <c r="MBG64" s="857">
        <f t="shared" si="180"/>
        <v>0</v>
      </c>
      <c r="MBH64" s="857">
        <f t="shared" si="180"/>
        <v>0</v>
      </c>
      <c r="MBI64" s="857">
        <f t="shared" si="180"/>
        <v>0</v>
      </c>
      <c r="MBJ64" s="857">
        <f t="shared" si="180"/>
        <v>0</v>
      </c>
      <c r="MBK64" s="857">
        <f t="shared" si="180"/>
        <v>0</v>
      </c>
      <c r="MBL64" s="857">
        <f t="shared" si="180"/>
        <v>0</v>
      </c>
      <c r="MBM64" s="857">
        <f t="shared" si="180"/>
        <v>0</v>
      </c>
      <c r="MBN64" s="857">
        <f t="shared" si="180"/>
        <v>0</v>
      </c>
      <c r="MBO64" s="857">
        <f t="shared" si="180"/>
        <v>0</v>
      </c>
      <c r="MBP64" s="857">
        <f t="shared" si="180"/>
        <v>0</v>
      </c>
      <c r="MBQ64" s="857">
        <f t="shared" si="180"/>
        <v>0</v>
      </c>
      <c r="MBR64" s="857">
        <f t="shared" si="180"/>
        <v>0</v>
      </c>
      <c r="MBS64" s="857">
        <f t="shared" si="180"/>
        <v>0</v>
      </c>
      <c r="MBT64" s="857">
        <f t="shared" si="180"/>
        <v>0</v>
      </c>
      <c r="MBU64" s="857">
        <f t="shared" si="180"/>
        <v>0</v>
      </c>
      <c r="MBV64" s="857">
        <f t="shared" si="180"/>
        <v>0</v>
      </c>
      <c r="MBW64" s="857">
        <f t="shared" si="180"/>
        <v>0</v>
      </c>
      <c r="MBX64" s="857">
        <f t="shared" si="180"/>
        <v>0</v>
      </c>
      <c r="MBY64" s="857">
        <f t="shared" si="180"/>
        <v>0</v>
      </c>
      <c r="MBZ64" s="857">
        <f t="shared" si="180"/>
        <v>0</v>
      </c>
      <c r="MCA64" s="857">
        <f t="shared" si="180"/>
        <v>0</v>
      </c>
      <c r="MCB64" s="857">
        <f t="shared" si="180"/>
        <v>0</v>
      </c>
      <c r="MCC64" s="857">
        <f t="shared" si="180"/>
        <v>0</v>
      </c>
      <c r="MCD64" s="857">
        <f t="shared" si="180"/>
        <v>0</v>
      </c>
      <c r="MCE64" s="857">
        <f t="shared" si="180"/>
        <v>0</v>
      </c>
      <c r="MCF64" s="857">
        <f t="shared" si="180"/>
        <v>0</v>
      </c>
      <c r="MCG64" s="857">
        <f t="shared" si="180"/>
        <v>0</v>
      </c>
      <c r="MCH64" s="857">
        <f t="shared" si="180"/>
        <v>0</v>
      </c>
      <c r="MCI64" s="857">
        <f t="shared" si="180"/>
        <v>0</v>
      </c>
      <c r="MCJ64" s="857">
        <f t="shared" si="180"/>
        <v>0</v>
      </c>
      <c r="MCK64" s="857">
        <f t="shared" si="180"/>
        <v>0</v>
      </c>
      <c r="MCL64" s="857">
        <f t="shared" si="180"/>
        <v>0</v>
      </c>
      <c r="MCM64" s="857">
        <f t="shared" si="180"/>
        <v>0</v>
      </c>
      <c r="MCN64" s="857">
        <f t="shared" si="180"/>
        <v>0</v>
      </c>
      <c r="MCO64" s="857">
        <f t="shared" si="180"/>
        <v>0</v>
      </c>
      <c r="MCP64" s="857">
        <f t="shared" si="180"/>
        <v>0</v>
      </c>
      <c r="MCQ64" s="857">
        <f t="shared" si="180"/>
        <v>0</v>
      </c>
      <c r="MCR64" s="857">
        <f t="shared" si="180"/>
        <v>0</v>
      </c>
      <c r="MCS64" s="857">
        <f t="shared" si="180"/>
        <v>0</v>
      </c>
      <c r="MCT64" s="857">
        <f t="shared" si="180"/>
        <v>0</v>
      </c>
      <c r="MCU64" s="857">
        <f t="shared" si="180"/>
        <v>0</v>
      </c>
      <c r="MCV64" s="857">
        <f t="shared" si="180"/>
        <v>0</v>
      </c>
      <c r="MCW64" s="857">
        <f t="shared" si="180"/>
        <v>0</v>
      </c>
      <c r="MCX64" s="857">
        <f t="shared" si="180"/>
        <v>0</v>
      </c>
      <c r="MCY64" s="857">
        <f t="shared" si="180"/>
        <v>0</v>
      </c>
      <c r="MCZ64" s="857">
        <f t="shared" si="180"/>
        <v>0</v>
      </c>
      <c r="MDA64" s="857">
        <f t="shared" si="180"/>
        <v>0</v>
      </c>
      <c r="MDB64" s="857">
        <f t="shared" si="180"/>
        <v>0</v>
      </c>
      <c r="MDC64" s="857">
        <f t="shared" si="180"/>
        <v>0</v>
      </c>
      <c r="MDD64" s="857">
        <f t="shared" si="180"/>
        <v>0</v>
      </c>
      <c r="MDE64" s="857">
        <f t="shared" si="180"/>
        <v>0</v>
      </c>
      <c r="MDF64" s="857">
        <f t="shared" si="180"/>
        <v>0</v>
      </c>
      <c r="MDG64" s="857">
        <f t="shared" si="180"/>
        <v>0</v>
      </c>
      <c r="MDH64" s="857">
        <f t="shared" si="180"/>
        <v>0</v>
      </c>
      <c r="MDI64" s="857">
        <f t="shared" si="180"/>
        <v>0</v>
      </c>
      <c r="MDJ64" s="857">
        <f t="shared" ref="MDJ64:MFU64" si="181">(MDJ57-MDJ59)*$C$64</f>
        <v>0</v>
      </c>
      <c r="MDK64" s="857">
        <f t="shared" si="181"/>
        <v>0</v>
      </c>
      <c r="MDL64" s="857">
        <f t="shared" si="181"/>
        <v>0</v>
      </c>
      <c r="MDM64" s="857">
        <f t="shared" si="181"/>
        <v>0</v>
      </c>
      <c r="MDN64" s="857">
        <f t="shared" si="181"/>
        <v>0</v>
      </c>
      <c r="MDO64" s="857">
        <f t="shared" si="181"/>
        <v>0</v>
      </c>
      <c r="MDP64" s="857">
        <f t="shared" si="181"/>
        <v>0</v>
      </c>
      <c r="MDQ64" s="857">
        <f t="shared" si="181"/>
        <v>0</v>
      </c>
      <c r="MDR64" s="857">
        <f t="shared" si="181"/>
        <v>0</v>
      </c>
      <c r="MDS64" s="857">
        <f t="shared" si="181"/>
        <v>0</v>
      </c>
      <c r="MDT64" s="857">
        <f t="shared" si="181"/>
        <v>0</v>
      </c>
      <c r="MDU64" s="857">
        <f t="shared" si="181"/>
        <v>0</v>
      </c>
      <c r="MDV64" s="857">
        <f t="shared" si="181"/>
        <v>0</v>
      </c>
      <c r="MDW64" s="857">
        <f t="shared" si="181"/>
        <v>0</v>
      </c>
      <c r="MDX64" s="857">
        <f t="shared" si="181"/>
        <v>0</v>
      </c>
      <c r="MDY64" s="857">
        <f t="shared" si="181"/>
        <v>0</v>
      </c>
      <c r="MDZ64" s="857">
        <f t="shared" si="181"/>
        <v>0</v>
      </c>
      <c r="MEA64" s="857">
        <f t="shared" si="181"/>
        <v>0</v>
      </c>
      <c r="MEB64" s="857">
        <f t="shared" si="181"/>
        <v>0</v>
      </c>
      <c r="MEC64" s="857">
        <f t="shared" si="181"/>
        <v>0</v>
      </c>
      <c r="MED64" s="857">
        <f t="shared" si="181"/>
        <v>0</v>
      </c>
      <c r="MEE64" s="857">
        <f t="shared" si="181"/>
        <v>0</v>
      </c>
      <c r="MEF64" s="857">
        <f t="shared" si="181"/>
        <v>0</v>
      </c>
      <c r="MEG64" s="857">
        <f t="shared" si="181"/>
        <v>0</v>
      </c>
      <c r="MEH64" s="857">
        <f t="shared" si="181"/>
        <v>0</v>
      </c>
      <c r="MEI64" s="857">
        <f t="shared" si="181"/>
        <v>0</v>
      </c>
      <c r="MEJ64" s="857">
        <f t="shared" si="181"/>
        <v>0</v>
      </c>
      <c r="MEK64" s="857">
        <f t="shared" si="181"/>
        <v>0</v>
      </c>
      <c r="MEL64" s="857">
        <f t="shared" si="181"/>
        <v>0</v>
      </c>
      <c r="MEM64" s="857">
        <f t="shared" si="181"/>
        <v>0</v>
      </c>
      <c r="MEN64" s="857">
        <f t="shared" si="181"/>
        <v>0</v>
      </c>
      <c r="MEO64" s="857">
        <f t="shared" si="181"/>
        <v>0</v>
      </c>
      <c r="MEP64" s="857">
        <f t="shared" si="181"/>
        <v>0</v>
      </c>
      <c r="MEQ64" s="857">
        <f t="shared" si="181"/>
        <v>0</v>
      </c>
      <c r="MER64" s="857">
        <f t="shared" si="181"/>
        <v>0</v>
      </c>
      <c r="MES64" s="857">
        <f t="shared" si="181"/>
        <v>0</v>
      </c>
      <c r="MET64" s="857">
        <f t="shared" si="181"/>
        <v>0</v>
      </c>
      <c r="MEU64" s="857">
        <f t="shared" si="181"/>
        <v>0</v>
      </c>
      <c r="MEV64" s="857">
        <f t="shared" si="181"/>
        <v>0</v>
      </c>
      <c r="MEW64" s="857">
        <f t="shared" si="181"/>
        <v>0</v>
      </c>
      <c r="MEX64" s="857">
        <f t="shared" si="181"/>
        <v>0</v>
      </c>
      <c r="MEY64" s="857">
        <f t="shared" si="181"/>
        <v>0</v>
      </c>
      <c r="MEZ64" s="857">
        <f t="shared" si="181"/>
        <v>0</v>
      </c>
      <c r="MFA64" s="857">
        <f t="shared" si="181"/>
        <v>0</v>
      </c>
      <c r="MFB64" s="857">
        <f t="shared" si="181"/>
        <v>0</v>
      </c>
      <c r="MFC64" s="857">
        <f t="shared" si="181"/>
        <v>0</v>
      </c>
      <c r="MFD64" s="857">
        <f t="shared" si="181"/>
        <v>0</v>
      </c>
      <c r="MFE64" s="857">
        <f t="shared" si="181"/>
        <v>0</v>
      </c>
      <c r="MFF64" s="857">
        <f t="shared" si="181"/>
        <v>0</v>
      </c>
      <c r="MFG64" s="857">
        <f t="shared" si="181"/>
        <v>0</v>
      </c>
      <c r="MFH64" s="857">
        <f t="shared" si="181"/>
        <v>0</v>
      </c>
      <c r="MFI64" s="857">
        <f t="shared" si="181"/>
        <v>0</v>
      </c>
      <c r="MFJ64" s="857">
        <f t="shared" si="181"/>
        <v>0</v>
      </c>
      <c r="MFK64" s="857">
        <f t="shared" si="181"/>
        <v>0</v>
      </c>
      <c r="MFL64" s="857">
        <f t="shared" si="181"/>
        <v>0</v>
      </c>
      <c r="MFM64" s="857">
        <f t="shared" si="181"/>
        <v>0</v>
      </c>
      <c r="MFN64" s="857">
        <f t="shared" si="181"/>
        <v>0</v>
      </c>
      <c r="MFO64" s="857">
        <f t="shared" si="181"/>
        <v>0</v>
      </c>
      <c r="MFP64" s="857">
        <f t="shared" si="181"/>
        <v>0</v>
      </c>
      <c r="MFQ64" s="857">
        <f t="shared" si="181"/>
        <v>0</v>
      </c>
      <c r="MFR64" s="857">
        <f t="shared" si="181"/>
        <v>0</v>
      </c>
      <c r="MFS64" s="857">
        <f t="shared" si="181"/>
        <v>0</v>
      </c>
      <c r="MFT64" s="857">
        <f t="shared" si="181"/>
        <v>0</v>
      </c>
      <c r="MFU64" s="857">
        <f t="shared" si="181"/>
        <v>0</v>
      </c>
      <c r="MFV64" s="857">
        <f t="shared" ref="MFV64:MIG64" si="182">(MFV57-MFV59)*$C$64</f>
        <v>0</v>
      </c>
      <c r="MFW64" s="857">
        <f t="shared" si="182"/>
        <v>0</v>
      </c>
      <c r="MFX64" s="857">
        <f t="shared" si="182"/>
        <v>0</v>
      </c>
      <c r="MFY64" s="857">
        <f t="shared" si="182"/>
        <v>0</v>
      </c>
      <c r="MFZ64" s="857">
        <f t="shared" si="182"/>
        <v>0</v>
      </c>
      <c r="MGA64" s="857">
        <f t="shared" si="182"/>
        <v>0</v>
      </c>
      <c r="MGB64" s="857">
        <f t="shared" si="182"/>
        <v>0</v>
      </c>
      <c r="MGC64" s="857">
        <f t="shared" si="182"/>
        <v>0</v>
      </c>
      <c r="MGD64" s="857">
        <f t="shared" si="182"/>
        <v>0</v>
      </c>
      <c r="MGE64" s="857">
        <f t="shared" si="182"/>
        <v>0</v>
      </c>
      <c r="MGF64" s="857">
        <f t="shared" si="182"/>
        <v>0</v>
      </c>
      <c r="MGG64" s="857">
        <f t="shared" si="182"/>
        <v>0</v>
      </c>
      <c r="MGH64" s="857">
        <f t="shared" si="182"/>
        <v>0</v>
      </c>
      <c r="MGI64" s="857">
        <f t="shared" si="182"/>
        <v>0</v>
      </c>
      <c r="MGJ64" s="857">
        <f t="shared" si="182"/>
        <v>0</v>
      </c>
      <c r="MGK64" s="857">
        <f t="shared" si="182"/>
        <v>0</v>
      </c>
      <c r="MGL64" s="857">
        <f t="shared" si="182"/>
        <v>0</v>
      </c>
      <c r="MGM64" s="857">
        <f t="shared" si="182"/>
        <v>0</v>
      </c>
      <c r="MGN64" s="857">
        <f t="shared" si="182"/>
        <v>0</v>
      </c>
      <c r="MGO64" s="857">
        <f t="shared" si="182"/>
        <v>0</v>
      </c>
      <c r="MGP64" s="857">
        <f t="shared" si="182"/>
        <v>0</v>
      </c>
      <c r="MGQ64" s="857">
        <f t="shared" si="182"/>
        <v>0</v>
      </c>
      <c r="MGR64" s="857">
        <f t="shared" si="182"/>
        <v>0</v>
      </c>
      <c r="MGS64" s="857">
        <f t="shared" si="182"/>
        <v>0</v>
      </c>
      <c r="MGT64" s="857">
        <f t="shared" si="182"/>
        <v>0</v>
      </c>
      <c r="MGU64" s="857">
        <f t="shared" si="182"/>
        <v>0</v>
      </c>
      <c r="MGV64" s="857">
        <f t="shared" si="182"/>
        <v>0</v>
      </c>
      <c r="MGW64" s="857">
        <f t="shared" si="182"/>
        <v>0</v>
      </c>
      <c r="MGX64" s="857">
        <f t="shared" si="182"/>
        <v>0</v>
      </c>
      <c r="MGY64" s="857">
        <f t="shared" si="182"/>
        <v>0</v>
      </c>
      <c r="MGZ64" s="857">
        <f t="shared" si="182"/>
        <v>0</v>
      </c>
      <c r="MHA64" s="857">
        <f t="shared" si="182"/>
        <v>0</v>
      </c>
      <c r="MHB64" s="857">
        <f t="shared" si="182"/>
        <v>0</v>
      </c>
      <c r="MHC64" s="857">
        <f t="shared" si="182"/>
        <v>0</v>
      </c>
      <c r="MHD64" s="857">
        <f t="shared" si="182"/>
        <v>0</v>
      </c>
      <c r="MHE64" s="857">
        <f t="shared" si="182"/>
        <v>0</v>
      </c>
      <c r="MHF64" s="857">
        <f t="shared" si="182"/>
        <v>0</v>
      </c>
      <c r="MHG64" s="857">
        <f t="shared" si="182"/>
        <v>0</v>
      </c>
      <c r="MHH64" s="857">
        <f t="shared" si="182"/>
        <v>0</v>
      </c>
      <c r="MHI64" s="857">
        <f t="shared" si="182"/>
        <v>0</v>
      </c>
      <c r="MHJ64" s="857">
        <f t="shared" si="182"/>
        <v>0</v>
      </c>
      <c r="MHK64" s="857">
        <f t="shared" si="182"/>
        <v>0</v>
      </c>
      <c r="MHL64" s="857">
        <f t="shared" si="182"/>
        <v>0</v>
      </c>
      <c r="MHM64" s="857">
        <f t="shared" si="182"/>
        <v>0</v>
      </c>
      <c r="MHN64" s="857">
        <f t="shared" si="182"/>
        <v>0</v>
      </c>
      <c r="MHO64" s="857">
        <f t="shared" si="182"/>
        <v>0</v>
      </c>
      <c r="MHP64" s="857">
        <f t="shared" si="182"/>
        <v>0</v>
      </c>
      <c r="MHQ64" s="857">
        <f t="shared" si="182"/>
        <v>0</v>
      </c>
      <c r="MHR64" s="857">
        <f t="shared" si="182"/>
        <v>0</v>
      </c>
      <c r="MHS64" s="857">
        <f t="shared" si="182"/>
        <v>0</v>
      </c>
      <c r="MHT64" s="857">
        <f t="shared" si="182"/>
        <v>0</v>
      </c>
      <c r="MHU64" s="857">
        <f t="shared" si="182"/>
        <v>0</v>
      </c>
      <c r="MHV64" s="857">
        <f t="shared" si="182"/>
        <v>0</v>
      </c>
      <c r="MHW64" s="857">
        <f t="shared" si="182"/>
        <v>0</v>
      </c>
      <c r="MHX64" s="857">
        <f t="shared" si="182"/>
        <v>0</v>
      </c>
      <c r="MHY64" s="857">
        <f t="shared" si="182"/>
        <v>0</v>
      </c>
      <c r="MHZ64" s="857">
        <f t="shared" si="182"/>
        <v>0</v>
      </c>
      <c r="MIA64" s="857">
        <f t="shared" si="182"/>
        <v>0</v>
      </c>
      <c r="MIB64" s="857">
        <f t="shared" si="182"/>
        <v>0</v>
      </c>
      <c r="MIC64" s="857">
        <f t="shared" si="182"/>
        <v>0</v>
      </c>
      <c r="MID64" s="857">
        <f t="shared" si="182"/>
        <v>0</v>
      </c>
      <c r="MIE64" s="857">
        <f t="shared" si="182"/>
        <v>0</v>
      </c>
      <c r="MIF64" s="857">
        <f t="shared" si="182"/>
        <v>0</v>
      </c>
      <c r="MIG64" s="857">
        <f t="shared" si="182"/>
        <v>0</v>
      </c>
      <c r="MIH64" s="857">
        <f t="shared" ref="MIH64:MKS64" si="183">(MIH57-MIH59)*$C$64</f>
        <v>0</v>
      </c>
      <c r="MII64" s="857">
        <f t="shared" si="183"/>
        <v>0</v>
      </c>
      <c r="MIJ64" s="857">
        <f t="shared" si="183"/>
        <v>0</v>
      </c>
      <c r="MIK64" s="857">
        <f t="shared" si="183"/>
        <v>0</v>
      </c>
      <c r="MIL64" s="857">
        <f t="shared" si="183"/>
        <v>0</v>
      </c>
      <c r="MIM64" s="857">
        <f t="shared" si="183"/>
        <v>0</v>
      </c>
      <c r="MIN64" s="857">
        <f t="shared" si="183"/>
        <v>0</v>
      </c>
      <c r="MIO64" s="857">
        <f t="shared" si="183"/>
        <v>0</v>
      </c>
      <c r="MIP64" s="857">
        <f t="shared" si="183"/>
        <v>0</v>
      </c>
      <c r="MIQ64" s="857">
        <f t="shared" si="183"/>
        <v>0</v>
      </c>
      <c r="MIR64" s="857">
        <f t="shared" si="183"/>
        <v>0</v>
      </c>
      <c r="MIS64" s="857">
        <f t="shared" si="183"/>
        <v>0</v>
      </c>
      <c r="MIT64" s="857">
        <f t="shared" si="183"/>
        <v>0</v>
      </c>
      <c r="MIU64" s="857">
        <f t="shared" si="183"/>
        <v>0</v>
      </c>
      <c r="MIV64" s="857">
        <f t="shared" si="183"/>
        <v>0</v>
      </c>
      <c r="MIW64" s="857">
        <f t="shared" si="183"/>
        <v>0</v>
      </c>
      <c r="MIX64" s="857">
        <f t="shared" si="183"/>
        <v>0</v>
      </c>
      <c r="MIY64" s="857">
        <f t="shared" si="183"/>
        <v>0</v>
      </c>
      <c r="MIZ64" s="857">
        <f t="shared" si="183"/>
        <v>0</v>
      </c>
      <c r="MJA64" s="857">
        <f t="shared" si="183"/>
        <v>0</v>
      </c>
      <c r="MJB64" s="857">
        <f t="shared" si="183"/>
        <v>0</v>
      </c>
      <c r="MJC64" s="857">
        <f t="shared" si="183"/>
        <v>0</v>
      </c>
      <c r="MJD64" s="857">
        <f t="shared" si="183"/>
        <v>0</v>
      </c>
      <c r="MJE64" s="857">
        <f t="shared" si="183"/>
        <v>0</v>
      </c>
      <c r="MJF64" s="857">
        <f t="shared" si="183"/>
        <v>0</v>
      </c>
      <c r="MJG64" s="857">
        <f t="shared" si="183"/>
        <v>0</v>
      </c>
      <c r="MJH64" s="857">
        <f t="shared" si="183"/>
        <v>0</v>
      </c>
      <c r="MJI64" s="857">
        <f t="shared" si="183"/>
        <v>0</v>
      </c>
      <c r="MJJ64" s="857">
        <f t="shared" si="183"/>
        <v>0</v>
      </c>
      <c r="MJK64" s="857">
        <f t="shared" si="183"/>
        <v>0</v>
      </c>
      <c r="MJL64" s="857">
        <f t="shared" si="183"/>
        <v>0</v>
      </c>
      <c r="MJM64" s="857">
        <f t="shared" si="183"/>
        <v>0</v>
      </c>
      <c r="MJN64" s="857">
        <f t="shared" si="183"/>
        <v>0</v>
      </c>
      <c r="MJO64" s="857">
        <f t="shared" si="183"/>
        <v>0</v>
      </c>
      <c r="MJP64" s="857">
        <f t="shared" si="183"/>
        <v>0</v>
      </c>
      <c r="MJQ64" s="857">
        <f t="shared" si="183"/>
        <v>0</v>
      </c>
      <c r="MJR64" s="857">
        <f t="shared" si="183"/>
        <v>0</v>
      </c>
      <c r="MJS64" s="857">
        <f t="shared" si="183"/>
        <v>0</v>
      </c>
      <c r="MJT64" s="857">
        <f t="shared" si="183"/>
        <v>0</v>
      </c>
      <c r="MJU64" s="857">
        <f t="shared" si="183"/>
        <v>0</v>
      </c>
      <c r="MJV64" s="857">
        <f t="shared" si="183"/>
        <v>0</v>
      </c>
      <c r="MJW64" s="857">
        <f t="shared" si="183"/>
        <v>0</v>
      </c>
      <c r="MJX64" s="857">
        <f t="shared" si="183"/>
        <v>0</v>
      </c>
      <c r="MJY64" s="857">
        <f t="shared" si="183"/>
        <v>0</v>
      </c>
      <c r="MJZ64" s="857">
        <f t="shared" si="183"/>
        <v>0</v>
      </c>
      <c r="MKA64" s="857">
        <f t="shared" si="183"/>
        <v>0</v>
      </c>
      <c r="MKB64" s="857">
        <f t="shared" si="183"/>
        <v>0</v>
      </c>
      <c r="MKC64" s="857">
        <f t="shared" si="183"/>
        <v>0</v>
      </c>
      <c r="MKD64" s="857">
        <f t="shared" si="183"/>
        <v>0</v>
      </c>
      <c r="MKE64" s="857">
        <f t="shared" si="183"/>
        <v>0</v>
      </c>
      <c r="MKF64" s="857">
        <f t="shared" si="183"/>
        <v>0</v>
      </c>
      <c r="MKG64" s="857">
        <f t="shared" si="183"/>
        <v>0</v>
      </c>
      <c r="MKH64" s="857">
        <f t="shared" si="183"/>
        <v>0</v>
      </c>
      <c r="MKI64" s="857">
        <f t="shared" si="183"/>
        <v>0</v>
      </c>
      <c r="MKJ64" s="857">
        <f t="shared" si="183"/>
        <v>0</v>
      </c>
      <c r="MKK64" s="857">
        <f t="shared" si="183"/>
        <v>0</v>
      </c>
      <c r="MKL64" s="857">
        <f t="shared" si="183"/>
        <v>0</v>
      </c>
      <c r="MKM64" s="857">
        <f t="shared" si="183"/>
        <v>0</v>
      </c>
      <c r="MKN64" s="857">
        <f t="shared" si="183"/>
        <v>0</v>
      </c>
      <c r="MKO64" s="857">
        <f t="shared" si="183"/>
        <v>0</v>
      </c>
      <c r="MKP64" s="857">
        <f t="shared" si="183"/>
        <v>0</v>
      </c>
      <c r="MKQ64" s="857">
        <f t="shared" si="183"/>
        <v>0</v>
      </c>
      <c r="MKR64" s="857">
        <f t="shared" si="183"/>
        <v>0</v>
      </c>
      <c r="MKS64" s="857">
        <f t="shared" si="183"/>
        <v>0</v>
      </c>
      <c r="MKT64" s="857">
        <f t="shared" ref="MKT64:MNE64" si="184">(MKT57-MKT59)*$C$64</f>
        <v>0</v>
      </c>
      <c r="MKU64" s="857">
        <f t="shared" si="184"/>
        <v>0</v>
      </c>
      <c r="MKV64" s="857">
        <f t="shared" si="184"/>
        <v>0</v>
      </c>
      <c r="MKW64" s="857">
        <f t="shared" si="184"/>
        <v>0</v>
      </c>
      <c r="MKX64" s="857">
        <f t="shared" si="184"/>
        <v>0</v>
      </c>
      <c r="MKY64" s="857">
        <f t="shared" si="184"/>
        <v>0</v>
      </c>
      <c r="MKZ64" s="857">
        <f t="shared" si="184"/>
        <v>0</v>
      </c>
      <c r="MLA64" s="857">
        <f t="shared" si="184"/>
        <v>0</v>
      </c>
      <c r="MLB64" s="857">
        <f t="shared" si="184"/>
        <v>0</v>
      </c>
      <c r="MLC64" s="857">
        <f t="shared" si="184"/>
        <v>0</v>
      </c>
      <c r="MLD64" s="857">
        <f t="shared" si="184"/>
        <v>0</v>
      </c>
      <c r="MLE64" s="857">
        <f t="shared" si="184"/>
        <v>0</v>
      </c>
      <c r="MLF64" s="857">
        <f t="shared" si="184"/>
        <v>0</v>
      </c>
      <c r="MLG64" s="857">
        <f t="shared" si="184"/>
        <v>0</v>
      </c>
      <c r="MLH64" s="857">
        <f t="shared" si="184"/>
        <v>0</v>
      </c>
      <c r="MLI64" s="857">
        <f t="shared" si="184"/>
        <v>0</v>
      </c>
      <c r="MLJ64" s="857">
        <f t="shared" si="184"/>
        <v>0</v>
      </c>
      <c r="MLK64" s="857">
        <f t="shared" si="184"/>
        <v>0</v>
      </c>
      <c r="MLL64" s="857">
        <f t="shared" si="184"/>
        <v>0</v>
      </c>
      <c r="MLM64" s="857">
        <f t="shared" si="184"/>
        <v>0</v>
      </c>
      <c r="MLN64" s="857">
        <f t="shared" si="184"/>
        <v>0</v>
      </c>
      <c r="MLO64" s="857">
        <f t="shared" si="184"/>
        <v>0</v>
      </c>
      <c r="MLP64" s="857">
        <f t="shared" si="184"/>
        <v>0</v>
      </c>
      <c r="MLQ64" s="857">
        <f t="shared" si="184"/>
        <v>0</v>
      </c>
      <c r="MLR64" s="857">
        <f t="shared" si="184"/>
        <v>0</v>
      </c>
      <c r="MLS64" s="857">
        <f t="shared" si="184"/>
        <v>0</v>
      </c>
      <c r="MLT64" s="857">
        <f t="shared" si="184"/>
        <v>0</v>
      </c>
      <c r="MLU64" s="857">
        <f t="shared" si="184"/>
        <v>0</v>
      </c>
      <c r="MLV64" s="857">
        <f t="shared" si="184"/>
        <v>0</v>
      </c>
      <c r="MLW64" s="857">
        <f t="shared" si="184"/>
        <v>0</v>
      </c>
      <c r="MLX64" s="857">
        <f t="shared" si="184"/>
        <v>0</v>
      </c>
      <c r="MLY64" s="857">
        <f t="shared" si="184"/>
        <v>0</v>
      </c>
      <c r="MLZ64" s="857">
        <f t="shared" si="184"/>
        <v>0</v>
      </c>
      <c r="MMA64" s="857">
        <f t="shared" si="184"/>
        <v>0</v>
      </c>
      <c r="MMB64" s="857">
        <f t="shared" si="184"/>
        <v>0</v>
      </c>
      <c r="MMC64" s="857">
        <f t="shared" si="184"/>
        <v>0</v>
      </c>
      <c r="MMD64" s="857">
        <f t="shared" si="184"/>
        <v>0</v>
      </c>
      <c r="MME64" s="857">
        <f t="shared" si="184"/>
        <v>0</v>
      </c>
      <c r="MMF64" s="857">
        <f t="shared" si="184"/>
        <v>0</v>
      </c>
      <c r="MMG64" s="857">
        <f t="shared" si="184"/>
        <v>0</v>
      </c>
      <c r="MMH64" s="857">
        <f t="shared" si="184"/>
        <v>0</v>
      </c>
      <c r="MMI64" s="857">
        <f t="shared" si="184"/>
        <v>0</v>
      </c>
      <c r="MMJ64" s="857">
        <f t="shared" si="184"/>
        <v>0</v>
      </c>
      <c r="MMK64" s="857">
        <f t="shared" si="184"/>
        <v>0</v>
      </c>
      <c r="MML64" s="857">
        <f t="shared" si="184"/>
        <v>0</v>
      </c>
      <c r="MMM64" s="857">
        <f t="shared" si="184"/>
        <v>0</v>
      </c>
      <c r="MMN64" s="857">
        <f t="shared" si="184"/>
        <v>0</v>
      </c>
      <c r="MMO64" s="857">
        <f t="shared" si="184"/>
        <v>0</v>
      </c>
      <c r="MMP64" s="857">
        <f t="shared" si="184"/>
        <v>0</v>
      </c>
      <c r="MMQ64" s="857">
        <f t="shared" si="184"/>
        <v>0</v>
      </c>
      <c r="MMR64" s="857">
        <f t="shared" si="184"/>
        <v>0</v>
      </c>
      <c r="MMS64" s="857">
        <f t="shared" si="184"/>
        <v>0</v>
      </c>
      <c r="MMT64" s="857">
        <f t="shared" si="184"/>
        <v>0</v>
      </c>
      <c r="MMU64" s="857">
        <f t="shared" si="184"/>
        <v>0</v>
      </c>
      <c r="MMV64" s="857">
        <f t="shared" si="184"/>
        <v>0</v>
      </c>
      <c r="MMW64" s="857">
        <f t="shared" si="184"/>
        <v>0</v>
      </c>
      <c r="MMX64" s="857">
        <f t="shared" si="184"/>
        <v>0</v>
      </c>
      <c r="MMY64" s="857">
        <f t="shared" si="184"/>
        <v>0</v>
      </c>
      <c r="MMZ64" s="857">
        <f t="shared" si="184"/>
        <v>0</v>
      </c>
      <c r="MNA64" s="857">
        <f t="shared" si="184"/>
        <v>0</v>
      </c>
      <c r="MNB64" s="857">
        <f t="shared" si="184"/>
        <v>0</v>
      </c>
      <c r="MNC64" s="857">
        <f t="shared" si="184"/>
        <v>0</v>
      </c>
      <c r="MND64" s="857">
        <f t="shared" si="184"/>
        <v>0</v>
      </c>
      <c r="MNE64" s="857">
        <f t="shared" si="184"/>
        <v>0</v>
      </c>
      <c r="MNF64" s="857">
        <f t="shared" ref="MNF64:MPQ64" si="185">(MNF57-MNF59)*$C$64</f>
        <v>0</v>
      </c>
      <c r="MNG64" s="857">
        <f t="shared" si="185"/>
        <v>0</v>
      </c>
      <c r="MNH64" s="857">
        <f t="shared" si="185"/>
        <v>0</v>
      </c>
      <c r="MNI64" s="857">
        <f t="shared" si="185"/>
        <v>0</v>
      </c>
      <c r="MNJ64" s="857">
        <f t="shared" si="185"/>
        <v>0</v>
      </c>
      <c r="MNK64" s="857">
        <f t="shared" si="185"/>
        <v>0</v>
      </c>
      <c r="MNL64" s="857">
        <f t="shared" si="185"/>
        <v>0</v>
      </c>
      <c r="MNM64" s="857">
        <f t="shared" si="185"/>
        <v>0</v>
      </c>
      <c r="MNN64" s="857">
        <f t="shared" si="185"/>
        <v>0</v>
      </c>
      <c r="MNO64" s="857">
        <f t="shared" si="185"/>
        <v>0</v>
      </c>
      <c r="MNP64" s="857">
        <f t="shared" si="185"/>
        <v>0</v>
      </c>
      <c r="MNQ64" s="857">
        <f t="shared" si="185"/>
        <v>0</v>
      </c>
      <c r="MNR64" s="857">
        <f t="shared" si="185"/>
        <v>0</v>
      </c>
      <c r="MNS64" s="857">
        <f t="shared" si="185"/>
        <v>0</v>
      </c>
      <c r="MNT64" s="857">
        <f t="shared" si="185"/>
        <v>0</v>
      </c>
      <c r="MNU64" s="857">
        <f t="shared" si="185"/>
        <v>0</v>
      </c>
      <c r="MNV64" s="857">
        <f t="shared" si="185"/>
        <v>0</v>
      </c>
      <c r="MNW64" s="857">
        <f t="shared" si="185"/>
        <v>0</v>
      </c>
      <c r="MNX64" s="857">
        <f t="shared" si="185"/>
        <v>0</v>
      </c>
      <c r="MNY64" s="857">
        <f t="shared" si="185"/>
        <v>0</v>
      </c>
      <c r="MNZ64" s="857">
        <f t="shared" si="185"/>
        <v>0</v>
      </c>
      <c r="MOA64" s="857">
        <f t="shared" si="185"/>
        <v>0</v>
      </c>
      <c r="MOB64" s="857">
        <f t="shared" si="185"/>
        <v>0</v>
      </c>
      <c r="MOC64" s="857">
        <f t="shared" si="185"/>
        <v>0</v>
      </c>
      <c r="MOD64" s="857">
        <f t="shared" si="185"/>
        <v>0</v>
      </c>
      <c r="MOE64" s="857">
        <f t="shared" si="185"/>
        <v>0</v>
      </c>
      <c r="MOF64" s="857">
        <f t="shared" si="185"/>
        <v>0</v>
      </c>
      <c r="MOG64" s="857">
        <f t="shared" si="185"/>
        <v>0</v>
      </c>
      <c r="MOH64" s="857">
        <f t="shared" si="185"/>
        <v>0</v>
      </c>
      <c r="MOI64" s="857">
        <f t="shared" si="185"/>
        <v>0</v>
      </c>
      <c r="MOJ64" s="857">
        <f t="shared" si="185"/>
        <v>0</v>
      </c>
      <c r="MOK64" s="857">
        <f t="shared" si="185"/>
        <v>0</v>
      </c>
      <c r="MOL64" s="857">
        <f t="shared" si="185"/>
        <v>0</v>
      </c>
      <c r="MOM64" s="857">
        <f t="shared" si="185"/>
        <v>0</v>
      </c>
      <c r="MON64" s="857">
        <f t="shared" si="185"/>
        <v>0</v>
      </c>
      <c r="MOO64" s="857">
        <f t="shared" si="185"/>
        <v>0</v>
      </c>
      <c r="MOP64" s="857">
        <f t="shared" si="185"/>
        <v>0</v>
      </c>
      <c r="MOQ64" s="857">
        <f t="shared" si="185"/>
        <v>0</v>
      </c>
      <c r="MOR64" s="857">
        <f t="shared" si="185"/>
        <v>0</v>
      </c>
      <c r="MOS64" s="857">
        <f t="shared" si="185"/>
        <v>0</v>
      </c>
      <c r="MOT64" s="857">
        <f t="shared" si="185"/>
        <v>0</v>
      </c>
      <c r="MOU64" s="857">
        <f t="shared" si="185"/>
        <v>0</v>
      </c>
      <c r="MOV64" s="857">
        <f t="shared" si="185"/>
        <v>0</v>
      </c>
      <c r="MOW64" s="857">
        <f t="shared" si="185"/>
        <v>0</v>
      </c>
      <c r="MOX64" s="857">
        <f t="shared" si="185"/>
        <v>0</v>
      </c>
      <c r="MOY64" s="857">
        <f t="shared" si="185"/>
        <v>0</v>
      </c>
      <c r="MOZ64" s="857">
        <f t="shared" si="185"/>
        <v>0</v>
      </c>
      <c r="MPA64" s="857">
        <f t="shared" si="185"/>
        <v>0</v>
      </c>
      <c r="MPB64" s="857">
        <f t="shared" si="185"/>
        <v>0</v>
      </c>
      <c r="MPC64" s="857">
        <f t="shared" si="185"/>
        <v>0</v>
      </c>
      <c r="MPD64" s="857">
        <f t="shared" si="185"/>
        <v>0</v>
      </c>
      <c r="MPE64" s="857">
        <f t="shared" si="185"/>
        <v>0</v>
      </c>
      <c r="MPF64" s="857">
        <f t="shared" si="185"/>
        <v>0</v>
      </c>
      <c r="MPG64" s="857">
        <f t="shared" si="185"/>
        <v>0</v>
      </c>
      <c r="MPH64" s="857">
        <f t="shared" si="185"/>
        <v>0</v>
      </c>
      <c r="MPI64" s="857">
        <f t="shared" si="185"/>
        <v>0</v>
      </c>
      <c r="MPJ64" s="857">
        <f t="shared" si="185"/>
        <v>0</v>
      </c>
      <c r="MPK64" s="857">
        <f t="shared" si="185"/>
        <v>0</v>
      </c>
      <c r="MPL64" s="857">
        <f t="shared" si="185"/>
        <v>0</v>
      </c>
      <c r="MPM64" s="857">
        <f t="shared" si="185"/>
        <v>0</v>
      </c>
      <c r="MPN64" s="857">
        <f t="shared" si="185"/>
        <v>0</v>
      </c>
      <c r="MPO64" s="857">
        <f t="shared" si="185"/>
        <v>0</v>
      </c>
      <c r="MPP64" s="857">
        <f t="shared" si="185"/>
        <v>0</v>
      </c>
      <c r="MPQ64" s="857">
        <f t="shared" si="185"/>
        <v>0</v>
      </c>
      <c r="MPR64" s="857">
        <f t="shared" ref="MPR64:MSC64" si="186">(MPR57-MPR59)*$C$64</f>
        <v>0</v>
      </c>
      <c r="MPS64" s="857">
        <f t="shared" si="186"/>
        <v>0</v>
      </c>
      <c r="MPT64" s="857">
        <f t="shared" si="186"/>
        <v>0</v>
      </c>
      <c r="MPU64" s="857">
        <f t="shared" si="186"/>
        <v>0</v>
      </c>
      <c r="MPV64" s="857">
        <f t="shared" si="186"/>
        <v>0</v>
      </c>
      <c r="MPW64" s="857">
        <f t="shared" si="186"/>
        <v>0</v>
      </c>
      <c r="MPX64" s="857">
        <f t="shared" si="186"/>
        <v>0</v>
      </c>
      <c r="MPY64" s="857">
        <f t="shared" si="186"/>
        <v>0</v>
      </c>
      <c r="MPZ64" s="857">
        <f t="shared" si="186"/>
        <v>0</v>
      </c>
      <c r="MQA64" s="857">
        <f t="shared" si="186"/>
        <v>0</v>
      </c>
      <c r="MQB64" s="857">
        <f t="shared" si="186"/>
        <v>0</v>
      </c>
      <c r="MQC64" s="857">
        <f t="shared" si="186"/>
        <v>0</v>
      </c>
      <c r="MQD64" s="857">
        <f t="shared" si="186"/>
        <v>0</v>
      </c>
      <c r="MQE64" s="857">
        <f t="shared" si="186"/>
        <v>0</v>
      </c>
      <c r="MQF64" s="857">
        <f t="shared" si="186"/>
        <v>0</v>
      </c>
      <c r="MQG64" s="857">
        <f t="shared" si="186"/>
        <v>0</v>
      </c>
      <c r="MQH64" s="857">
        <f t="shared" si="186"/>
        <v>0</v>
      </c>
      <c r="MQI64" s="857">
        <f t="shared" si="186"/>
        <v>0</v>
      </c>
      <c r="MQJ64" s="857">
        <f t="shared" si="186"/>
        <v>0</v>
      </c>
      <c r="MQK64" s="857">
        <f t="shared" si="186"/>
        <v>0</v>
      </c>
      <c r="MQL64" s="857">
        <f t="shared" si="186"/>
        <v>0</v>
      </c>
      <c r="MQM64" s="857">
        <f t="shared" si="186"/>
        <v>0</v>
      </c>
      <c r="MQN64" s="857">
        <f t="shared" si="186"/>
        <v>0</v>
      </c>
      <c r="MQO64" s="857">
        <f t="shared" si="186"/>
        <v>0</v>
      </c>
      <c r="MQP64" s="857">
        <f t="shared" si="186"/>
        <v>0</v>
      </c>
      <c r="MQQ64" s="857">
        <f t="shared" si="186"/>
        <v>0</v>
      </c>
      <c r="MQR64" s="857">
        <f t="shared" si="186"/>
        <v>0</v>
      </c>
      <c r="MQS64" s="857">
        <f t="shared" si="186"/>
        <v>0</v>
      </c>
      <c r="MQT64" s="857">
        <f t="shared" si="186"/>
        <v>0</v>
      </c>
      <c r="MQU64" s="857">
        <f t="shared" si="186"/>
        <v>0</v>
      </c>
      <c r="MQV64" s="857">
        <f t="shared" si="186"/>
        <v>0</v>
      </c>
      <c r="MQW64" s="857">
        <f t="shared" si="186"/>
        <v>0</v>
      </c>
      <c r="MQX64" s="857">
        <f t="shared" si="186"/>
        <v>0</v>
      </c>
      <c r="MQY64" s="857">
        <f t="shared" si="186"/>
        <v>0</v>
      </c>
      <c r="MQZ64" s="857">
        <f t="shared" si="186"/>
        <v>0</v>
      </c>
      <c r="MRA64" s="857">
        <f t="shared" si="186"/>
        <v>0</v>
      </c>
      <c r="MRB64" s="857">
        <f t="shared" si="186"/>
        <v>0</v>
      </c>
      <c r="MRC64" s="857">
        <f t="shared" si="186"/>
        <v>0</v>
      </c>
      <c r="MRD64" s="857">
        <f t="shared" si="186"/>
        <v>0</v>
      </c>
      <c r="MRE64" s="857">
        <f t="shared" si="186"/>
        <v>0</v>
      </c>
      <c r="MRF64" s="857">
        <f t="shared" si="186"/>
        <v>0</v>
      </c>
      <c r="MRG64" s="857">
        <f t="shared" si="186"/>
        <v>0</v>
      </c>
      <c r="MRH64" s="857">
        <f t="shared" si="186"/>
        <v>0</v>
      </c>
      <c r="MRI64" s="857">
        <f t="shared" si="186"/>
        <v>0</v>
      </c>
      <c r="MRJ64" s="857">
        <f t="shared" si="186"/>
        <v>0</v>
      </c>
      <c r="MRK64" s="857">
        <f t="shared" si="186"/>
        <v>0</v>
      </c>
      <c r="MRL64" s="857">
        <f t="shared" si="186"/>
        <v>0</v>
      </c>
      <c r="MRM64" s="857">
        <f t="shared" si="186"/>
        <v>0</v>
      </c>
      <c r="MRN64" s="857">
        <f t="shared" si="186"/>
        <v>0</v>
      </c>
      <c r="MRO64" s="857">
        <f t="shared" si="186"/>
        <v>0</v>
      </c>
      <c r="MRP64" s="857">
        <f t="shared" si="186"/>
        <v>0</v>
      </c>
      <c r="MRQ64" s="857">
        <f t="shared" si="186"/>
        <v>0</v>
      </c>
      <c r="MRR64" s="857">
        <f t="shared" si="186"/>
        <v>0</v>
      </c>
      <c r="MRS64" s="857">
        <f t="shared" si="186"/>
        <v>0</v>
      </c>
      <c r="MRT64" s="857">
        <f t="shared" si="186"/>
        <v>0</v>
      </c>
      <c r="MRU64" s="857">
        <f t="shared" si="186"/>
        <v>0</v>
      </c>
      <c r="MRV64" s="857">
        <f t="shared" si="186"/>
        <v>0</v>
      </c>
      <c r="MRW64" s="857">
        <f t="shared" si="186"/>
        <v>0</v>
      </c>
      <c r="MRX64" s="857">
        <f t="shared" si="186"/>
        <v>0</v>
      </c>
      <c r="MRY64" s="857">
        <f t="shared" si="186"/>
        <v>0</v>
      </c>
      <c r="MRZ64" s="857">
        <f t="shared" si="186"/>
        <v>0</v>
      </c>
      <c r="MSA64" s="857">
        <f t="shared" si="186"/>
        <v>0</v>
      </c>
      <c r="MSB64" s="857">
        <f t="shared" si="186"/>
        <v>0</v>
      </c>
      <c r="MSC64" s="857">
        <f t="shared" si="186"/>
        <v>0</v>
      </c>
      <c r="MSD64" s="857">
        <f t="shared" ref="MSD64:MUO64" si="187">(MSD57-MSD59)*$C$64</f>
        <v>0</v>
      </c>
      <c r="MSE64" s="857">
        <f t="shared" si="187"/>
        <v>0</v>
      </c>
      <c r="MSF64" s="857">
        <f t="shared" si="187"/>
        <v>0</v>
      </c>
      <c r="MSG64" s="857">
        <f t="shared" si="187"/>
        <v>0</v>
      </c>
      <c r="MSH64" s="857">
        <f t="shared" si="187"/>
        <v>0</v>
      </c>
      <c r="MSI64" s="857">
        <f t="shared" si="187"/>
        <v>0</v>
      </c>
      <c r="MSJ64" s="857">
        <f t="shared" si="187"/>
        <v>0</v>
      </c>
      <c r="MSK64" s="857">
        <f t="shared" si="187"/>
        <v>0</v>
      </c>
      <c r="MSL64" s="857">
        <f t="shared" si="187"/>
        <v>0</v>
      </c>
      <c r="MSM64" s="857">
        <f t="shared" si="187"/>
        <v>0</v>
      </c>
      <c r="MSN64" s="857">
        <f t="shared" si="187"/>
        <v>0</v>
      </c>
      <c r="MSO64" s="857">
        <f t="shared" si="187"/>
        <v>0</v>
      </c>
      <c r="MSP64" s="857">
        <f t="shared" si="187"/>
        <v>0</v>
      </c>
      <c r="MSQ64" s="857">
        <f t="shared" si="187"/>
        <v>0</v>
      </c>
      <c r="MSR64" s="857">
        <f t="shared" si="187"/>
        <v>0</v>
      </c>
      <c r="MSS64" s="857">
        <f t="shared" si="187"/>
        <v>0</v>
      </c>
      <c r="MST64" s="857">
        <f t="shared" si="187"/>
        <v>0</v>
      </c>
      <c r="MSU64" s="857">
        <f t="shared" si="187"/>
        <v>0</v>
      </c>
      <c r="MSV64" s="857">
        <f t="shared" si="187"/>
        <v>0</v>
      </c>
      <c r="MSW64" s="857">
        <f t="shared" si="187"/>
        <v>0</v>
      </c>
      <c r="MSX64" s="857">
        <f t="shared" si="187"/>
        <v>0</v>
      </c>
      <c r="MSY64" s="857">
        <f t="shared" si="187"/>
        <v>0</v>
      </c>
      <c r="MSZ64" s="857">
        <f t="shared" si="187"/>
        <v>0</v>
      </c>
      <c r="MTA64" s="857">
        <f t="shared" si="187"/>
        <v>0</v>
      </c>
      <c r="MTB64" s="857">
        <f t="shared" si="187"/>
        <v>0</v>
      </c>
      <c r="MTC64" s="857">
        <f t="shared" si="187"/>
        <v>0</v>
      </c>
      <c r="MTD64" s="857">
        <f t="shared" si="187"/>
        <v>0</v>
      </c>
      <c r="MTE64" s="857">
        <f t="shared" si="187"/>
        <v>0</v>
      </c>
      <c r="MTF64" s="857">
        <f t="shared" si="187"/>
        <v>0</v>
      </c>
      <c r="MTG64" s="857">
        <f t="shared" si="187"/>
        <v>0</v>
      </c>
      <c r="MTH64" s="857">
        <f t="shared" si="187"/>
        <v>0</v>
      </c>
      <c r="MTI64" s="857">
        <f t="shared" si="187"/>
        <v>0</v>
      </c>
      <c r="MTJ64" s="857">
        <f t="shared" si="187"/>
        <v>0</v>
      </c>
      <c r="MTK64" s="857">
        <f t="shared" si="187"/>
        <v>0</v>
      </c>
      <c r="MTL64" s="857">
        <f t="shared" si="187"/>
        <v>0</v>
      </c>
      <c r="MTM64" s="857">
        <f t="shared" si="187"/>
        <v>0</v>
      </c>
      <c r="MTN64" s="857">
        <f t="shared" si="187"/>
        <v>0</v>
      </c>
      <c r="MTO64" s="857">
        <f t="shared" si="187"/>
        <v>0</v>
      </c>
      <c r="MTP64" s="857">
        <f t="shared" si="187"/>
        <v>0</v>
      </c>
      <c r="MTQ64" s="857">
        <f t="shared" si="187"/>
        <v>0</v>
      </c>
      <c r="MTR64" s="857">
        <f t="shared" si="187"/>
        <v>0</v>
      </c>
      <c r="MTS64" s="857">
        <f t="shared" si="187"/>
        <v>0</v>
      </c>
      <c r="MTT64" s="857">
        <f t="shared" si="187"/>
        <v>0</v>
      </c>
      <c r="MTU64" s="857">
        <f t="shared" si="187"/>
        <v>0</v>
      </c>
      <c r="MTV64" s="857">
        <f t="shared" si="187"/>
        <v>0</v>
      </c>
      <c r="MTW64" s="857">
        <f t="shared" si="187"/>
        <v>0</v>
      </c>
      <c r="MTX64" s="857">
        <f t="shared" si="187"/>
        <v>0</v>
      </c>
      <c r="MTY64" s="857">
        <f t="shared" si="187"/>
        <v>0</v>
      </c>
      <c r="MTZ64" s="857">
        <f t="shared" si="187"/>
        <v>0</v>
      </c>
      <c r="MUA64" s="857">
        <f t="shared" si="187"/>
        <v>0</v>
      </c>
      <c r="MUB64" s="857">
        <f t="shared" si="187"/>
        <v>0</v>
      </c>
      <c r="MUC64" s="857">
        <f t="shared" si="187"/>
        <v>0</v>
      </c>
      <c r="MUD64" s="857">
        <f t="shared" si="187"/>
        <v>0</v>
      </c>
      <c r="MUE64" s="857">
        <f t="shared" si="187"/>
        <v>0</v>
      </c>
      <c r="MUF64" s="857">
        <f t="shared" si="187"/>
        <v>0</v>
      </c>
      <c r="MUG64" s="857">
        <f t="shared" si="187"/>
        <v>0</v>
      </c>
      <c r="MUH64" s="857">
        <f t="shared" si="187"/>
        <v>0</v>
      </c>
      <c r="MUI64" s="857">
        <f t="shared" si="187"/>
        <v>0</v>
      </c>
      <c r="MUJ64" s="857">
        <f t="shared" si="187"/>
        <v>0</v>
      </c>
      <c r="MUK64" s="857">
        <f t="shared" si="187"/>
        <v>0</v>
      </c>
      <c r="MUL64" s="857">
        <f t="shared" si="187"/>
        <v>0</v>
      </c>
      <c r="MUM64" s="857">
        <f t="shared" si="187"/>
        <v>0</v>
      </c>
      <c r="MUN64" s="857">
        <f t="shared" si="187"/>
        <v>0</v>
      </c>
      <c r="MUO64" s="857">
        <f t="shared" si="187"/>
        <v>0</v>
      </c>
      <c r="MUP64" s="857">
        <f t="shared" ref="MUP64:MXA64" si="188">(MUP57-MUP59)*$C$64</f>
        <v>0</v>
      </c>
      <c r="MUQ64" s="857">
        <f t="shared" si="188"/>
        <v>0</v>
      </c>
      <c r="MUR64" s="857">
        <f t="shared" si="188"/>
        <v>0</v>
      </c>
      <c r="MUS64" s="857">
        <f t="shared" si="188"/>
        <v>0</v>
      </c>
      <c r="MUT64" s="857">
        <f t="shared" si="188"/>
        <v>0</v>
      </c>
      <c r="MUU64" s="857">
        <f t="shared" si="188"/>
        <v>0</v>
      </c>
      <c r="MUV64" s="857">
        <f t="shared" si="188"/>
        <v>0</v>
      </c>
      <c r="MUW64" s="857">
        <f t="shared" si="188"/>
        <v>0</v>
      </c>
      <c r="MUX64" s="857">
        <f t="shared" si="188"/>
        <v>0</v>
      </c>
      <c r="MUY64" s="857">
        <f t="shared" si="188"/>
        <v>0</v>
      </c>
      <c r="MUZ64" s="857">
        <f t="shared" si="188"/>
        <v>0</v>
      </c>
      <c r="MVA64" s="857">
        <f t="shared" si="188"/>
        <v>0</v>
      </c>
      <c r="MVB64" s="857">
        <f t="shared" si="188"/>
        <v>0</v>
      </c>
      <c r="MVC64" s="857">
        <f t="shared" si="188"/>
        <v>0</v>
      </c>
      <c r="MVD64" s="857">
        <f t="shared" si="188"/>
        <v>0</v>
      </c>
      <c r="MVE64" s="857">
        <f t="shared" si="188"/>
        <v>0</v>
      </c>
      <c r="MVF64" s="857">
        <f t="shared" si="188"/>
        <v>0</v>
      </c>
      <c r="MVG64" s="857">
        <f t="shared" si="188"/>
        <v>0</v>
      </c>
      <c r="MVH64" s="857">
        <f t="shared" si="188"/>
        <v>0</v>
      </c>
      <c r="MVI64" s="857">
        <f t="shared" si="188"/>
        <v>0</v>
      </c>
      <c r="MVJ64" s="857">
        <f t="shared" si="188"/>
        <v>0</v>
      </c>
      <c r="MVK64" s="857">
        <f t="shared" si="188"/>
        <v>0</v>
      </c>
      <c r="MVL64" s="857">
        <f t="shared" si="188"/>
        <v>0</v>
      </c>
      <c r="MVM64" s="857">
        <f t="shared" si="188"/>
        <v>0</v>
      </c>
      <c r="MVN64" s="857">
        <f t="shared" si="188"/>
        <v>0</v>
      </c>
      <c r="MVO64" s="857">
        <f t="shared" si="188"/>
        <v>0</v>
      </c>
      <c r="MVP64" s="857">
        <f t="shared" si="188"/>
        <v>0</v>
      </c>
      <c r="MVQ64" s="857">
        <f t="shared" si="188"/>
        <v>0</v>
      </c>
      <c r="MVR64" s="857">
        <f t="shared" si="188"/>
        <v>0</v>
      </c>
      <c r="MVS64" s="857">
        <f t="shared" si="188"/>
        <v>0</v>
      </c>
      <c r="MVT64" s="857">
        <f t="shared" si="188"/>
        <v>0</v>
      </c>
      <c r="MVU64" s="857">
        <f t="shared" si="188"/>
        <v>0</v>
      </c>
      <c r="MVV64" s="857">
        <f t="shared" si="188"/>
        <v>0</v>
      </c>
      <c r="MVW64" s="857">
        <f t="shared" si="188"/>
        <v>0</v>
      </c>
      <c r="MVX64" s="857">
        <f t="shared" si="188"/>
        <v>0</v>
      </c>
      <c r="MVY64" s="857">
        <f t="shared" si="188"/>
        <v>0</v>
      </c>
      <c r="MVZ64" s="857">
        <f t="shared" si="188"/>
        <v>0</v>
      </c>
      <c r="MWA64" s="857">
        <f t="shared" si="188"/>
        <v>0</v>
      </c>
      <c r="MWB64" s="857">
        <f t="shared" si="188"/>
        <v>0</v>
      </c>
      <c r="MWC64" s="857">
        <f t="shared" si="188"/>
        <v>0</v>
      </c>
      <c r="MWD64" s="857">
        <f t="shared" si="188"/>
        <v>0</v>
      </c>
      <c r="MWE64" s="857">
        <f t="shared" si="188"/>
        <v>0</v>
      </c>
      <c r="MWF64" s="857">
        <f t="shared" si="188"/>
        <v>0</v>
      </c>
      <c r="MWG64" s="857">
        <f t="shared" si="188"/>
        <v>0</v>
      </c>
      <c r="MWH64" s="857">
        <f t="shared" si="188"/>
        <v>0</v>
      </c>
      <c r="MWI64" s="857">
        <f t="shared" si="188"/>
        <v>0</v>
      </c>
      <c r="MWJ64" s="857">
        <f t="shared" si="188"/>
        <v>0</v>
      </c>
      <c r="MWK64" s="857">
        <f t="shared" si="188"/>
        <v>0</v>
      </c>
      <c r="MWL64" s="857">
        <f t="shared" si="188"/>
        <v>0</v>
      </c>
      <c r="MWM64" s="857">
        <f t="shared" si="188"/>
        <v>0</v>
      </c>
      <c r="MWN64" s="857">
        <f t="shared" si="188"/>
        <v>0</v>
      </c>
      <c r="MWO64" s="857">
        <f t="shared" si="188"/>
        <v>0</v>
      </c>
      <c r="MWP64" s="857">
        <f t="shared" si="188"/>
        <v>0</v>
      </c>
      <c r="MWQ64" s="857">
        <f t="shared" si="188"/>
        <v>0</v>
      </c>
      <c r="MWR64" s="857">
        <f t="shared" si="188"/>
        <v>0</v>
      </c>
      <c r="MWS64" s="857">
        <f t="shared" si="188"/>
        <v>0</v>
      </c>
      <c r="MWT64" s="857">
        <f t="shared" si="188"/>
        <v>0</v>
      </c>
      <c r="MWU64" s="857">
        <f t="shared" si="188"/>
        <v>0</v>
      </c>
      <c r="MWV64" s="857">
        <f t="shared" si="188"/>
        <v>0</v>
      </c>
      <c r="MWW64" s="857">
        <f t="shared" si="188"/>
        <v>0</v>
      </c>
      <c r="MWX64" s="857">
        <f t="shared" si="188"/>
        <v>0</v>
      </c>
      <c r="MWY64" s="857">
        <f t="shared" si="188"/>
        <v>0</v>
      </c>
      <c r="MWZ64" s="857">
        <f t="shared" si="188"/>
        <v>0</v>
      </c>
      <c r="MXA64" s="857">
        <f t="shared" si="188"/>
        <v>0</v>
      </c>
      <c r="MXB64" s="857">
        <f t="shared" ref="MXB64:MZM64" si="189">(MXB57-MXB59)*$C$64</f>
        <v>0</v>
      </c>
      <c r="MXC64" s="857">
        <f t="shared" si="189"/>
        <v>0</v>
      </c>
      <c r="MXD64" s="857">
        <f t="shared" si="189"/>
        <v>0</v>
      </c>
      <c r="MXE64" s="857">
        <f t="shared" si="189"/>
        <v>0</v>
      </c>
      <c r="MXF64" s="857">
        <f t="shared" si="189"/>
        <v>0</v>
      </c>
      <c r="MXG64" s="857">
        <f t="shared" si="189"/>
        <v>0</v>
      </c>
      <c r="MXH64" s="857">
        <f t="shared" si="189"/>
        <v>0</v>
      </c>
      <c r="MXI64" s="857">
        <f t="shared" si="189"/>
        <v>0</v>
      </c>
      <c r="MXJ64" s="857">
        <f t="shared" si="189"/>
        <v>0</v>
      </c>
      <c r="MXK64" s="857">
        <f t="shared" si="189"/>
        <v>0</v>
      </c>
      <c r="MXL64" s="857">
        <f t="shared" si="189"/>
        <v>0</v>
      </c>
      <c r="MXM64" s="857">
        <f t="shared" si="189"/>
        <v>0</v>
      </c>
      <c r="MXN64" s="857">
        <f t="shared" si="189"/>
        <v>0</v>
      </c>
      <c r="MXO64" s="857">
        <f t="shared" si="189"/>
        <v>0</v>
      </c>
      <c r="MXP64" s="857">
        <f t="shared" si="189"/>
        <v>0</v>
      </c>
      <c r="MXQ64" s="857">
        <f t="shared" si="189"/>
        <v>0</v>
      </c>
      <c r="MXR64" s="857">
        <f t="shared" si="189"/>
        <v>0</v>
      </c>
      <c r="MXS64" s="857">
        <f t="shared" si="189"/>
        <v>0</v>
      </c>
      <c r="MXT64" s="857">
        <f t="shared" si="189"/>
        <v>0</v>
      </c>
      <c r="MXU64" s="857">
        <f t="shared" si="189"/>
        <v>0</v>
      </c>
      <c r="MXV64" s="857">
        <f t="shared" si="189"/>
        <v>0</v>
      </c>
      <c r="MXW64" s="857">
        <f t="shared" si="189"/>
        <v>0</v>
      </c>
      <c r="MXX64" s="857">
        <f t="shared" si="189"/>
        <v>0</v>
      </c>
      <c r="MXY64" s="857">
        <f t="shared" si="189"/>
        <v>0</v>
      </c>
      <c r="MXZ64" s="857">
        <f t="shared" si="189"/>
        <v>0</v>
      </c>
      <c r="MYA64" s="857">
        <f t="shared" si="189"/>
        <v>0</v>
      </c>
      <c r="MYB64" s="857">
        <f t="shared" si="189"/>
        <v>0</v>
      </c>
      <c r="MYC64" s="857">
        <f t="shared" si="189"/>
        <v>0</v>
      </c>
      <c r="MYD64" s="857">
        <f t="shared" si="189"/>
        <v>0</v>
      </c>
      <c r="MYE64" s="857">
        <f t="shared" si="189"/>
        <v>0</v>
      </c>
      <c r="MYF64" s="857">
        <f t="shared" si="189"/>
        <v>0</v>
      </c>
      <c r="MYG64" s="857">
        <f t="shared" si="189"/>
        <v>0</v>
      </c>
      <c r="MYH64" s="857">
        <f t="shared" si="189"/>
        <v>0</v>
      </c>
      <c r="MYI64" s="857">
        <f t="shared" si="189"/>
        <v>0</v>
      </c>
      <c r="MYJ64" s="857">
        <f t="shared" si="189"/>
        <v>0</v>
      </c>
      <c r="MYK64" s="857">
        <f t="shared" si="189"/>
        <v>0</v>
      </c>
      <c r="MYL64" s="857">
        <f t="shared" si="189"/>
        <v>0</v>
      </c>
      <c r="MYM64" s="857">
        <f t="shared" si="189"/>
        <v>0</v>
      </c>
      <c r="MYN64" s="857">
        <f t="shared" si="189"/>
        <v>0</v>
      </c>
      <c r="MYO64" s="857">
        <f t="shared" si="189"/>
        <v>0</v>
      </c>
      <c r="MYP64" s="857">
        <f t="shared" si="189"/>
        <v>0</v>
      </c>
      <c r="MYQ64" s="857">
        <f t="shared" si="189"/>
        <v>0</v>
      </c>
      <c r="MYR64" s="857">
        <f t="shared" si="189"/>
        <v>0</v>
      </c>
      <c r="MYS64" s="857">
        <f t="shared" si="189"/>
        <v>0</v>
      </c>
      <c r="MYT64" s="857">
        <f t="shared" si="189"/>
        <v>0</v>
      </c>
      <c r="MYU64" s="857">
        <f t="shared" si="189"/>
        <v>0</v>
      </c>
      <c r="MYV64" s="857">
        <f t="shared" si="189"/>
        <v>0</v>
      </c>
      <c r="MYW64" s="857">
        <f t="shared" si="189"/>
        <v>0</v>
      </c>
      <c r="MYX64" s="857">
        <f t="shared" si="189"/>
        <v>0</v>
      </c>
      <c r="MYY64" s="857">
        <f t="shared" si="189"/>
        <v>0</v>
      </c>
      <c r="MYZ64" s="857">
        <f t="shared" si="189"/>
        <v>0</v>
      </c>
      <c r="MZA64" s="857">
        <f t="shared" si="189"/>
        <v>0</v>
      </c>
      <c r="MZB64" s="857">
        <f t="shared" si="189"/>
        <v>0</v>
      </c>
      <c r="MZC64" s="857">
        <f t="shared" si="189"/>
        <v>0</v>
      </c>
      <c r="MZD64" s="857">
        <f t="shared" si="189"/>
        <v>0</v>
      </c>
      <c r="MZE64" s="857">
        <f t="shared" si="189"/>
        <v>0</v>
      </c>
      <c r="MZF64" s="857">
        <f t="shared" si="189"/>
        <v>0</v>
      </c>
      <c r="MZG64" s="857">
        <f t="shared" si="189"/>
        <v>0</v>
      </c>
      <c r="MZH64" s="857">
        <f t="shared" si="189"/>
        <v>0</v>
      </c>
      <c r="MZI64" s="857">
        <f t="shared" si="189"/>
        <v>0</v>
      </c>
      <c r="MZJ64" s="857">
        <f t="shared" si="189"/>
        <v>0</v>
      </c>
      <c r="MZK64" s="857">
        <f t="shared" si="189"/>
        <v>0</v>
      </c>
      <c r="MZL64" s="857">
        <f t="shared" si="189"/>
        <v>0</v>
      </c>
      <c r="MZM64" s="857">
        <f t="shared" si="189"/>
        <v>0</v>
      </c>
      <c r="MZN64" s="857">
        <f t="shared" ref="MZN64:NBY64" si="190">(MZN57-MZN59)*$C$64</f>
        <v>0</v>
      </c>
      <c r="MZO64" s="857">
        <f t="shared" si="190"/>
        <v>0</v>
      </c>
      <c r="MZP64" s="857">
        <f t="shared" si="190"/>
        <v>0</v>
      </c>
      <c r="MZQ64" s="857">
        <f t="shared" si="190"/>
        <v>0</v>
      </c>
      <c r="MZR64" s="857">
        <f t="shared" si="190"/>
        <v>0</v>
      </c>
      <c r="MZS64" s="857">
        <f t="shared" si="190"/>
        <v>0</v>
      </c>
      <c r="MZT64" s="857">
        <f t="shared" si="190"/>
        <v>0</v>
      </c>
      <c r="MZU64" s="857">
        <f t="shared" si="190"/>
        <v>0</v>
      </c>
      <c r="MZV64" s="857">
        <f t="shared" si="190"/>
        <v>0</v>
      </c>
      <c r="MZW64" s="857">
        <f t="shared" si="190"/>
        <v>0</v>
      </c>
      <c r="MZX64" s="857">
        <f t="shared" si="190"/>
        <v>0</v>
      </c>
      <c r="MZY64" s="857">
        <f t="shared" si="190"/>
        <v>0</v>
      </c>
      <c r="MZZ64" s="857">
        <f t="shared" si="190"/>
        <v>0</v>
      </c>
      <c r="NAA64" s="857">
        <f t="shared" si="190"/>
        <v>0</v>
      </c>
      <c r="NAB64" s="857">
        <f t="shared" si="190"/>
        <v>0</v>
      </c>
      <c r="NAC64" s="857">
        <f t="shared" si="190"/>
        <v>0</v>
      </c>
      <c r="NAD64" s="857">
        <f t="shared" si="190"/>
        <v>0</v>
      </c>
      <c r="NAE64" s="857">
        <f t="shared" si="190"/>
        <v>0</v>
      </c>
      <c r="NAF64" s="857">
        <f t="shared" si="190"/>
        <v>0</v>
      </c>
      <c r="NAG64" s="857">
        <f t="shared" si="190"/>
        <v>0</v>
      </c>
      <c r="NAH64" s="857">
        <f t="shared" si="190"/>
        <v>0</v>
      </c>
      <c r="NAI64" s="857">
        <f t="shared" si="190"/>
        <v>0</v>
      </c>
      <c r="NAJ64" s="857">
        <f t="shared" si="190"/>
        <v>0</v>
      </c>
      <c r="NAK64" s="857">
        <f t="shared" si="190"/>
        <v>0</v>
      </c>
      <c r="NAL64" s="857">
        <f t="shared" si="190"/>
        <v>0</v>
      </c>
      <c r="NAM64" s="857">
        <f t="shared" si="190"/>
        <v>0</v>
      </c>
      <c r="NAN64" s="857">
        <f t="shared" si="190"/>
        <v>0</v>
      </c>
      <c r="NAO64" s="857">
        <f t="shared" si="190"/>
        <v>0</v>
      </c>
      <c r="NAP64" s="857">
        <f t="shared" si="190"/>
        <v>0</v>
      </c>
      <c r="NAQ64" s="857">
        <f t="shared" si="190"/>
        <v>0</v>
      </c>
      <c r="NAR64" s="857">
        <f t="shared" si="190"/>
        <v>0</v>
      </c>
      <c r="NAS64" s="857">
        <f t="shared" si="190"/>
        <v>0</v>
      </c>
      <c r="NAT64" s="857">
        <f t="shared" si="190"/>
        <v>0</v>
      </c>
      <c r="NAU64" s="857">
        <f t="shared" si="190"/>
        <v>0</v>
      </c>
      <c r="NAV64" s="857">
        <f t="shared" si="190"/>
        <v>0</v>
      </c>
      <c r="NAW64" s="857">
        <f t="shared" si="190"/>
        <v>0</v>
      </c>
      <c r="NAX64" s="857">
        <f t="shared" si="190"/>
        <v>0</v>
      </c>
      <c r="NAY64" s="857">
        <f t="shared" si="190"/>
        <v>0</v>
      </c>
      <c r="NAZ64" s="857">
        <f t="shared" si="190"/>
        <v>0</v>
      </c>
      <c r="NBA64" s="857">
        <f t="shared" si="190"/>
        <v>0</v>
      </c>
      <c r="NBB64" s="857">
        <f t="shared" si="190"/>
        <v>0</v>
      </c>
      <c r="NBC64" s="857">
        <f t="shared" si="190"/>
        <v>0</v>
      </c>
      <c r="NBD64" s="857">
        <f t="shared" si="190"/>
        <v>0</v>
      </c>
      <c r="NBE64" s="857">
        <f t="shared" si="190"/>
        <v>0</v>
      </c>
      <c r="NBF64" s="857">
        <f t="shared" si="190"/>
        <v>0</v>
      </c>
      <c r="NBG64" s="857">
        <f t="shared" si="190"/>
        <v>0</v>
      </c>
      <c r="NBH64" s="857">
        <f t="shared" si="190"/>
        <v>0</v>
      </c>
      <c r="NBI64" s="857">
        <f t="shared" si="190"/>
        <v>0</v>
      </c>
      <c r="NBJ64" s="857">
        <f t="shared" si="190"/>
        <v>0</v>
      </c>
      <c r="NBK64" s="857">
        <f t="shared" si="190"/>
        <v>0</v>
      </c>
      <c r="NBL64" s="857">
        <f t="shared" si="190"/>
        <v>0</v>
      </c>
      <c r="NBM64" s="857">
        <f t="shared" si="190"/>
        <v>0</v>
      </c>
      <c r="NBN64" s="857">
        <f t="shared" si="190"/>
        <v>0</v>
      </c>
      <c r="NBO64" s="857">
        <f t="shared" si="190"/>
        <v>0</v>
      </c>
      <c r="NBP64" s="857">
        <f t="shared" si="190"/>
        <v>0</v>
      </c>
      <c r="NBQ64" s="857">
        <f t="shared" si="190"/>
        <v>0</v>
      </c>
      <c r="NBR64" s="857">
        <f t="shared" si="190"/>
        <v>0</v>
      </c>
      <c r="NBS64" s="857">
        <f t="shared" si="190"/>
        <v>0</v>
      </c>
      <c r="NBT64" s="857">
        <f t="shared" si="190"/>
        <v>0</v>
      </c>
      <c r="NBU64" s="857">
        <f t="shared" si="190"/>
        <v>0</v>
      </c>
      <c r="NBV64" s="857">
        <f t="shared" si="190"/>
        <v>0</v>
      </c>
      <c r="NBW64" s="857">
        <f t="shared" si="190"/>
        <v>0</v>
      </c>
      <c r="NBX64" s="857">
        <f t="shared" si="190"/>
        <v>0</v>
      </c>
      <c r="NBY64" s="857">
        <f t="shared" si="190"/>
        <v>0</v>
      </c>
      <c r="NBZ64" s="857">
        <f t="shared" ref="NBZ64:NEK64" si="191">(NBZ57-NBZ59)*$C$64</f>
        <v>0</v>
      </c>
      <c r="NCA64" s="857">
        <f t="shared" si="191"/>
        <v>0</v>
      </c>
      <c r="NCB64" s="857">
        <f t="shared" si="191"/>
        <v>0</v>
      </c>
      <c r="NCC64" s="857">
        <f t="shared" si="191"/>
        <v>0</v>
      </c>
      <c r="NCD64" s="857">
        <f t="shared" si="191"/>
        <v>0</v>
      </c>
      <c r="NCE64" s="857">
        <f t="shared" si="191"/>
        <v>0</v>
      </c>
      <c r="NCF64" s="857">
        <f t="shared" si="191"/>
        <v>0</v>
      </c>
      <c r="NCG64" s="857">
        <f t="shared" si="191"/>
        <v>0</v>
      </c>
      <c r="NCH64" s="857">
        <f t="shared" si="191"/>
        <v>0</v>
      </c>
      <c r="NCI64" s="857">
        <f t="shared" si="191"/>
        <v>0</v>
      </c>
      <c r="NCJ64" s="857">
        <f t="shared" si="191"/>
        <v>0</v>
      </c>
      <c r="NCK64" s="857">
        <f t="shared" si="191"/>
        <v>0</v>
      </c>
      <c r="NCL64" s="857">
        <f t="shared" si="191"/>
        <v>0</v>
      </c>
      <c r="NCM64" s="857">
        <f t="shared" si="191"/>
        <v>0</v>
      </c>
      <c r="NCN64" s="857">
        <f t="shared" si="191"/>
        <v>0</v>
      </c>
      <c r="NCO64" s="857">
        <f t="shared" si="191"/>
        <v>0</v>
      </c>
      <c r="NCP64" s="857">
        <f t="shared" si="191"/>
        <v>0</v>
      </c>
      <c r="NCQ64" s="857">
        <f t="shared" si="191"/>
        <v>0</v>
      </c>
      <c r="NCR64" s="857">
        <f t="shared" si="191"/>
        <v>0</v>
      </c>
      <c r="NCS64" s="857">
        <f t="shared" si="191"/>
        <v>0</v>
      </c>
      <c r="NCT64" s="857">
        <f t="shared" si="191"/>
        <v>0</v>
      </c>
      <c r="NCU64" s="857">
        <f t="shared" si="191"/>
        <v>0</v>
      </c>
      <c r="NCV64" s="857">
        <f t="shared" si="191"/>
        <v>0</v>
      </c>
      <c r="NCW64" s="857">
        <f t="shared" si="191"/>
        <v>0</v>
      </c>
      <c r="NCX64" s="857">
        <f t="shared" si="191"/>
        <v>0</v>
      </c>
      <c r="NCY64" s="857">
        <f t="shared" si="191"/>
        <v>0</v>
      </c>
      <c r="NCZ64" s="857">
        <f t="shared" si="191"/>
        <v>0</v>
      </c>
      <c r="NDA64" s="857">
        <f t="shared" si="191"/>
        <v>0</v>
      </c>
      <c r="NDB64" s="857">
        <f t="shared" si="191"/>
        <v>0</v>
      </c>
      <c r="NDC64" s="857">
        <f t="shared" si="191"/>
        <v>0</v>
      </c>
      <c r="NDD64" s="857">
        <f t="shared" si="191"/>
        <v>0</v>
      </c>
      <c r="NDE64" s="857">
        <f t="shared" si="191"/>
        <v>0</v>
      </c>
      <c r="NDF64" s="857">
        <f t="shared" si="191"/>
        <v>0</v>
      </c>
      <c r="NDG64" s="857">
        <f t="shared" si="191"/>
        <v>0</v>
      </c>
      <c r="NDH64" s="857">
        <f t="shared" si="191"/>
        <v>0</v>
      </c>
      <c r="NDI64" s="857">
        <f t="shared" si="191"/>
        <v>0</v>
      </c>
      <c r="NDJ64" s="857">
        <f t="shared" si="191"/>
        <v>0</v>
      </c>
      <c r="NDK64" s="857">
        <f t="shared" si="191"/>
        <v>0</v>
      </c>
      <c r="NDL64" s="857">
        <f t="shared" si="191"/>
        <v>0</v>
      </c>
      <c r="NDM64" s="857">
        <f t="shared" si="191"/>
        <v>0</v>
      </c>
      <c r="NDN64" s="857">
        <f t="shared" si="191"/>
        <v>0</v>
      </c>
      <c r="NDO64" s="857">
        <f t="shared" si="191"/>
        <v>0</v>
      </c>
      <c r="NDP64" s="857">
        <f t="shared" si="191"/>
        <v>0</v>
      </c>
      <c r="NDQ64" s="857">
        <f t="shared" si="191"/>
        <v>0</v>
      </c>
      <c r="NDR64" s="857">
        <f t="shared" si="191"/>
        <v>0</v>
      </c>
      <c r="NDS64" s="857">
        <f t="shared" si="191"/>
        <v>0</v>
      </c>
      <c r="NDT64" s="857">
        <f t="shared" si="191"/>
        <v>0</v>
      </c>
      <c r="NDU64" s="857">
        <f t="shared" si="191"/>
        <v>0</v>
      </c>
      <c r="NDV64" s="857">
        <f t="shared" si="191"/>
        <v>0</v>
      </c>
      <c r="NDW64" s="857">
        <f t="shared" si="191"/>
        <v>0</v>
      </c>
      <c r="NDX64" s="857">
        <f t="shared" si="191"/>
        <v>0</v>
      </c>
      <c r="NDY64" s="857">
        <f t="shared" si="191"/>
        <v>0</v>
      </c>
      <c r="NDZ64" s="857">
        <f t="shared" si="191"/>
        <v>0</v>
      </c>
      <c r="NEA64" s="857">
        <f t="shared" si="191"/>
        <v>0</v>
      </c>
      <c r="NEB64" s="857">
        <f t="shared" si="191"/>
        <v>0</v>
      </c>
      <c r="NEC64" s="857">
        <f t="shared" si="191"/>
        <v>0</v>
      </c>
      <c r="NED64" s="857">
        <f t="shared" si="191"/>
        <v>0</v>
      </c>
      <c r="NEE64" s="857">
        <f t="shared" si="191"/>
        <v>0</v>
      </c>
      <c r="NEF64" s="857">
        <f t="shared" si="191"/>
        <v>0</v>
      </c>
      <c r="NEG64" s="857">
        <f t="shared" si="191"/>
        <v>0</v>
      </c>
      <c r="NEH64" s="857">
        <f t="shared" si="191"/>
        <v>0</v>
      </c>
      <c r="NEI64" s="857">
        <f t="shared" si="191"/>
        <v>0</v>
      </c>
      <c r="NEJ64" s="857">
        <f t="shared" si="191"/>
        <v>0</v>
      </c>
      <c r="NEK64" s="857">
        <f t="shared" si="191"/>
        <v>0</v>
      </c>
      <c r="NEL64" s="857">
        <f t="shared" ref="NEL64:NGW64" si="192">(NEL57-NEL59)*$C$64</f>
        <v>0</v>
      </c>
      <c r="NEM64" s="857">
        <f t="shared" si="192"/>
        <v>0</v>
      </c>
      <c r="NEN64" s="857">
        <f t="shared" si="192"/>
        <v>0</v>
      </c>
      <c r="NEO64" s="857">
        <f t="shared" si="192"/>
        <v>0</v>
      </c>
      <c r="NEP64" s="857">
        <f t="shared" si="192"/>
        <v>0</v>
      </c>
      <c r="NEQ64" s="857">
        <f t="shared" si="192"/>
        <v>0</v>
      </c>
      <c r="NER64" s="857">
        <f t="shared" si="192"/>
        <v>0</v>
      </c>
      <c r="NES64" s="857">
        <f t="shared" si="192"/>
        <v>0</v>
      </c>
      <c r="NET64" s="857">
        <f t="shared" si="192"/>
        <v>0</v>
      </c>
      <c r="NEU64" s="857">
        <f t="shared" si="192"/>
        <v>0</v>
      </c>
      <c r="NEV64" s="857">
        <f t="shared" si="192"/>
        <v>0</v>
      </c>
      <c r="NEW64" s="857">
        <f t="shared" si="192"/>
        <v>0</v>
      </c>
      <c r="NEX64" s="857">
        <f t="shared" si="192"/>
        <v>0</v>
      </c>
      <c r="NEY64" s="857">
        <f t="shared" si="192"/>
        <v>0</v>
      </c>
      <c r="NEZ64" s="857">
        <f t="shared" si="192"/>
        <v>0</v>
      </c>
      <c r="NFA64" s="857">
        <f t="shared" si="192"/>
        <v>0</v>
      </c>
      <c r="NFB64" s="857">
        <f t="shared" si="192"/>
        <v>0</v>
      </c>
      <c r="NFC64" s="857">
        <f t="shared" si="192"/>
        <v>0</v>
      </c>
      <c r="NFD64" s="857">
        <f t="shared" si="192"/>
        <v>0</v>
      </c>
      <c r="NFE64" s="857">
        <f t="shared" si="192"/>
        <v>0</v>
      </c>
      <c r="NFF64" s="857">
        <f t="shared" si="192"/>
        <v>0</v>
      </c>
      <c r="NFG64" s="857">
        <f t="shared" si="192"/>
        <v>0</v>
      </c>
      <c r="NFH64" s="857">
        <f t="shared" si="192"/>
        <v>0</v>
      </c>
      <c r="NFI64" s="857">
        <f t="shared" si="192"/>
        <v>0</v>
      </c>
      <c r="NFJ64" s="857">
        <f t="shared" si="192"/>
        <v>0</v>
      </c>
      <c r="NFK64" s="857">
        <f t="shared" si="192"/>
        <v>0</v>
      </c>
      <c r="NFL64" s="857">
        <f t="shared" si="192"/>
        <v>0</v>
      </c>
      <c r="NFM64" s="857">
        <f t="shared" si="192"/>
        <v>0</v>
      </c>
      <c r="NFN64" s="857">
        <f t="shared" si="192"/>
        <v>0</v>
      </c>
      <c r="NFO64" s="857">
        <f t="shared" si="192"/>
        <v>0</v>
      </c>
      <c r="NFP64" s="857">
        <f t="shared" si="192"/>
        <v>0</v>
      </c>
      <c r="NFQ64" s="857">
        <f t="shared" si="192"/>
        <v>0</v>
      </c>
      <c r="NFR64" s="857">
        <f t="shared" si="192"/>
        <v>0</v>
      </c>
      <c r="NFS64" s="857">
        <f t="shared" si="192"/>
        <v>0</v>
      </c>
      <c r="NFT64" s="857">
        <f t="shared" si="192"/>
        <v>0</v>
      </c>
      <c r="NFU64" s="857">
        <f t="shared" si="192"/>
        <v>0</v>
      </c>
      <c r="NFV64" s="857">
        <f t="shared" si="192"/>
        <v>0</v>
      </c>
      <c r="NFW64" s="857">
        <f t="shared" si="192"/>
        <v>0</v>
      </c>
      <c r="NFX64" s="857">
        <f t="shared" si="192"/>
        <v>0</v>
      </c>
      <c r="NFY64" s="857">
        <f t="shared" si="192"/>
        <v>0</v>
      </c>
      <c r="NFZ64" s="857">
        <f t="shared" si="192"/>
        <v>0</v>
      </c>
      <c r="NGA64" s="857">
        <f t="shared" si="192"/>
        <v>0</v>
      </c>
      <c r="NGB64" s="857">
        <f t="shared" si="192"/>
        <v>0</v>
      </c>
      <c r="NGC64" s="857">
        <f t="shared" si="192"/>
        <v>0</v>
      </c>
      <c r="NGD64" s="857">
        <f t="shared" si="192"/>
        <v>0</v>
      </c>
      <c r="NGE64" s="857">
        <f t="shared" si="192"/>
        <v>0</v>
      </c>
      <c r="NGF64" s="857">
        <f t="shared" si="192"/>
        <v>0</v>
      </c>
      <c r="NGG64" s="857">
        <f t="shared" si="192"/>
        <v>0</v>
      </c>
      <c r="NGH64" s="857">
        <f t="shared" si="192"/>
        <v>0</v>
      </c>
      <c r="NGI64" s="857">
        <f t="shared" si="192"/>
        <v>0</v>
      </c>
      <c r="NGJ64" s="857">
        <f t="shared" si="192"/>
        <v>0</v>
      </c>
      <c r="NGK64" s="857">
        <f t="shared" si="192"/>
        <v>0</v>
      </c>
      <c r="NGL64" s="857">
        <f t="shared" si="192"/>
        <v>0</v>
      </c>
      <c r="NGM64" s="857">
        <f t="shared" si="192"/>
        <v>0</v>
      </c>
      <c r="NGN64" s="857">
        <f t="shared" si="192"/>
        <v>0</v>
      </c>
      <c r="NGO64" s="857">
        <f t="shared" si="192"/>
        <v>0</v>
      </c>
      <c r="NGP64" s="857">
        <f t="shared" si="192"/>
        <v>0</v>
      </c>
      <c r="NGQ64" s="857">
        <f t="shared" si="192"/>
        <v>0</v>
      </c>
      <c r="NGR64" s="857">
        <f t="shared" si="192"/>
        <v>0</v>
      </c>
      <c r="NGS64" s="857">
        <f t="shared" si="192"/>
        <v>0</v>
      </c>
      <c r="NGT64" s="857">
        <f t="shared" si="192"/>
        <v>0</v>
      </c>
      <c r="NGU64" s="857">
        <f t="shared" si="192"/>
        <v>0</v>
      </c>
      <c r="NGV64" s="857">
        <f t="shared" si="192"/>
        <v>0</v>
      </c>
      <c r="NGW64" s="857">
        <f t="shared" si="192"/>
        <v>0</v>
      </c>
      <c r="NGX64" s="857">
        <f t="shared" ref="NGX64:NJI64" si="193">(NGX57-NGX59)*$C$64</f>
        <v>0</v>
      </c>
      <c r="NGY64" s="857">
        <f t="shared" si="193"/>
        <v>0</v>
      </c>
      <c r="NGZ64" s="857">
        <f t="shared" si="193"/>
        <v>0</v>
      </c>
      <c r="NHA64" s="857">
        <f t="shared" si="193"/>
        <v>0</v>
      </c>
      <c r="NHB64" s="857">
        <f t="shared" si="193"/>
        <v>0</v>
      </c>
      <c r="NHC64" s="857">
        <f t="shared" si="193"/>
        <v>0</v>
      </c>
      <c r="NHD64" s="857">
        <f t="shared" si="193"/>
        <v>0</v>
      </c>
      <c r="NHE64" s="857">
        <f t="shared" si="193"/>
        <v>0</v>
      </c>
      <c r="NHF64" s="857">
        <f t="shared" si="193"/>
        <v>0</v>
      </c>
      <c r="NHG64" s="857">
        <f t="shared" si="193"/>
        <v>0</v>
      </c>
      <c r="NHH64" s="857">
        <f t="shared" si="193"/>
        <v>0</v>
      </c>
      <c r="NHI64" s="857">
        <f t="shared" si="193"/>
        <v>0</v>
      </c>
      <c r="NHJ64" s="857">
        <f t="shared" si="193"/>
        <v>0</v>
      </c>
      <c r="NHK64" s="857">
        <f t="shared" si="193"/>
        <v>0</v>
      </c>
      <c r="NHL64" s="857">
        <f t="shared" si="193"/>
        <v>0</v>
      </c>
      <c r="NHM64" s="857">
        <f t="shared" si="193"/>
        <v>0</v>
      </c>
      <c r="NHN64" s="857">
        <f t="shared" si="193"/>
        <v>0</v>
      </c>
      <c r="NHO64" s="857">
        <f t="shared" si="193"/>
        <v>0</v>
      </c>
      <c r="NHP64" s="857">
        <f t="shared" si="193"/>
        <v>0</v>
      </c>
      <c r="NHQ64" s="857">
        <f t="shared" si="193"/>
        <v>0</v>
      </c>
      <c r="NHR64" s="857">
        <f t="shared" si="193"/>
        <v>0</v>
      </c>
      <c r="NHS64" s="857">
        <f t="shared" si="193"/>
        <v>0</v>
      </c>
      <c r="NHT64" s="857">
        <f t="shared" si="193"/>
        <v>0</v>
      </c>
      <c r="NHU64" s="857">
        <f t="shared" si="193"/>
        <v>0</v>
      </c>
      <c r="NHV64" s="857">
        <f t="shared" si="193"/>
        <v>0</v>
      </c>
      <c r="NHW64" s="857">
        <f t="shared" si="193"/>
        <v>0</v>
      </c>
      <c r="NHX64" s="857">
        <f t="shared" si="193"/>
        <v>0</v>
      </c>
      <c r="NHY64" s="857">
        <f t="shared" si="193"/>
        <v>0</v>
      </c>
      <c r="NHZ64" s="857">
        <f t="shared" si="193"/>
        <v>0</v>
      </c>
      <c r="NIA64" s="857">
        <f t="shared" si="193"/>
        <v>0</v>
      </c>
      <c r="NIB64" s="857">
        <f t="shared" si="193"/>
        <v>0</v>
      </c>
      <c r="NIC64" s="857">
        <f t="shared" si="193"/>
        <v>0</v>
      </c>
      <c r="NID64" s="857">
        <f t="shared" si="193"/>
        <v>0</v>
      </c>
      <c r="NIE64" s="857">
        <f t="shared" si="193"/>
        <v>0</v>
      </c>
      <c r="NIF64" s="857">
        <f t="shared" si="193"/>
        <v>0</v>
      </c>
      <c r="NIG64" s="857">
        <f t="shared" si="193"/>
        <v>0</v>
      </c>
      <c r="NIH64" s="857">
        <f t="shared" si="193"/>
        <v>0</v>
      </c>
      <c r="NII64" s="857">
        <f t="shared" si="193"/>
        <v>0</v>
      </c>
      <c r="NIJ64" s="857">
        <f t="shared" si="193"/>
        <v>0</v>
      </c>
      <c r="NIK64" s="857">
        <f t="shared" si="193"/>
        <v>0</v>
      </c>
      <c r="NIL64" s="857">
        <f t="shared" si="193"/>
        <v>0</v>
      </c>
      <c r="NIM64" s="857">
        <f t="shared" si="193"/>
        <v>0</v>
      </c>
      <c r="NIN64" s="857">
        <f t="shared" si="193"/>
        <v>0</v>
      </c>
      <c r="NIO64" s="857">
        <f t="shared" si="193"/>
        <v>0</v>
      </c>
      <c r="NIP64" s="857">
        <f t="shared" si="193"/>
        <v>0</v>
      </c>
      <c r="NIQ64" s="857">
        <f t="shared" si="193"/>
        <v>0</v>
      </c>
      <c r="NIR64" s="857">
        <f t="shared" si="193"/>
        <v>0</v>
      </c>
      <c r="NIS64" s="857">
        <f t="shared" si="193"/>
        <v>0</v>
      </c>
      <c r="NIT64" s="857">
        <f t="shared" si="193"/>
        <v>0</v>
      </c>
      <c r="NIU64" s="857">
        <f t="shared" si="193"/>
        <v>0</v>
      </c>
      <c r="NIV64" s="857">
        <f t="shared" si="193"/>
        <v>0</v>
      </c>
      <c r="NIW64" s="857">
        <f t="shared" si="193"/>
        <v>0</v>
      </c>
      <c r="NIX64" s="857">
        <f t="shared" si="193"/>
        <v>0</v>
      </c>
      <c r="NIY64" s="857">
        <f t="shared" si="193"/>
        <v>0</v>
      </c>
      <c r="NIZ64" s="857">
        <f t="shared" si="193"/>
        <v>0</v>
      </c>
      <c r="NJA64" s="857">
        <f t="shared" si="193"/>
        <v>0</v>
      </c>
      <c r="NJB64" s="857">
        <f t="shared" si="193"/>
        <v>0</v>
      </c>
      <c r="NJC64" s="857">
        <f t="shared" si="193"/>
        <v>0</v>
      </c>
      <c r="NJD64" s="857">
        <f t="shared" si="193"/>
        <v>0</v>
      </c>
      <c r="NJE64" s="857">
        <f t="shared" si="193"/>
        <v>0</v>
      </c>
      <c r="NJF64" s="857">
        <f t="shared" si="193"/>
        <v>0</v>
      </c>
      <c r="NJG64" s="857">
        <f t="shared" si="193"/>
        <v>0</v>
      </c>
      <c r="NJH64" s="857">
        <f t="shared" si="193"/>
        <v>0</v>
      </c>
      <c r="NJI64" s="857">
        <f t="shared" si="193"/>
        <v>0</v>
      </c>
      <c r="NJJ64" s="857">
        <f t="shared" ref="NJJ64:NLU64" si="194">(NJJ57-NJJ59)*$C$64</f>
        <v>0</v>
      </c>
      <c r="NJK64" s="857">
        <f t="shared" si="194"/>
        <v>0</v>
      </c>
      <c r="NJL64" s="857">
        <f t="shared" si="194"/>
        <v>0</v>
      </c>
      <c r="NJM64" s="857">
        <f t="shared" si="194"/>
        <v>0</v>
      </c>
      <c r="NJN64" s="857">
        <f t="shared" si="194"/>
        <v>0</v>
      </c>
      <c r="NJO64" s="857">
        <f t="shared" si="194"/>
        <v>0</v>
      </c>
      <c r="NJP64" s="857">
        <f t="shared" si="194"/>
        <v>0</v>
      </c>
      <c r="NJQ64" s="857">
        <f t="shared" si="194"/>
        <v>0</v>
      </c>
      <c r="NJR64" s="857">
        <f t="shared" si="194"/>
        <v>0</v>
      </c>
      <c r="NJS64" s="857">
        <f t="shared" si="194"/>
        <v>0</v>
      </c>
      <c r="NJT64" s="857">
        <f t="shared" si="194"/>
        <v>0</v>
      </c>
      <c r="NJU64" s="857">
        <f t="shared" si="194"/>
        <v>0</v>
      </c>
      <c r="NJV64" s="857">
        <f t="shared" si="194"/>
        <v>0</v>
      </c>
      <c r="NJW64" s="857">
        <f t="shared" si="194"/>
        <v>0</v>
      </c>
      <c r="NJX64" s="857">
        <f t="shared" si="194"/>
        <v>0</v>
      </c>
      <c r="NJY64" s="857">
        <f t="shared" si="194"/>
        <v>0</v>
      </c>
      <c r="NJZ64" s="857">
        <f t="shared" si="194"/>
        <v>0</v>
      </c>
      <c r="NKA64" s="857">
        <f t="shared" si="194"/>
        <v>0</v>
      </c>
      <c r="NKB64" s="857">
        <f t="shared" si="194"/>
        <v>0</v>
      </c>
      <c r="NKC64" s="857">
        <f t="shared" si="194"/>
        <v>0</v>
      </c>
      <c r="NKD64" s="857">
        <f t="shared" si="194"/>
        <v>0</v>
      </c>
      <c r="NKE64" s="857">
        <f t="shared" si="194"/>
        <v>0</v>
      </c>
      <c r="NKF64" s="857">
        <f t="shared" si="194"/>
        <v>0</v>
      </c>
      <c r="NKG64" s="857">
        <f t="shared" si="194"/>
        <v>0</v>
      </c>
      <c r="NKH64" s="857">
        <f t="shared" si="194"/>
        <v>0</v>
      </c>
      <c r="NKI64" s="857">
        <f t="shared" si="194"/>
        <v>0</v>
      </c>
      <c r="NKJ64" s="857">
        <f t="shared" si="194"/>
        <v>0</v>
      </c>
      <c r="NKK64" s="857">
        <f t="shared" si="194"/>
        <v>0</v>
      </c>
      <c r="NKL64" s="857">
        <f t="shared" si="194"/>
        <v>0</v>
      </c>
      <c r="NKM64" s="857">
        <f t="shared" si="194"/>
        <v>0</v>
      </c>
      <c r="NKN64" s="857">
        <f t="shared" si="194"/>
        <v>0</v>
      </c>
      <c r="NKO64" s="857">
        <f t="shared" si="194"/>
        <v>0</v>
      </c>
      <c r="NKP64" s="857">
        <f t="shared" si="194"/>
        <v>0</v>
      </c>
      <c r="NKQ64" s="857">
        <f t="shared" si="194"/>
        <v>0</v>
      </c>
      <c r="NKR64" s="857">
        <f t="shared" si="194"/>
        <v>0</v>
      </c>
      <c r="NKS64" s="857">
        <f t="shared" si="194"/>
        <v>0</v>
      </c>
      <c r="NKT64" s="857">
        <f t="shared" si="194"/>
        <v>0</v>
      </c>
      <c r="NKU64" s="857">
        <f t="shared" si="194"/>
        <v>0</v>
      </c>
      <c r="NKV64" s="857">
        <f t="shared" si="194"/>
        <v>0</v>
      </c>
      <c r="NKW64" s="857">
        <f t="shared" si="194"/>
        <v>0</v>
      </c>
      <c r="NKX64" s="857">
        <f t="shared" si="194"/>
        <v>0</v>
      </c>
      <c r="NKY64" s="857">
        <f t="shared" si="194"/>
        <v>0</v>
      </c>
      <c r="NKZ64" s="857">
        <f t="shared" si="194"/>
        <v>0</v>
      </c>
      <c r="NLA64" s="857">
        <f t="shared" si="194"/>
        <v>0</v>
      </c>
      <c r="NLB64" s="857">
        <f t="shared" si="194"/>
        <v>0</v>
      </c>
      <c r="NLC64" s="857">
        <f t="shared" si="194"/>
        <v>0</v>
      </c>
      <c r="NLD64" s="857">
        <f t="shared" si="194"/>
        <v>0</v>
      </c>
      <c r="NLE64" s="857">
        <f t="shared" si="194"/>
        <v>0</v>
      </c>
      <c r="NLF64" s="857">
        <f t="shared" si="194"/>
        <v>0</v>
      </c>
      <c r="NLG64" s="857">
        <f t="shared" si="194"/>
        <v>0</v>
      </c>
      <c r="NLH64" s="857">
        <f t="shared" si="194"/>
        <v>0</v>
      </c>
      <c r="NLI64" s="857">
        <f t="shared" si="194"/>
        <v>0</v>
      </c>
      <c r="NLJ64" s="857">
        <f t="shared" si="194"/>
        <v>0</v>
      </c>
      <c r="NLK64" s="857">
        <f t="shared" si="194"/>
        <v>0</v>
      </c>
      <c r="NLL64" s="857">
        <f t="shared" si="194"/>
        <v>0</v>
      </c>
      <c r="NLM64" s="857">
        <f t="shared" si="194"/>
        <v>0</v>
      </c>
      <c r="NLN64" s="857">
        <f t="shared" si="194"/>
        <v>0</v>
      </c>
      <c r="NLO64" s="857">
        <f t="shared" si="194"/>
        <v>0</v>
      </c>
      <c r="NLP64" s="857">
        <f t="shared" si="194"/>
        <v>0</v>
      </c>
      <c r="NLQ64" s="857">
        <f t="shared" si="194"/>
        <v>0</v>
      </c>
      <c r="NLR64" s="857">
        <f t="shared" si="194"/>
        <v>0</v>
      </c>
      <c r="NLS64" s="857">
        <f t="shared" si="194"/>
        <v>0</v>
      </c>
      <c r="NLT64" s="857">
        <f t="shared" si="194"/>
        <v>0</v>
      </c>
      <c r="NLU64" s="857">
        <f t="shared" si="194"/>
        <v>0</v>
      </c>
      <c r="NLV64" s="857">
        <f t="shared" ref="NLV64:NOG64" si="195">(NLV57-NLV59)*$C$64</f>
        <v>0</v>
      </c>
      <c r="NLW64" s="857">
        <f t="shared" si="195"/>
        <v>0</v>
      </c>
      <c r="NLX64" s="857">
        <f t="shared" si="195"/>
        <v>0</v>
      </c>
      <c r="NLY64" s="857">
        <f t="shared" si="195"/>
        <v>0</v>
      </c>
      <c r="NLZ64" s="857">
        <f t="shared" si="195"/>
        <v>0</v>
      </c>
      <c r="NMA64" s="857">
        <f t="shared" si="195"/>
        <v>0</v>
      </c>
      <c r="NMB64" s="857">
        <f t="shared" si="195"/>
        <v>0</v>
      </c>
      <c r="NMC64" s="857">
        <f t="shared" si="195"/>
        <v>0</v>
      </c>
      <c r="NMD64" s="857">
        <f t="shared" si="195"/>
        <v>0</v>
      </c>
      <c r="NME64" s="857">
        <f t="shared" si="195"/>
        <v>0</v>
      </c>
      <c r="NMF64" s="857">
        <f t="shared" si="195"/>
        <v>0</v>
      </c>
      <c r="NMG64" s="857">
        <f t="shared" si="195"/>
        <v>0</v>
      </c>
      <c r="NMH64" s="857">
        <f t="shared" si="195"/>
        <v>0</v>
      </c>
      <c r="NMI64" s="857">
        <f t="shared" si="195"/>
        <v>0</v>
      </c>
      <c r="NMJ64" s="857">
        <f t="shared" si="195"/>
        <v>0</v>
      </c>
      <c r="NMK64" s="857">
        <f t="shared" si="195"/>
        <v>0</v>
      </c>
      <c r="NML64" s="857">
        <f t="shared" si="195"/>
        <v>0</v>
      </c>
      <c r="NMM64" s="857">
        <f t="shared" si="195"/>
        <v>0</v>
      </c>
      <c r="NMN64" s="857">
        <f t="shared" si="195"/>
        <v>0</v>
      </c>
      <c r="NMO64" s="857">
        <f t="shared" si="195"/>
        <v>0</v>
      </c>
      <c r="NMP64" s="857">
        <f t="shared" si="195"/>
        <v>0</v>
      </c>
      <c r="NMQ64" s="857">
        <f t="shared" si="195"/>
        <v>0</v>
      </c>
      <c r="NMR64" s="857">
        <f t="shared" si="195"/>
        <v>0</v>
      </c>
      <c r="NMS64" s="857">
        <f t="shared" si="195"/>
        <v>0</v>
      </c>
      <c r="NMT64" s="857">
        <f t="shared" si="195"/>
        <v>0</v>
      </c>
      <c r="NMU64" s="857">
        <f t="shared" si="195"/>
        <v>0</v>
      </c>
      <c r="NMV64" s="857">
        <f t="shared" si="195"/>
        <v>0</v>
      </c>
      <c r="NMW64" s="857">
        <f t="shared" si="195"/>
        <v>0</v>
      </c>
      <c r="NMX64" s="857">
        <f t="shared" si="195"/>
        <v>0</v>
      </c>
      <c r="NMY64" s="857">
        <f t="shared" si="195"/>
        <v>0</v>
      </c>
      <c r="NMZ64" s="857">
        <f t="shared" si="195"/>
        <v>0</v>
      </c>
      <c r="NNA64" s="857">
        <f t="shared" si="195"/>
        <v>0</v>
      </c>
      <c r="NNB64" s="857">
        <f t="shared" si="195"/>
        <v>0</v>
      </c>
      <c r="NNC64" s="857">
        <f t="shared" si="195"/>
        <v>0</v>
      </c>
      <c r="NND64" s="857">
        <f t="shared" si="195"/>
        <v>0</v>
      </c>
      <c r="NNE64" s="857">
        <f t="shared" si="195"/>
        <v>0</v>
      </c>
      <c r="NNF64" s="857">
        <f t="shared" si="195"/>
        <v>0</v>
      </c>
      <c r="NNG64" s="857">
        <f t="shared" si="195"/>
        <v>0</v>
      </c>
      <c r="NNH64" s="857">
        <f t="shared" si="195"/>
        <v>0</v>
      </c>
      <c r="NNI64" s="857">
        <f t="shared" si="195"/>
        <v>0</v>
      </c>
      <c r="NNJ64" s="857">
        <f t="shared" si="195"/>
        <v>0</v>
      </c>
      <c r="NNK64" s="857">
        <f t="shared" si="195"/>
        <v>0</v>
      </c>
      <c r="NNL64" s="857">
        <f t="shared" si="195"/>
        <v>0</v>
      </c>
      <c r="NNM64" s="857">
        <f t="shared" si="195"/>
        <v>0</v>
      </c>
      <c r="NNN64" s="857">
        <f t="shared" si="195"/>
        <v>0</v>
      </c>
      <c r="NNO64" s="857">
        <f t="shared" si="195"/>
        <v>0</v>
      </c>
      <c r="NNP64" s="857">
        <f t="shared" si="195"/>
        <v>0</v>
      </c>
      <c r="NNQ64" s="857">
        <f t="shared" si="195"/>
        <v>0</v>
      </c>
      <c r="NNR64" s="857">
        <f t="shared" si="195"/>
        <v>0</v>
      </c>
      <c r="NNS64" s="857">
        <f t="shared" si="195"/>
        <v>0</v>
      </c>
      <c r="NNT64" s="857">
        <f t="shared" si="195"/>
        <v>0</v>
      </c>
      <c r="NNU64" s="857">
        <f t="shared" si="195"/>
        <v>0</v>
      </c>
      <c r="NNV64" s="857">
        <f t="shared" si="195"/>
        <v>0</v>
      </c>
      <c r="NNW64" s="857">
        <f t="shared" si="195"/>
        <v>0</v>
      </c>
      <c r="NNX64" s="857">
        <f t="shared" si="195"/>
        <v>0</v>
      </c>
      <c r="NNY64" s="857">
        <f t="shared" si="195"/>
        <v>0</v>
      </c>
      <c r="NNZ64" s="857">
        <f t="shared" si="195"/>
        <v>0</v>
      </c>
      <c r="NOA64" s="857">
        <f t="shared" si="195"/>
        <v>0</v>
      </c>
      <c r="NOB64" s="857">
        <f t="shared" si="195"/>
        <v>0</v>
      </c>
      <c r="NOC64" s="857">
        <f t="shared" si="195"/>
        <v>0</v>
      </c>
      <c r="NOD64" s="857">
        <f t="shared" si="195"/>
        <v>0</v>
      </c>
      <c r="NOE64" s="857">
        <f t="shared" si="195"/>
        <v>0</v>
      </c>
      <c r="NOF64" s="857">
        <f t="shared" si="195"/>
        <v>0</v>
      </c>
      <c r="NOG64" s="857">
        <f t="shared" si="195"/>
        <v>0</v>
      </c>
      <c r="NOH64" s="857">
        <f t="shared" ref="NOH64:NQS64" si="196">(NOH57-NOH59)*$C$64</f>
        <v>0</v>
      </c>
      <c r="NOI64" s="857">
        <f t="shared" si="196"/>
        <v>0</v>
      </c>
      <c r="NOJ64" s="857">
        <f t="shared" si="196"/>
        <v>0</v>
      </c>
      <c r="NOK64" s="857">
        <f t="shared" si="196"/>
        <v>0</v>
      </c>
      <c r="NOL64" s="857">
        <f t="shared" si="196"/>
        <v>0</v>
      </c>
      <c r="NOM64" s="857">
        <f t="shared" si="196"/>
        <v>0</v>
      </c>
      <c r="NON64" s="857">
        <f t="shared" si="196"/>
        <v>0</v>
      </c>
      <c r="NOO64" s="857">
        <f t="shared" si="196"/>
        <v>0</v>
      </c>
      <c r="NOP64" s="857">
        <f t="shared" si="196"/>
        <v>0</v>
      </c>
      <c r="NOQ64" s="857">
        <f t="shared" si="196"/>
        <v>0</v>
      </c>
      <c r="NOR64" s="857">
        <f t="shared" si="196"/>
        <v>0</v>
      </c>
      <c r="NOS64" s="857">
        <f t="shared" si="196"/>
        <v>0</v>
      </c>
      <c r="NOT64" s="857">
        <f t="shared" si="196"/>
        <v>0</v>
      </c>
      <c r="NOU64" s="857">
        <f t="shared" si="196"/>
        <v>0</v>
      </c>
      <c r="NOV64" s="857">
        <f t="shared" si="196"/>
        <v>0</v>
      </c>
      <c r="NOW64" s="857">
        <f t="shared" si="196"/>
        <v>0</v>
      </c>
      <c r="NOX64" s="857">
        <f t="shared" si="196"/>
        <v>0</v>
      </c>
      <c r="NOY64" s="857">
        <f t="shared" si="196"/>
        <v>0</v>
      </c>
      <c r="NOZ64" s="857">
        <f t="shared" si="196"/>
        <v>0</v>
      </c>
      <c r="NPA64" s="857">
        <f t="shared" si="196"/>
        <v>0</v>
      </c>
      <c r="NPB64" s="857">
        <f t="shared" si="196"/>
        <v>0</v>
      </c>
      <c r="NPC64" s="857">
        <f t="shared" si="196"/>
        <v>0</v>
      </c>
      <c r="NPD64" s="857">
        <f t="shared" si="196"/>
        <v>0</v>
      </c>
      <c r="NPE64" s="857">
        <f t="shared" si="196"/>
        <v>0</v>
      </c>
      <c r="NPF64" s="857">
        <f t="shared" si="196"/>
        <v>0</v>
      </c>
      <c r="NPG64" s="857">
        <f t="shared" si="196"/>
        <v>0</v>
      </c>
      <c r="NPH64" s="857">
        <f t="shared" si="196"/>
        <v>0</v>
      </c>
      <c r="NPI64" s="857">
        <f t="shared" si="196"/>
        <v>0</v>
      </c>
      <c r="NPJ64" s="857">
        <f t="shared" si="196"/>
        <v>0</v>
      </c>
      <c r="NPK64" s="857">
        <f t="shared" si="196"/>
        <v>0</v>
      </c>
      <c r="NPL64" s="857">
        <f t="shared" si="196"/>
        <v>0</v>
      </c>
      <c r="NPM64" s="857">
        <f t="shared" si="196"/>
        <v>0</v>
      </c>
      <c r="NPN64" s="857">
        <f t="shared" si="196"/>
        <v>0</v>
      </c>
      <c r="NPO64" s="857">
        <f t="shared" si="196"/>
        <v>0</v>
      </c>
      <c r="NPP64" s="857">
        <f t="shared" si="196"/>
        <v>0</v>
      </c>
      <c r="NPQ64" s="857">
        <f t="shared" si="196"/>
        <v>0</v>
      </c>
      <c r="NPR64" s="857">
        <f t="shared" si="196"/>
        <v>0</v>
      </c>
      <c r="NPS64" s="857">
        <f t="shared" si="196"/>
        <v>0</v>
      </c>
      <c r="NPT64" s="857">
        <f t="shared" si="196"/>
        <v>0</v>
      </c>
      <c r="NPU64" s="857">
        <f t="shared" si="196"/>
        <v>0</v>
      </c>
      <c r="NPV64" s="857">
        <f t="shared" si="196"/>
        <v>0</v>
      </c>
      <c r="NPW64" s="857">
        <f t="shared" si="196"/>
        <v>0</v>
      </c>
      <c r="NPX64" s="857">
        <f t="shared" si="196"/>
        <v>0</v>
      </c>
      <c r="NPY64" s="857">
        <f t="shared" si="196"/>
        <v>0</v>
      </c>
      <c r="NPZ64" s="857">
        <f t="shared" si="196"/>
        <v>0</v>
      </c>
      <c r="NQA64" s="857">
        <f t="shared" si="196"/>
        <v>0</v>
      </c>
      <c r="NQB64" s="857">
        <f t="shared" si="196"/>
        <v>0</v>
      </c>
      <c r="NQC64" s="857">
        <f t="shared" si="196"/>
        <v>0</v>
      </c>
      <c r="NQD64" s="857">
        <f t="shared" si="196"/>
        <v>0</v>
      </c>
      <c r="NQE64" s="857">
        <f t="shared" si="196"/>
        <v>0</v>
      </c>
      <c r="NQF64" s="857">
        <f t="shared" si="196"/>
        <v>0</v>
      </c>
      <c r="NQG64" s="857">
        <f t="shared" si="196"/>
        <v>0</v>
      </c>
      <c r="NQH64" s="857">
        <f t="shared" si="196"/>
        <v>0</v>
      </c>
      <c r="NQI64" s="857">
        <f t="shared" si="196"/>
        <v>0</v>
      </c>
      <c r="NQJ64" s="857">
        <f t="shared" si="196"/>
        <v>0</v>
      </c>
      <c r="NQK64" s="857">
        <f t="shared" si="196"/>
        <v>0</v>
      </c>
      <c r="NQL64" s="857">
        <f t="shared" si="196"/>
        <v>0</v>
      </c>
      <c r="NQM64" s="857">
        <f t="shared" si="196"/>
        <v>0</v>
      </c>
      <c r="NQN64" s="857">
        <f t="shared" si="196"/>
        <v>0</v>
      </c>
      <c r="NQO64" s="857">
        <f t="shared" si="196"/>
        <v>0</v>
      </c>
      <c r="NQP64" s="857">
        <f t="shared" si="196"/>
        <v>0</v>
      </c>
      <c r="NQQ64" s="857">
        <f t="shared" si="196"/>
        <v>0</v>
      </c>
      <c r="NQR64" s="857">
        <f t="shared" si="196"/>
        <v>0</v>
      </c>
      <c r="NQS64" s="857">
        <f t="shared" si="196"/>
        <v>0</v>
      </c>
      <c r="NQT64" s="857">
        <f t="shared" ref="NQT64:NTE64" si="197">(NQT57-NQT59)*$C$64</f>
        <v>0</v>
      </c>
      <c r="NQU64" s="857">
        <f t="shared" si="197"/>
        <v>0</v>
      </c>
      <c r="NQV64" s="857">
        <f t="shared" si="197"/>
        <v>0</v>
      </c>
      <c r="NQW64" s="857">
        <f t="shared" si="197"/>
        <v>0</v>
      </c>
      <c r="NQX64" s="857">
        <f t="shared" si="197"/>
        <v>0</v>
      </c>
      <c r="NQY64" s="857">
        <f t="shared" si="197"/>
        <v>0</v>
      </c>
      <c r="NQZ64" s="857">
        <f t="shared" si="197"/>
        <v>0</v>
      </c>
      <c r="NRA64" s="857">
        <f t="shared" si="197"/>
        <v>0</v>
      </c>
      <c r="NRB64" s="857">
        <f t="shared" si="197"/>
        <v>0</v>
      </c>
      <c r="NRC64" s="857">
        <f t="shared" si="197"/>
        <v>0</v>
      </c>
      <c r="NRD64" s="857">
        <f t="shared" si="197"/>
        <v>0</v>
      </c>
      <c r="NRE64" s="857">
        <f t="shared" si="197"/>
        <v>0</v>
      </c>
      <c r="NRF64" s="857">
        <f t="shared" si="197"/>
        <v>0</v>
      </c>
      <c r="NRG64" s="857">
        <f t="shared" si="197"/>
        <v>0</v>
      </c>
      <c r="NRH64" s="857">
        <f t="shared" si="197"/>
        <v>0</v>
      </c>
      <c r="NRI64" s="857">
        <f t="shared" si="197"/>
        <v>0</v>
      </c>
      <c r="NRJ64" s="857">
        <f t="shared" si="197"/>
        <v>0</v>
      </c>
      <c r="NRK64" s="857">
        <f t="shared" si="197"/>
        <v>0</v>
      </c>
      <c r="NRL64" s="857">
        <f t="shared" si="197"/>
        <v>0</v>
      </c>
      <c r="NRM64" s="857">
        <f t="shared" si="197"/>
        <v>0</v>
      </c>
      <c r="NRN64" s="857">
        <f t="shared" si="197"/>
        <v>0</v>
      </c>
      <c r="NRO64" s="857">
        <f t="shared" si="197"/>
        <v>0</v>
      </c>
      <c r="NRP64" s="857">
        <f t="shared" si="197"/>
        <v>0</v>
      </c>
      <c r="NRQ64" s="857">
        <f t="shared" si="197"/>
        <v>0</v>
      </c>
      <c r="NRR64" s="857">
        <f t="shared" si="197"/>
        <v>0</v>
      </c>
      <c r="NRS64" s="857">
        <f t="shared" si="197"/>
        <v>0</v>
      </c>
      <c r="NRT64" s="857">
        <f t="shared" si="197"/>
        <v>0</v>
      </c>
      <c r="NRU64" s="857">
        <f t="shared" si="197"/>
        <v>0</v>
      </c>
      <c r="NRV64" s="857">
        <f t="shared" si="197"/>
        <v>0</v>
      </c>
      <c r="NRW64" s="857">
        <f t="shared" si="197"/>
        <v>0</v>
      </c>
      <c r="NRX64" s="857">
        <f t="shared" si="197"/>
        <v>0</v>
      </c>
      <c r="NRY64" s="857">
        <f t="shared" si="197"/>
        <v>0</v>
      </c>
      <c r="NRZ64" s="857">
        <f t="shared" si="197"/>
        <v>0</v>
      </c>
      <c r="NSA64" s="857">
        <f t="shared" si="197"/>
        <v>0</v>
      </c>
      <c r="NSB64" s="857">
        <f t="shared" si="197"/>
        <v>0</v>
      </c>
      <c r="NSC64" s="857">
        <f t="shared" si="197"/>
        <v>0</v>
      </c>
      <c r="NSD64" s="857">
        <f t="shared" si="197"/>
        <v>0</v>
      </c>
      <c r="NSE64" s="857">
        <f t="shared" si="197"/>
        <v>0</v>
      </c>
      <c r="NSF64" s="857">
        <f t="shared" si="197"/>
        <v>0</v>
      </c>
      <c r="NSG64" s="857">
        <f t="shared" si="197"/>
        <v>0</v>
      </c>
      <c r="NSH64" s="857">
        <f t="shared" si="197"/>
        <v>0</v>
      </c>
      <c r="NSI64" s="857">
        <f t="shared" si="197"/>
        <v>0</v>
      </c>
      <c r="NSJ64" s="857">
        <f t="shared" si="197"/>
        <v>0</v>
      </c>
      <c r="NSK64" s="857">
        <f t="shared" si="197"/>
        <v>0</v>
      </c>
      <c r="NSL64" s="857">
        <f t="shared" si="197"/>
        <v>0</v>
      </c>
      <c r="NSM64" s="857">
        <f t="shared" si="197"/>
        <v>0</v>
      </c>
      <c r="NSN64" s="857">
        <f t="shared" si="197"/>
        <v>0</v>
      </c>
      <c r="NSO64" s="857">
        <f t="shared" si="197"/>
        <v>0</v>
      </c>
      <c r="NSP64" s="857">
        <f t="shared" si="197"/>
        <v>0</v>
      </c>
      <c r="NSQ64" s="857">
        <f t="shared" si="197"/>
        <v>0</v>
      </c>
      <c r="NSR64" s="857">
        <f t="shared" si="197"/>
        <v>0</v>
      </c>
      <c r="NSS64" s="857">
        <f t="shared" si="197"/>
        <v>0</v>
      </c>
      <c r="NST64" s="857">
        <f t="shared" si="197"/>
        <v>0</v>
      </c>
      <c r="NSU64" s="857">
        <f t="shared" si="197"/>
        <v>0</v>
      </c>
      <c r="NSV64" s="857">
        <f t="shared" si="197"/>
        <v>0</v>
      </c>
      <c r="NSW64" s="857">
        <f t="shared" si="197"/>
        <v>0</v>
      </c>
      <c r="NSX64" s="857">
        <f t="shared" si="197"/>
        <v>0</v>
      </c>
      <c r="NSY64" s="857">
        <f t="shared" si="197"/>
        <v>0</v>
      </c>
      <c r="NSZ64" s="857">
        <f t="shared" si="197"/>
        <v>0</v>
      </c>
      <c r="NTA64" s="857">
        <f t="shared" si="197"/>
        <v>0</v>
      </c>
      <c r="NTB64" s="857">
        <f t="shared" si="197"/>
        <v>0</v>
      </c>
      <c r="NTC64" s="857">
        <f t="shared" si="197"/>
        <v>0</v>
      </c>
      <c r="NTD64" s="857">
        <f t="shared" si="197"/>
        <v>0</v>
      </c>
      <c r="NTE64" s="857">
        <f t="shared" si="197"/>
        <v>0</v>
      </c>
      <c r="NTF64" s="857">
        <f t="shared" ref="NTF64:NVQ64" si="198">(NTF57-NTF59)*$C$64</f>
        <v>0</v>
      </c>
      <c r="NTG64" s="857">
        <f t="shared" si="198"/>
        <v>0</v>
      </c>
      <c r="NTH64" s="857">
        <f t="shared" si="198"/>
        <v>0</v>
      </c>
      <c r="NTI64" s="857">
        <f t="shared" si="198"/>
        <v>0</v>
      </c>
      <c r="NTJ64" s="857">
        <f t="shared" si="198"/>
        <v>0</v>
      </c>
      <c r="NTK64" s="857">
        <f t="shared" si="198"/>
        <v>0</v>
      </c>
      <c r="NTL64" s="857">
        <f t="shared" si="198"/>
        <v>0</v>
      </c>
      <c r="NTM64" s="857">
        <f t="shared" si="198"/>
        <v>0</v>
      </c>
      <c r="NTN64" s="857">
        <f t="shared" si="198"/>
        <v>0</v>
      </c>
      <c r="NTO64" s="857">
        <f t="shared" si="198"/>
        <v>0</v>
      </c>
      <c r="NTP64" s="857">
        <f t="shared" si="198"/>
        <v>0</v>
      </c>
      <c r="NTQ64" s="857">
        <f t="shared" si="198"/>
        <v>0</v>
      </c>
      <c r="NTR64" s="857">
        <f t="shared" si="198"/>
        <v>0</v>
      </c>
      <c r="NTS64" s="857">
        <f t="shared" si="198"/>
        <v>0</v>
      </c>
      <c r="NTT64" s="857">
        <f t="shared" si="198"/>
        <v>0</v>
      </c>
      <c r="NTU64" s="857">
        <f t="shared" si="198"/>
        <v>0</v>
      </c>
      <c r="NTV64" s="857">
        <f t="shared" si="198"/>
        <v>0</v>
      </c>
      <c r="NTW64" s="857">
        <f t="shared" si="198"/>
        <v>0</v>
      </c>
      <c r="NTX64" s="857">
        <f t="shared" si="198"/>
        <v>0</v>
      </c>
      <c r="NTY64" s="857">
        <f t="shared" si="198"/>
        <v>0</v>
      </c>
      <c r="NTZ64" s="857">
        <f t="shared" si="198"/>
        <v>0</v>
      </c>
      <c r="NUA64" s="857">
        <f t="shared" si="198"/>
        <v>0</v>
      </c>
      <c r="NUB64" s="857">
        <f t="shared" si="198"/>
        <v>0</v>
      </c>
      <c r="NUC64" s="857">
        <f t="shared" si="198"/>
        <v>0</v>
      </c>
      <c r="NUD64" s="857">
        <f t="shared" si="198"/>
        <v>0</v>
      </c>
      <c r="NUE64" s="857">
        <f t="shared" si="198"/>
        <v>0</v>
      </c>
      <c r="NUF64" s="857">
        <f t="shared" si="198"/>
        <v>0</v>
      </c>
      <c r="NUG64" s="857">
        <f t="shared" si="198"/>
        <v>0</v>
      </c>
      <c r="NUH64" s="857">
        <f t="shared" si="198"/>
        <v>0</v>
      </c>
      <c r="NUI64" s="857">
        <f t="shared" si="198"/>
        <v>0</v>
      </c>
      <c r="NUJ64" s="857">
        <f t="shared" si="198"/>
        <v>0</v>
      </c>
      <c r="NUK64" s="857">
        <f t="shared" si="198"/>
        <v>0</v>
      </c>
      <c r="NUL64" s="857">
        <f t="shared" si="198"/>
        <v>0</v>
      </c>
      <c r="NUM64" s="857">
        <f t="shared" si="198"/>
        <v>0</v>
      </c>
      <c r="NUN64" s="857">
        <f t="shared" si="198"/>
        <v>0</v>
      </c>
      <c r="NUO64" s="857">
        <f t="shared" si="198"/>
        <v>0</v>
      </c>
      <c r="NUP64" s="857">
        <f t="shared" si="198"/>
        <v>0</v>
      </c>
      <c r="NUQ64" s="857">
        <f t="shared" si="198"/>
        <v>0</v>
      </c>
      <c r="NUR64" s="857">
        <f t="shared" si="198"/>
        <v>0</v>
      </c>
      <c r="NUS64" s="857">
        <f t="shared" si="198"/>
        <v>0</v>
      </c>
      <c r="NUT64" s="857">
        <f t="shared" si="198"/>
        <v>0</v>
      </c>
      <c r="NUU64" s="857">
        <f t="shared" si="198"/>
        <v>0</v>
      </c>
      <c r="NUV64" s="857">
        <f t="shared" si="198"/>
        <v>0</v>
      </c>
      <c r="NUW64" s="857">
        <f t="shared" si="198"/>
        <v>0</v>
      </c>
      <c r="NUX64" s="857">
        <f t="shared" si="198"/>
        <v>0</v>
      </c>
      <c r="NUY64" s="857">
        <f t="shared" si="198"/>
        <v>0</v>
      </c>
      <c r="NUZ64" s="857">
        <f t="shared" si="198"/>
        <v>0</v>
      </c>
      <c r="NVA64" s="857">
        <f t="shared" si="198"/>
        <v>0</v>
      </c>
      <c r="NVB64" s="857">
        <f t="shared" si="198"/>
        <v>0</v>
      </c>
      <c r="NVC64" s="857">
        <f t="shared" si="198"/>
        <v>0</v>
      </c>
      <c r="NVD64" s="857">
        <f t="shared" si="198"/>
        <v>0</v>
      </c>
      <c r="NVE64" s="857">
        <f t="shared" si="198"/>
        <v>0</v>
      </c>
      <c r="NVF64" s="857">
        <f t="shared" si="198"/>
        <v>0</v>
      </c>
      <c r="NVG64" s="857">
        <f t="shared" si="198"/>
        <v>0</v>
      </c>
      <c r="NVH64" s="857">
        <f t="shared" si="198"/>
        <v>0</v>
      </c>
      <c r="NVI64" s="857">
        <f t="shared" si="198"/>
        <v>0</v>
      </c>
      <c r="NVJ64" s="857">
        <f t="shared" si="198"/>
        <v>0</v>
      </c>
      <c r="NVK64" s="857">
        <f t="shared" si="198"/>
        <v>0</v>
      </c>
      <c r="NVL64" s="857">
        <f t="shared" si="198"/>
        <v>0</v>
      </c>
      <c r="NVM64" s="857">
        <f t="shared" si="198"/>
        <v>0</v>
      </c>
      <c r="NVN64" s="857">
        <f t="shared" si="198"/>
        <v>0</v>
      </c>
      <c r="NVO64" s="857">
        <f t="shared" si="198"/>
        <v>0</v>
      </c>
      <c r="NVP64" s="857">
        <f t="shared" si="198"/>
        <v>0</v>
      </c>
      <c r="NVQ64" s="857">
        <f t="shared" si="198"/>
        <v>0</v>
      </c>
      <c r="NVR64" s="857">
        <f t="shared" ref="NVR64:NYC64" si="199">(NVR57-NVR59)*$C$64</f>
        <v>0</v>
      </c>
      <c r="NVS64" s="857">
        <f t="shared" si="199"/>
        <v>0</v>
      </c>
      <c r="NVT64" s="857">
        <f t="shared" si="199"/>
        <v>0</v>
      </c>
      <c r="NVU64" s="857">
        <f t="shared" si="199"/>
        <v>0</v>
      </c>
      <c r="NVV64" s="857">
        <f t="shared" si="199"/>
        <v>0</v>
      </c>
      <c r="NVW64" s="857">
        <f t="shared" si="199"/>
        <v>0</v>
      </c>
      <c r="NVX64" s="857">
        <f t="shared" si="199"/>
        <v>0</v>
      </c>
      <c r="NVY64" s="857">
        <f t="shared" si="199"/>
        <v>0</v>
      </c>
      <c r="NVZ64" s="857">
        <f t="shared" si="199"/>
        <v>0</v>
      </c>
      <c r="NWA64" s="857">
        <f t="shared" si="199"/>
        <v>0</v>
      </c>
      <c r="NWB64" s="857">
        <f t="shared" si="199"/>
        <v>0</v>
      </c>
      <c r="NWC64" s="857">
        <f t="shared" si="199"/>
        <v>0</v>
      </c>
      <c r="NWD64" s="857">
        <f t="shared" si="199"/>
        <v>0</v>
      </c>
      <c r="NWE64" s="857">
        <f t="shared" si="199"/>
        <v>0</v>
      </c>
      <c r="NWF64" s="857">
        <f t="shared" si="199"/>
        <v>0</v>
      </c>
      <c r="NWG64" s="857">
        <f t="shared" si="199"/>
        <v>0</v>
      </c>
      <c r="NWH64" s="857">
        <f t="shared" si="199"/>
        <v>0</v>
      </c>
      <c r="NWI64" s="857">
        <f t="shared" si="199"/>
        <v>0</v>
      </c>
      <c r="NWJ64" s="857">
        <f t="shared" si="199"/>
        <v>0</v>
      </c>
      <c r="NWK64" s="857">
        <f t="shared" si="199"/>
        <v>0</v>
      </c>
      <c r="NWL64" s="857">
        <f t="shared" si="199"/>
        <v>0</v>
      </c>
      <c r="NWM64" s="857">
        <f t="shared" si="199"/>
        <v>0</v>
      </c>
      <c r="NWN64" s="857">
        <f t="shared" si="199"/>
        <v>0</v>
      </c>
      <c r="NWO64" s="857">
        <f t="shared" si="199"/>
        <v>0</v>
      </c>
      <c r="NWP64" s="857">
        <f t="shared" si="199"/>
        <v>0</v>
      </c>
      <c r="NWQ64" s="857">
        <f t="shared" si="199"/>
        <v>0</v>
      </c>
      <c r="NWR64" s="857">
        <f t="shared" si="199"/>
        <v>0</v>
      </c>
      <c r="NWS64" s="857">
        <f t="shared" si="199"/>
        <v>0</v>
      </c>
      <c r="NWT64" s="857">
        <f t="shared" si="199"/>
        <v>0</v>
      </c>
      <c r="NWU64" s="857">
        <f t="shared" si="199"/>
        <v>0</v>
      </c>
      <c r="NWV64" s="857">
        <f t="shared" si="199"/>
        <v>0</v>
      </c>
      <c r="NWW64" s="857">
        <f t="shared" si="199"/>
        <v>0</v>
      </c>
      <c r="NWX64" s="857">
        <f t="shared" si="199"/>
        <v>0</v>
      </c>
      <c r="NWY64" s="857">
        <f t="shared" si="199"/>
        <v>0</v>
      </c>
      <c r="NWZ64" s="857">
        <f t="shared" si="199"/>
        <v>0</v>
      </c>
      <c r="NXA64" s="857">
        <f t="shared" si="199"/>
        <v>0</v>
      </c>
      <c r="NXB64" s="857">
        <f t="shared" si="199"/>
        <v>0</v>
      </c>
      <c r="NXC64" s="857">
        <f t="shared" si="199"/>
        <v>0</v>
      </c>
      <c r="NXD64" s="857">
        <f t="shared" si="199"/>
        <v>0</v>
      </c>
      <c r="NXE64" s="857">
        <f t="shared" si="199"/>
        <v>0</v>
      </c>
      <c r="NXF64" s="857">
        <f t="shared" si="199"/>
        <v>0</v>
      </c>
      <c r="NXG64" s="857">
        <f t="shared" si="199"/>
        <v>0</v>
      </c>
      <c r="NXH64" s="857">
        <f t="shared" si="199"/>
        <v>0</v>
      </c>
      <c r="NXI64" s="857">
        <f t="shared" si="199"/>
        <v>0</v>
      </c>
      <c r="NXJ64" s="857">
        <f t="shared" si="199"/>
        <v>0</v>
      </c>
      <c r="NXK64" s="857">
        <f t="shared" si="199"/>
        <v>0</v>
      </c>
      <c r="NXL64" s="857">
        <f t="shared" si="199"/>
        <v>0</v>
      </c>
      <c r="NXM64" s="857">
        <f t="shared" si="199"/>
        <v>0</v>
      </c>
      <c r="NXN64" s="857">
        <f t="shared" si="199"/>
        <v>0</v>
      </c>
      <c r="NXO64" s="857">
        <f t="shared" si="199"/>
        <v>0</v>
      </c>
      <c r="NXP64" s="857">
        <f t="shared" si="199"/>
        <v>0</v>
      </c>
      <c r="NXQ64" s="857">
        <f t="shared" si="199"/>
        <v>0</v>
      </c>
      <c r="NXR64" s="857">
        <f t="shared" si="199"/>
        <v>0</v>
      </c>
      <c r="NXS64" s="857">
        <f t="shared" si="199"/>
        <v>0</v>
      </c>
      <c r="NXT64" s="857">
        <f t="shared" si="199"/>
        <v>0</v>
      </c>
      <c r="NXU64" s="857">
        <f t="shared" si="199"/>
        <v>0</v>
      </c>
      <c r="NXV64" s="857">
        <f t="shared" si="199"/>
        <v>0</v>
      </c>
      <c r="NXW64" s="857">
        <f t="shared" si="199"/>
        <v>0</v>
      </c>
      <c r="NXX64" s="857">
        <f t="shared" si="199"/>
        <v>0</v>
      </c>
      <c r="NXY64" s="857">
        <f t="shared" si="199"/>
        <v>0</v>
      </c>
      <c r="NXZ64" s="857">
        <f t="shared" si="199"/>
        <v>0</v>
      </c>
      <c r="NYA64" s="857">
        <f t="shared" si="199"/>
        <v>0</v>
      </c>
      <c r="NYB64" s="857">
        <f t="shared" si="199"/>
        <v>0</v>
      </c>
      <c r="NYC64" s="857">
        <f t="shared" si="199"/>
        <v>0</v>
      </c>
      <c r="NYD64" s="857">
        <f t="shared" ref="NYD64:OAO64" si="200">(NYD57-NYD59)*$C$64</f>
        <v>0</v>
      </c>
      <c r="NYE64" s="857">
        <f t="shared" si="200"/>
        <v>0</v>
      </c>
      <c r="NYF64" s="857">
        <f t="shared" si="200"/>
        <v>0</v>
      </c>
      <c r="NYG64" s="857">
        <f t="shared" si="200"/>
        <v>0</v>
      </c>
      <c r="NYH64" s="857">
        <f t="shared" si="200"/>
        <v>0</v>
      </c>
      <c r="NYI64" s="857">
        <f t="shared" si="200"/>
        <v>0</v>
      </c>
      <c r="NYJ64" s="857">
        <f t="shared" si="200"/>
        <v>0</v>
      </c>
      <c r="NYK64" s="857">
        <f t="shared" si="200"/>
        <v>0</v>
      </c>
      <c r="NYL64" s="857">
        <f t="shared" si="200"/>
        <v>0</v>
      </c>
      <c r="NYM64" s="857">
        <f t="shared" si="200"/>
        <v>0</v>
      </c>
      <c r="NYN64" s="857">
        <f t="shared" si="200"/>
        <v>0</v>
      </c>
      <c r="NYO64" s="857">
        <f t="shared" si="200"/>
        <v>0</v>
      </c>
      <c r="NYP64" s="857">
        <f t="shared" si="200"/>
        <v>0</v>
      </c>
      <c r="NYQ64" s="857">
        <f t="shared" si="200"/>
        <v>0</v>
      </c>
      <c r="NYR64" s="857">
        <f t="shared" si="200"/>
        <v>0</v>
      </c>
      <c r="NYS64" s="857">
        <f t="shared" si="200"/>
        <v>0</v>
      </c>
      <c r="NYT64" s="857">
        <f t="shared" si="200"/>
        <v>0</v>
      </c>
      <c r="NYU64" s="857">
        <f t="shared" si="200"/>
        <v>0</v>
      </c>
      <c r="NYV64" s="857">
        <f t="shared" si="200"/>
        <v>0</v>
      </c>
      <c r="NYW64" s="857">
        <f t="shared" si="200"/>
        <v>0</v>
      </c>
      <c r="NYX64" s="857">
        <f t="shared" si="200"/>
        <v>0</v>
      </c>
      <c r="NYY64" s="857">
        <f t="shared" si="200"/>
        <v>0</v>
      </c>
      <c r="NYZ64" s="857">
        <f t="shared" si="200"/>
        <v>0</v>
      </c>
      <c r="NZA64" s="857">
        <f t="shared" si="200"/>
        <v>0</v>
      </c>
      <c r="NZB64" s="857">
        <f t="shared" si="200"/>
        <v>0</v>
      </c>
      <c r="NZC64" s="857">
        <f t="shared" si="200"/>
        <v>0</v>
      </c>
      <c r="NZD64" s="857">
        <f t="shared" si="200"/>
        <v>0</v>
      </c>
      <c r="NZE64" s="857">
        <f t="shared" si="200"/>
        <v>0</v>
      </c>
      <c r="NZF64" s="857">
        <f t="shared" si="200"/>
        <v>0</v>
      </c>
      <c r="NZG64" s="857">
        <f t="shared" si="200"/>
        <v>0</v>
      </c>
      <c r="NZH64" s="857">
        <f t="shared" si="200"/>
        <v>0</v>
      </c>
      <c r="NZI64" s="857">
        <f t="shared" si="200"/>
        <v>0</v>
      </c>
      <c r="NZJ64" s="857">
        <f t="shared" si="200"/>
        <v>0</v>
      </c>
      <c r="NZK64" s="857">
        <f t="shared" si="200"/>
        <v>0</v>
      </c>
      <c r="NZL64" s="857">
        <f t="shared" si="200"/>
        <v>0</v>
      </c>
      <c r="NZM64" s="857">
        <f t="shared" si="200"/>
        <v>0</v>
      </c>
      <c r="NZN64" s="857">
        <f t="shared" si="200"/>
        <v>0</v>
      </c>
      <c r="NZO64" s="857">
        <f t="shared" si="200"/>
        <v>0</v>
      </c>
      <c r="NZP64" s="857">
        <f t="shared" si="200"/>
        <v>0</v>
      </c>
      <c r="NZQ64" s="857">
        <f t="shared" si="200"/>
        <v>0</v>
      </c>
      <c r="NZR64" s="857">
        <f t="shared" si="200"/>
        <v>0</v>
      </c>
      <c r="NZS64" s="857">
        <f t="shared" si="200"/>
        <v>0</v>
      </c>
      <c r="NZT64" s="857">
        <f t="shared" si="200"/>
        <v>0</v>
      </c>
      <c r="NZU64" s="857">
        <f t="shared" si="200"/>
        <v>0</v>
      </c>
      <c r="NZV64" s="857">
        <f t="shared" si="200"/>
        <v>0</v>
      </c>
      <c r="NZW64" s="857">
        <f t="shared" si="200"/>
        <v>0</v>
      </c>
      <c r="NZX64" s="857">
        <f t="shared" si="200"/>
        <v>0</v>
      </c>
      <c r="NZY64" s="857">
        <f t="shared" si="200"/>
        <v>0</v>
      </c>
      <c r="NZZ64" s="857">
        <f t="shared" si="200"/>
        <v>0</v>
      </c>
      <c r="OAA64" s="857">
        <f t="shared" si="200"/>
        <v>0</v>
      </c>
      <c r="OAB64" s="857">
        <f t="shared" si="200"/>
        <v>0</v>
      </c>
      <c r="OAC64" s="857">
        <f t="shared" si="200"/>
        <v>0</v>
      </c>
      <c r="OAD64" s="857">
        <f t="shared" si="200"/>
        <v>0</v>
      </c>
      <c r="OAE64" s="857">
        <f t="shared" si="200"/>
        <v>0</v>
      </c>
      <c r="OAF64" s="857">
        <f t="shared" si="200"/>
        <v>0</v>
      </c>
      <c r="OAG64" s="857">
        <f t="shared" si="200"/>
        <v>0</v>
      </c>
      <c r="OAH64" s="857">
        <f t="shared" si="200"/>
        <v>0</v>
      </c>
      <c r="OAI64" s="857">
        <f t="shared" si="200"/>
        <v>0</v>
      </c>
      <c r="OAJ64" s="857">
        <f t="shared" si="200"/>
        <v>0</v>
      </c>
      <c r="OAK64" s="857">
        <f t="shared" si="200"/>
        <v>0</v>
      </c>
      <c r="OAL64" s="857">
        <f t="shared" si="200"/>
        <v>0</v>
      </c>
      <c r="OAM64" s="857">
        <f t="shared" si="200"/>
        <v>0</v>
      </c>
      <c r="OAN64" s="857">
        <f t="shared" si="200"/>
        <v>0</v>
      </c>
      <c r="OAO64" s="857">
        <f t="shared" si="200"/>
        <v>0</v>
      </c>
      <c r="OAP64" s="857">
        <f t="shared" ref="OAP64:ODA64" si="201">(OAP57-OAP59)*$C$64</f>
        <v>0</v>
      </c>
      <c r="OAQ64" s="857">
        <f t="shared" si="201"/>
        <v>0</v>
      </c>
      <c r="OAR64" s="857">
        <f t="shared" si="201"/>
        <v>0</v>
      </c>
      <c r="OAS64" s="857">
        <f t="shared" si="201"/>
        <v>0</v>
      </c>
      <c r="OAT64" s="857">
        <f t="shared" si="201"/>
        <v>0</v>
      </c>
      <c r="OAU64" s="857">
        <f t="shared" si="201"/>
        <v>0</v>
      </c>
      <c r="OAV64" s="857">
        <f t="shared" si="201"/>
        <v>0</v>
      </c>
      <c r="OAW64" s="857">
        <f t="shared" si="201"/>
        <v>0</v>
      </c>
      <c r="OAX64" s="857">
        <f t="shared" si="201"/>
        <v>0</v>
      </c>
      <c r="OAY64" s="857">
        <f t="shared" si="201"/>
        <v>0</v>
      </c>
      <c r="OAZ64" s="857">
        <f t="shared" si="201"/>
        <v>0</v>
      </c>
      <c r="OBA64" s="857">
        <f t="shared" si="201"/>
        <v>0</v>
      </c>
      <c r="OBB64" s="857">
        <f t="shared" si="201"/>
        <v>0</v>
      </c>
      <c r="OBC64" s="857">
        <f t="shared" si="201"/>
        <v>0</v>
      </c>
      <c r="OBD64" s="857">
        <f t="shared" si="201"/>
        <v>0</v>
      </c>
      <c r="OBE64" s="857">
        <f t="shared" si="201"/>
        <v>0</v>
      </c>
      <c r="OBF64" s="857">
        <f t="shared" si="201"/>
        <v>0</v>
      </c>
      <c r="OBG64" s="857">
        <f t="shared" si="201"/>
        <v>0</v>
      </c>
      <c r="OBH64" s="857">
        <f t="shared" si="201"/>
        <v>0</v>
      </c>
      <c r="OBI64" s="857">
        <f t="shared" si="201"/>
        <v>0</v>
      </c>
      <c r="OBJ64" s="857">
        <f t="shared" si="201"/>
        <v>0</v>
      </c>
      <c r="OBK64" s="857">
        <f t="shared" si="201"/>
        <v>0</v>
      </c>
      <c r="OBL64" s="857">
        <f t="shared" si="201"/>
        <v>0</v>
      </c>
      <c r="OBM64" s="857">
        <f t="shared" si="201"/>
        <v>0</v>
      </c>
      <c r="OBN64" s="857">
        <f t="shared" si="201"/>
        <v>0</v>
      </c>
      <c r="OBO64" s="857">
        <f t="shared" si="201"/>
        <v>0</v>
      </c>
      <c r="OBP64" s="857">
        <f t="shared" si="201"/>
        <v>0</v>
      </c>
      <c r="OBQ64" s="857">
        <f t="shared" si="201"/>
        <v>0</v>
      </c>
      <c r="OBR64" s="857">
        <f t="shared" si="201"/>
        <v>0</v>
      </c>
      <c r="OBS64" s="857">
        <f t="shared" si="201"/>
        <v>0</v>
      </c>
      <c r="OBT64" s="857">
        <f t="shared" si="201"/>
        <v>0</v>
      </c>
      <c r="OBU64" s="857">
        <f t="shared" si="201"/>
        <v>0</v>
      </c>
      <c r="OBV64" s="857">
        <f t="shared" si="201"/>
        <v>0</v>
      </c>
      <c r="OBW64" s="857">
        <f t="shared" si="201"/>
        <v>0</v>
      </c>
      <c r="OBX64" s="857">
        <f t="shared" si="201"/>
        <v>0</v>
      </c>
      <c r="OBY64" s="857">
        <f t="shared" si="201"/>
        <v>0</v>
      </c>
      <c r="OBZ64" s="857">
        <f t="shared" si="201"/>
        <v>0</v>
      </c>
      <c r="OCA64" s="857">
        <f t="shared" si="201"/>
        <v>0</v>
      </c>
      <c r="OCB64" s="857">
        <f t="shared" si="201"/>
        <v>0</v>
      </c>
      <c r="OCC64" s="857">
        <f t="shared" si="201"/>
        <v>0</v>
      </c>
      <c r="OCD64" s="857">
        <f t="shared" si="201"/>
        <v>0</v>
      </c>
      <c r="OCE64" s="857">
        <f t="shared" si="201"/>
        <v>0</v>
      </c>
      <c r="OCF64" s="857">
        <f t="shared" si="201"/>
        <v>0</v>
      </c>
      <c r="OCG64" s="857">
        <f t="shared" si="201"/>
        <v>0</v>
      </c>
      <c r="OCH64" s="857">
        <f t="shared" si="201"/>
        <v>0</v>
      </c>
      <c r="OCI64" s="857">
        <f t="shared" si="201"/>
        <v>0</v>
      </c>
      <c r="OCJ64" s="857">
        <f t="shared" si="201"/>
        <v>0</v>
      </c>
      <c r="OCK64" s="857">
        <f t="shared" si="201"/>
        <v>0</v>
      </c>
      <c r="OCL64" s="857">
        <f t="shared" si="201"/>
        <v>0</v>
      </c>
      <c r="OCM64" s="857">
        <f t="shared" si="201"/>
        <v>0</v>
      </c>
      <c r="OCN64" s="857">
        <f t="shared" si="201"/>
        <v>0</v>
      </c>
      <c r="OCO64" s="857">
        <f t="shared" si="201"/>
        <v>0</v>
      </c>
      <c r="OCP64" s="857">
        <f t="shared" si="201"/>
        <v>0</v>
      </c>
      <c r="OCQ64" s="857">
        <f t="shared" si="201"/>
        <v>0</v>
      </c>
      <c r="OCR64" s="857">
        <f t="shared" si="201"/>
        <v>0</v>
      </c>
      <c r="OCS64" s="857">
        <f t="shared" si="201"/>
        <v>0</v>
      </c>
      <c r="OCT64" s="857">
        <f t="shared" si="201"/>
        <v>0</v>
      </c>
      <c r="OCU64" s="857">
        <f t="shared" si="201"/>
        <v>0</v>
      </c>
      <c r="OCV64" s="857">
        <f t="shared" si="201"/>
        <v>0</v>
      </c>
      <c r="OCW64" s="857">
        <f t="shared" si="201"/>
        <v>0</v>
      </c>
      <c r="OCX64" s="857">
        <f t="shared" si="201"/>
        <v>0</v>
      </c>
      <c r="OCY64" s="857">
        <f t="shared" si="201"/>
        <v>0</v>
      </c>
      <c r="OCZ64" s="857">
        <f t="shared" si="201"/>
        <v>0</v>
      </c>
      <c r="ODA64" s="857">
        <f t="shared" si="201"/>
        <v>0</v>
      </c>
      <c r="ODB64" s="857">
        <f t="shared" ref="ODB64:OFM64" si="202">(ODB57-ODB59)*$C$64</f>
        <v>0</v>
      </c>
      <c r="ODC64" s="857">
        <f t="shared" si="202"/>
        <v>0</v>
      </c>
      <c r="ODD64" s="857">
        <f t="shared" si="202"/>
        <v>0</v>
      </c>
      <c r="ODE64" s="857">
        <f t="shared" si="202"/>
        <v>0</v>
      </c>
      <c r="ODF64" s="857">
        <f t="shared" si="202"/>
        <v>0</v>
      </c>
      <c r="ODG64" s="857">
        <f t="shared" si="202"/>
        <v>0</v>
      </c>
      <c r="ODH64" s="857">
        <f t="shared" si="202"/>
        <v>0</v>
      </c>
      <c r="ODI64" s="857">
        <f t="shared" si="202"/>
        <v>0</v>
      </c>
      <c r="ODJ64" s="857">
        <f t="shared" si="202"/>
        <v>0</v>
      </c>
      <c r="ODK64" s="857">
        <f t="shared" si="202"/>
        <v>0</v>
      </c>
      <c r="ODL64" s="857">
        <f t="shared" si="202"/>
        <v>0</v>
      </c>
      <c r="ODM64" s="857">
        <f t="shared" si="202"/>
        <v>0</v>
      </c>
      <c r="ODN64" s="857">
        <f t="shared" si="202"/>
        <v>0</v>
      </c>
      <c r="ODO64" s="857">
        <f t="shared" si="202"/>
        <v>0</v>
      </c>
      <c r="ODP64" s="857">
        <f t="shared" si="202"/>
        <v>0</v>
      </c>
      <c r="ODQ64" s="857">
        <f t="shared" si="202"/>
        <v>0</v>
      </c>
      <c r="ODR64" s="857">
        <f t="shared" si="202"/>
        <v>0</v>
      </c>
      <c r="ODS64" s="857">
        <f t="shared" si="202"/>
        <v>0</v>
      </c>
      <c r="ODT64" s="857">
        <f t="shared" si="202"/>
        <v>0</v>
      </c>
      <c r="ODU64" s="857">
        <f t="shared" si="202"/>
        <v>0</v>
      </c>
      <c r="ODV64" s="857">
        <f t="shared" si="202"/>
        <v>0</v>
      </c>
      <c r="ODW64" s="857">
        <f t="shared" si="202"/>
        <v>0</v>
      </c>
      <c r="ODX64" s="857">
        <f t="shared" si="202"/>
        <v>0</v>
      </c>
      <c r="ODY64" s="857">
        <f t="shared" si="202"/>
        <v>0</v>
      </c>
      <c r="ODZ64" s="857">
        <f t="shared" si="202"/>
        <v>0</v>
      </c>
      <c r="OEA64" s="857">
        <f t="shared" si="202"/>
        <v>0</v>
      </c>
      <c r="OEB64" s="857">
        <f t="shared" si="202"/>
        <v>0</v>
      </c>
      <c r="OEC64" s="857">
        <f t="shared" si="202"/>
        <v>0</v>
      </c>
      <c r="OED64" s="857">
        <f t="shared" si="202"/>
        <v>0</v>
      </c>
      <c r="OEE64" s="857">
        <f t="shared" si="202"/>
        <v>0</v>
      </c>
      <c r="OEF64" s="857">
        <f t="shared" si="202"/>
        <v>0</v>
      </c>
      <c r="OEG64" s="857">
        <f t="shared" si="202"/>
        <v>0</v>
      </c>
      <c r="OEH64" s="857">
        <f t="shared" si="202"/>
        <v>0</v>
      </c>
      <c r="OEI64" s="857">
        <f t="shared" si="202"/>
        <v>0</v>
      </c>
      <c r="OEJ64" s="857">
        <f t="shared" si="202"/>
        <v>0</v>
      </c>
      <c r="OEK64" s="857">
        <f t="shared" si="202"/>
        <v>0</v>
      </c>
      <c r="OEL64" s="857">
        <f t="shared" si="202"/>
        <v>0</v>
      </c>
      <c r="OEM64" s="857">
        <f t="shared" si="202"/>
        <v>0</v>
      </c>
      <c r="OEN64" s="857">
        <f t="shared" si="202"/>
        <v>0</v>
      </c>
      <c r="OEO64" s="857">
        <f t="shared" si="202"/>
        <v>0</v>
      </c>
      <c r="OEP64" s="857">
        <f t="shared" si="202"/>
        <v>0</v>
      </c>
      <c r="OEQ64" s="857">
        <f t="shared" si="202"/>
        <v>0</v>
      </c>
      <c r="OER64" s="857">
        <f t="shared" si="202"/>
        <v>0</v>
      </c>
      <c r="OES64" s="857">
        <f t="shared" si="202"/>
        <v>0</v>
      </c>
      <c r="OET64" s="857">
        <f t="shared" si="202"/>
        <v>0</v>
      </c>
      <c r="OEU64" s="857">
        <f t="shared" si="202"/>
        <v>0</v>
      </c>
      <c r="OEV64" s="857">
        <f t="shared" si="202"/>
        <v>0</v>
      </c>
      <c r="OEW64" s="857">
        <f t="shared" si="202"/>
        <v>0</v>
      </c>
      <c r="OEX64" s="857">
        <f t="shared" si="202"/>
        <v>0</v>
      </c>
      <c r="OEY64" s="857">
        <f t="shared" si="202"/>
        <v>0</v>
      </c>
      <c r="OEZ64" s="857">
        <f t="shared" si="202"/>
        <v>0</v>
      </c>
      <c r="OFA64" s="857">
        <f t="shared" si="202"/>
        <v>0</v>
      </c>
      <c r="OFB64" s="857">
        <f t="shared" si="202"/>
        <v>0</v>
      </c>
      <c r="OFC64" s="857">
        <f t="shared" si="202"/>
        <v>0</v>
      </c>
      <c r="OFD64" s="857">
        <f t="shared" si="202"/>
        <v>0</v>
      </c>
      <c r="OFE64" s="857">
        <f t="shared" si="202"/>
        <v>0</v>
      </c>
      <c r="OFF64" s="857">
        <f t="shared" si="202"/>
        <v>0</v>
      </c>
      <c r="OFG64" s="857">
        <f t="shared" si="202"/>
        <v>0</v>
      </c>
      <c r="OFH64" s="857">
        <f t="shared" si="202"/>
        <v>0</v>
      </c>
      <c r="OFI64" s="857">
        <f t="shared" si="202"/>
        <v>0</v>
      </c>
      <c r="OFJ64" s="857">
        <f t="shared" si="202"/>
        <v>0</v>
      </c>
      <c r="OFK64" s="857">
        <f t="shared" si="202"/>
        <v>0</v>
      </c>
      <c r="OFL64" s="857">
        <f t="shared" si="202"/>
        <v>0</v>
      </c>
      <c r="OFM64" s="857">
        <f t="shared" si="202"/>
        <v>0</v>
      </c>
      <c r="OFN64" s="857">
        <f t="shared" ref="OFN64:OHY64" si="203">(OFN57-OFN59)*$C$64</f>
        <v>0</v>
      </c>
      <c r="OFO64" s="857">
        <f t="shared" si="203"/>
        <v>0</v>
      </c>
      <c r="OFP64" s="857">
        <f t="shared" si="203"/>
        <v>0</v>
      </c>
      <c r="OFQ64" s="857">
        <f t="shared" si="203"/>
        <v>0</v>
      </c>
      <c r="OFR64" s="857">
        <f t="shared" si="203"/>
        <v>0</v>
      </c>
      <c r="OFS64" s="857">
        <f t="shared" si="203"/>
        <v>0</v>
      </c>
      <c r="OFT64" s="857">
        <f t="shared" si="203"/>
        <v>0</v>
      </c>
      <c r="OFU64" s="857">
        <f t="shared" si="203"/>
        <v>0</v>
      </c>
      <c r="OFV64" s="857">
        <f t="shared" si="203"/>
        <v>0</v>
      </c>
      <c r="OFW64" s="857">
        <f t="shared" si="203"/>
        <v>0</v>
      </c>
      <c r="OFX64" s="857">
        <f t="shared" si="203"/>
        <v>0</v>
      </c>
      <c r="OFY64" s="857">
        <f t="shared" si="203"/>
        <v>0</v>
      </c>
      <c r="OFZ64" s="857">
        <f t="shared" si="203"/>
        <v>0</v>
      </c>
      <c r="OGA64" s="857">
        <f t="shared" si="203"/>
        <v>0</v>
      </c>
      <c r="OGB64" s="857">
        <f t="shared" si="203"/>
        <v>0</v>
      </c>
      <c r="OGC64" s="857">
        <f t="shared" si="203"/>
        <v>0</v>
      </c>
      <c r="OGD64" s="857">
        <f t="shared" si="203"/>
        <v>0</v>
      </c>
      <c r="OGE64" s="857">
        <f t="shared" si="203"/>
        <v>0</v>
      </c>
      <c r="OGF64" s="857">
        <f t="shared" si="203"/>
        <v>0</v>
      </c>
      <c r="OGG64" s="857">
        <f t="shared" si="203"/>
        <v>0</v>
      </c>
      <c r="OGH64" s="857">
        <f t="shared" si="203"/>
        <v>0</v>
      </c>
      <c r="OGI64" s="857">
        <f t="shared" si="203"/>
        <v>0</v>
      </c>
      <c r="OGJ64" s="857">
        <f t="shared" si="203"/>
        <v>0</v>
      </c>
      <c r="OGK64" s="857">
        <f t="shared" si="203"/>
        <v>0</v>
      </c>
      <c r="OGL64" s="857">
        <f t="shared" si="203"/>
        <v>0</v>
      </c>
      <c r="OGM64" s="857">
        <f t="shared" si="203"/>
        <v>0</v>
      </c>
      <c r="OGN64" s="857">
        <f t="shared" si="203"/>
        <v>0</v>
      </c>
      <c r="OGO64" s="857">
        <f t="shared" si="203"/>
        <v>0</v>
      </c>
      <c r="OGP64" s="857">
        <f t="shared" si="203"/>
        <v>0</v>
      </c>
      <c r="OGQ64" s="857">
        <f t="shared" si="203"/>
        <v>0</v>
      </c>
      <c r="OGR64" s="857">
        <f t="shared" si="203"/>
        <v>0</v>
      </c>
      <c r="OGS64" s="857">
        <f t="shared" si="203"/>
        <v>0</v>
      </c>
      <c r="OGT64" s="857">
        <f t="shared" si="203"/>
        <v>0</v>
      </c>
      <c r="OGU64" s="857">
        <f t="shared" si="203"/>
        <v>0</v>
      </c>
      <c r="OGV64" s="857">
        <f t="shared" si="203"/>
        <v>0</v>
      </c>
      <c r="OGW64" s="857">
        <f t="shared" si="203"/>
        <v>0</v>
      </c>
      <c r="OGX64" s="857">
        <f t="shared" si="203"/>
        <v>0</v>
      </c>
      <c r="OGY64" s="857">
        <f t="shared" si="203"/>
        <v>0</v>
      </c>
      <c r="OGZ64" s="857">
        <f t="shared" si="203"/>
        <v>0</v>
      </c>
      <c r="OHA64" s="857">
        <f t="shared" si="203"/>
        <v>0</v>
      </c>
      <c r="OHB64" s="857">
        <f t="shared" si="203"/>
        <v>0</v>
      </c>
      <c r="OHC64" s="857">
        <f t="shared" si="203"/>
        <v>0</v>
      </c>
      <c r="OHD64" s="857">
        <f t="shared" si="203"/>
        <v>0</v>
      </c>
      <c r="OHE64" s="857">
        <f t="shared" si="203"/>
        <v>0</v>
      </c>
      <c r="OHF64" s="857">
        <f t="shared" si="203"/>
        <v>0</v>
      </c>
      <c r="OHG64" s="857">
        <f t="shared" si="203"/>
        <v>0</v>
      </c>
      <c r="OHH64" s="857">
        <f t="shared" si="203"/>
        <v>0</v>
      </c>
      <c r="OHI64" s="857">
        <f t="shared" si="203"/>
        <v>0</v>
      </c>
      <c r="OHJ64" s="857">
        <f t="shared" si="203"/>
        <v>0</v>
      </c>
      <c r="OHK64" s="857">
        <f t="shared" si="203"/>
        <v>0</v>
      </c>
      <c r="OHL64" s="857">
        <f t="shared" si="203"/>
        <v>0</v>
      </c>
      <c r="OHM64" s="857">
        <f t="shared" si="203"/>
        <v>0</v>
      </c>
      <c r="OHN64" s="857">
        <f t="shared" si="203"/>
        <v>0</v>
      </c>
      <c r="OHO64" s="857">
        <f t="shared" si="203"/>
        <v>0</v>
      </c>
      <c r="OHP64" s="857">
        <f t="shared" si="203"/>
        <v>0</v>
      </c>
      <c r="OHQ64" s="857">
        <f t="shared" si="203"/>
        <v>0</v>
      </c>
      <c r="OHR64" s="857">
        <f t="shared" si="203"/>
        <v>0</v>
      </c>
      <c r="OHS64" s="857">
        <f t="shared" si="203"/>
        <v>0</v>
      </c>
      <c r="OHT64" s="857">
        <f t="shared" si="203"/>
        <v>0</v>
      </c>
      <c r="OHU64" s="857">
        <f t="shared" si="203"/>
        <v>0</v>
      </c>
      <c r="OHV64" s="857">
        <f t="shared" si="203"/>
        <v>0</v>
      </c>
      <c r="OHW64" s="857">
        <f t="shared" si="203"/>
        <v>0</v>
      </c>
      <c r="OHX64" s="857">
        <f t="shared" si="203"/>
        <v>0</v>
      </c>
      <c r="OHY64" s="857">
        <f t="shared" si="203"/>
        <v>0</v>
      </c>
      <c r="OHZ64" s="857">
        <f t="shared" ref="OHZ64:OKK64" si="204">(OHZ57-OHZ59)*$C$64</f>
        <v>0</v>
      </c>
      <c r="OIA64" s="857">
        <f t="shared" si="204"/>
        <v>0</v>
      </c>
      <c r="OIB64" s="857">
        <f t="shared" si="204"/>
        <v>0</v>
      </c>
      <c r="OIC64" s="857">
        <f t="shared" si="204"/>
        <v>0</v>
      </c>
      <c r="OID64" s="857">
        <f t="shared" si="204"/>
        <v>0</v>
      </c>
      <c r="OIE64" s="857">
        <f t="shared" si="204"/>
        <v>0</v>
      </c>
      <c r="OIF64" s="857">
        <f t="shared" si="204"/>
        <v>0</v>
      </c>
      <c r="OIG64" s="857">
        <f t="shared" si="204"/>
        <v>0</v>
      </c>
      <c r="OIH64" s="857">
        <f t="shared" si="204"/>
        <v>0</v>
      </c>
      <c r="OII64" s="857">
        <f t="shared" si="204"/>
        <v>0</v>
      </c>
      <c r="OIJ64" s="857">
        <f t="shared" si="204"/>
        <v>0</v>
      </c>
      <c r="OIK64" s="857">
        <f t="shared" si="204"/>
        <v>0</v>
      </c>
      <c r="OIL64" s="857">
        <f t="shared" si="204"/>
        <v>0</v>
      </c>
      <c r="OIM64" s="857">
        <f t="shared" si="204"/>
        <v>0</v>
      </c>
      <c r="OIN64" s="857">
        <f t="shared" si="204"/>
        <v>0</v>
      </c>
      <c r="OIO64" s="857">
        <f t="shared" si="204"/>
        <v>0</v>
      </c>
      <c r="OIP64" s="857">
        <f t="shared" si="204"/>
        <v>0</v>
      </c>
      <c r="OIQ64" s="857">
        <f t="shared" si="204"/>
        <v>0</v>
      </c>
      <c r="OIR64" s="857">
        <f t="shared" si="204"/>
        <v>0</v>
      </c>
      <c r="OIS64" s="857">
        <f t="shared" si="204"/>
        <v>0</v>
      </c>
      <c r="OIT64" s="857">
        <f t="shared" si="204"/>
        <v>0</v>
      </c>
      <c r="OIU64" s="857">
        <f t="shared" si="204"/>
        <v>0</v>
      </c>
      <c r="OIV64" s="857">
        <f t="shared" si="204"/>
        <v>0</v>
      </c>
      <c r="OIW64" s="857">
        <f t="shared" si="204"/>
        <v>0</v>
      </c>
      <c r="OIX64" s="857">
        <f t="shared" si="204"/>
        <v>0</v>
      </c>
      <c r="OIY64" s="857">
        <f t="shared" si="204"/>
        <v>0</v>
      </c>
      <c r="OIZ64" s="857">
        <f t="shared" si="204"/>
        <v>0</v>
      </c>
      <c r="OJA64" s="857">
        <f t="shared" si="204"/>
        <v>0</v>
      </c>
      <c r="OJB64" s="857">
        <f t="shared" si="204"/>
        <v>0</v>
      </c>
      <c r="OJC64" s="857">
        <f t="shared" si="204"/>
        <v>0</v>
      </c>
      <c r="OJD64" s="857">
        <f t="shared" si="204"/>
        <v>0</v>
      </c>
      <c r="OJE64" s="857">
        <f t="shared" si="204"/>
        <v>0</v>
      </c>
      <c r="OJF64" s="857">
        <f t="shared" si="204"/>
        <v>0</v>
      </c>
      <c r="OJG64" s="857">
        <f t="shared" si="204"/>
        <v>0</v>
      </c>
      <c r="OJH64" s="857">
        <f t="shared" si="204"/>
        <v>0</v>
      </c>
      <c r="OJI64" s="857">
        <f t="shared" si="204"/>
        <v>0</v>
      </c>
      <c r="OJJ64" s="857">
        <f t="shared" si="204"/>
        <v>0</v>
      </c>
      <c r="OJK64" s="857">
        <f t="shared" si="204"/>
        <v>0</v>
      </c>
      <c r="OJL64" s="857">
        <f t="shared" si="204"/>
        <v>0</v>
      </c>
      <c r="OJM64" s="857">
        <f t="shared" si="204"/>
        <v>0</v>
      </c>
      <c r="OJN64" s="857">
        <f t="shared" si="204"/>
        <v>0</v>
      </c>
      <c r="OJO64" s="857">
        <f t="shared" si="204"/>
        <v>0</v>
      </c>
      <c r="OJP64" s="857">
        <f t="shared" si="204"/>
        <v>0</v>
      </c>
      <c r="OJQ64" s="857">
        <f t="shared" si="204"/>
        <v>0</v>
      </c>
      <c r="OJR64" s="857">
        <f t="shared" si="204"/>
        <v>0</v>
      </c>
      <c r="OJS64" s="857">
        <f t="shared" si="204"/>
        <v>0</v>
      </c>
      <c r="OJT64" s="857">
        <f t="shared" si="204"/>
        <v>0</v>
      </c>
      <c r="OJU64" s="857">
        <f t="shared" si="204"/>
        <v>0</v>
      </c>
      <c r="OJV64" s="857">
        <f t="shared" si="204"/>
        <v>0</v>
      </c>
      <c r="OJW64" s="857">
        <f t="shared" si="204"/>
        <v>0</v>
      </c>
      <c r="OJX64" s="857">
        <f t="shared" si="204"/>
        <v>0</v>
      </c>
      <c r="OJY64" s="857">
        <f t="shared" si="204"/>
        <v>0</v>
      </c>
      <c r="OJZ64" s="857">
        <f t="shared" si="204"/>
        <v>0</v>
      </c>
      <c r="OKA64" s="857">
        <f t="shared" si="204"/>
        <v>0</v>
      </c>
      <c r="OKB64" s="857">
        <f t="shared" si="204"/>
        <v>0</v>
      </c>
      <c r="OKC64" s="857">
        <f t="shared" si="204"/>
        <v>0</v>
      </c>
      <c r="OKD64" s="857">
        <f t="shared" si="204"/>
        <v>0</v>
      </c>
      <c r="OKE64" s="857">
        <f t="shared" si="204"/>
        <v>0</v>
      </c>
      <c r="OKF64" s="857">
        <f t="shared" si="204"/>
        <v>0</v>
      </c>
      <c r="OKG64" s="857">
        <f t="shared" si="204"/>
        <v>0</v>
      </c>
      <c r="OKH64" s="857">
        <f t="shared" si="204"/>
        <v>0</v>
      </c>
      <c r="OKI64" s="857">
        <f t="shared" si="204"/>
        <v>0</v>
      </c>
      <c r="OKJ64" s="857">
        <f t="shared" si="204"/>
        <v>0</v>
      </c>
      <c r="OKK64" s="857">
        <f t="shared" si="204"/>
        <v>0</v>
      </c>
      <c r="OKL64" s="857">
        <f t="shared" ref="OKL64:OMW64" si="205">(OKL57-OKL59)*$C$64</f>
        <v>0</v>
      </c>
      <c r="OKM64" s="857">
        <f t="shared" si="205"/>
        <v>0</v>
      </c>
      <c r="OKN64" s="857">
        <f t="shared" si="205"/>
        <v>0</v>
      </c>
      <c r="OKO64" s="857">
        <f t="shared" si="205"/>
        <v>0</v>
      </c>
      <c r="OKP64" s="857">
        <f t="shared" si="205"/>
        <v>0</v>
      </c>
      <c r="OKQ64" s="857">
        <f t="shared" si="205"/>
        <v>0</v>
      </c>
      <c r="OKR64" s="857">
        <f t="shared" si="205"/>
        <v>0</v>
      </c>
      <c r="OKS64" s="857">
        <f t="shared" si="205"/>
        <v>0</v>
      </c>
      <c r="OKT64" s="857">
        <f t="shared" si="205"/>
        <v>0</v>
      </c>
      <c r="OKU64" s="857">
        <f t="shared" si="205"/>
        <v>0</v>
      </c>
      <c r="OKV64" s="857">
        <f t="shared" si="205"/>
        <v>0</v>
      </c>
      <c r="OKW64" s="857">
        <f t="shared" si="205"/>
        <v>0</v>
      </c>
      <c r="OKX64" s="857">
        <f t="shared" si="205"/>
        <v>0</v>
      </c>
      <c r="OKY64" s="857">
        <f t="shared" si="205"/>
        <v>0</v>
      </c>
      <c r="OKZ64" s="857">
        <f t="shared" si="205"/>
        <v>0</v>
      </c>
      <c r="OLA64" s="857">
        <f t="shared" si="205"/>
        <v>0</v>
      </c>
      <c r="OLB64" s="857">
        <f t="shared" si="205"/>
        <v>0</v>
      </c>
      <c r="OLC64" s="857">
        <f t="shared" si="205"/>
        <v>0</v>
      </c>
      <c r="OLD64" s="857">
        <f t="shared" si="205"/>
        <v>0</v>
      </c>
      <c r="OLE64" s="857">
        <f t="shared" si="205"/>
        <v>0</v>
      </c>
      <c r="OLF64" s="857">
        <f t="shared" si="205"/>
        <v>0</v>
      </c>
      <c r="OLG64" s="857">
        <f t="shared" si="205"/>
        <v>0</v>
      </c>
      <c r="OLH64" s="857">
        <f t="shared" si="205"/>
        <v>0</v>
      </c>
      <c r="OLI64" s="857">
        <f t="shared" si="205"/>
        <v>0</v>
      </c>
      <c r="OLJ64" s="857">
        <f t="shared" si="205"/>
        <v>0</v>
      </c>
      <c r="OLK64" s="857">
        <f t="shared" si="205"/>
        <v>0</v>
      </c>
      <c r="OLL64" s="857">
        <f t="shared" si="205"/>
        <v>0</v>
      </c>
      <c r="OLM64" s="857">
        <f t="shared" si="205"/>
        <v>0</v>
      </c>
      <c r="OLN64" s="857">
        <f t="shared" si="205"/>
        <v>0</v>
      </c>
      <c r="OLO64" s="857">
        <f t="shared" si="205"/>
        <v>0</v>
      </c>
      <c r="OLP64" s="857">
        <f t="shared" si="205"/>
        <v>0</v>
      </c>
      <c r="OLQ64" s="857">
        <f t="shared" si="205"/>
        <v>0</v>
      </c>
      <c r="OLR64" s="857">
        <f t="shared" si="205"/>
        <v>0</v>
      </c>
      <c r="OLS64" s="857">
        <f t="shared" si="205"/>
        <v>0</v>
      </c>
      <c r="OLT64" s="857">
        <f t="shared" si="205"/>
        <v>0</v>
      </c>
      <c r="OLU64" s="857">
        <f t="shared" si="205"/>
        <v>0</v>
      </c>
      <c r="OLV64" s="857">
        <f t="shared" si="205"/>
        <v>0</v>
      </c>
      <c r="OLW64" s="857">
        <f t="shared" si="205"/>
        <v>0</v>
      </c>
      <c r="OLX64" s="857">
        <f t="shared" si="205"/>
        <v>0</v>
      </c>
      <c r="OLY64" s="857">
        <f t="shared" si="205"/>
        <v>0</v>
      </c>
      <c r="OLZ64" s="857">
        <f t="shared" si="205"/>
        <v>0</v>
      </c>
      <c r="OMA64" s="857">
        <f t="shared" si="205"/>
        <v>0</v>
      </c>
      <c r="OMB64" s="857">
        <f t="shared" si="205"/>
        <v>0</v>
      </c>
      <c r="OMC64" s="857">
        <f t="shared" si="205"/>
        <v>0</v>
      </c>
      <c r="OMD64" s="857">
        <f t="shared" si="205"/>
        <v>0</v>
      </c>
      <c r="OME64" s="857">
        <f t="shared" si="205"/>
        <v>0</v>
      </c>
      <c r="OMF64" s="857">
        <f t="shared" si="205"/>
        <v>0</v>
      </c>
      <c r="OMG64" s="857">
        <f t="shared" si="205"/>
        <v>0</v>
      </c>
      <c r="OMH64" s="857">
        <f t="shared" si="205"/>
        <v>0</v>
      </c>
      <c r="OMI64" s="857">
        <f t="shared" si="205"/>
        <v>0</v>
      </c>
      <c r="OMJ64" s="857">
        <f t="shared" si="205"/>
        <v>0</v>
      </c>
      <c r="OMK64" s="857">
        <f t="shared" si="205"/>
        <v>0</v>
      </c>
      <c r="OML64" s="857">
        <f t="shared" si="205"/>
        <v>0</v>
      </c>
      <c r="OMM64" s="857">
        <f t="shared" si="205"/>
        <v>0</v>
      </c>
      <c r="OMN64" s="857">
        <f t="shared" si="205"/>
        <v>0</v>
      </c>
      <c r="OMO64" s="857">
        <f t="shared" si="205"/>
        <v>0</v>
      </c>
      <c r="OMP64" s="857">
        <f t="shared" si="205"/>
        <v>0</v>
      </c>
      <c r="OMQ64" s="857">
        <f t="shared" si="205"/>
        <v>0</v>
      </c>
      <c r="OMR64" s="857">
        <f t="shared" si="205"/>
        <v>0</v>
      </c>
      <c r="OMS64" s="857">
        <f t="shared" si="205"/>
        <v>0</v>
      </c>
      <c r="OMT64" s="857">
        <f t="shared" si="205"/>
        <v>0</v>
      </c>
      <c r="OMU64" s="857">
        <f t="shared" si="205"/>
        <v>0</v>
      </c>
      <c r="OMV64" s="857">
        <f t="shared" si="205"/>
        <v>0</v>
      </c>
      <c r="OMW64" s="857">
        <f t="shared" si="205"/>
        <v>0</v>
      </c>
      <c r="OMX64" s="857">
        <f t="shared" ref="OMX64:OPI64" si="206">(OMX57-OMX59)*$C$64</f>
        <v>0</v>
      </c>
      <c r="OMY64" s="857">
        <f t="shared" si="206"/>
        <v>0</v>
      </c>
      <c r="OMZ64" s="857">
        <f t="shared" si="206"/>
        <v>0</v>
      </c>
      <c r="ONA64" s="857">
        <f t="shared" si="206"/>
        <v>0</v>
      </c>
      <c r="ONB64" s="857">
        <f t="shared" si="206"/>
        <v>0</v>
      </c>
      <c r="ONC64" s="857">
        <f t="shared" si="206"/>
        <v>0</v>
      </c>
      <c r="OND64" s="857">
        <f t="shared" si="206"/>
        <v>0</v>
      </c>
      <c r="ONE64" s="857">
        <f t="shared" si="206"/>
        <v>0</v>
      </c>
      <c r="ONF64" s="857">
        <f t="shared" si="206"/>
        <v>0</v>
      </c>
      <c r="ONG64" s="857">
        <f t="shared" si="206"/>
        <v>0</v>
      </c>
      <c r="ONH64" s="857">
        <f t="shared" si="206"/>
        <v>0</v>
      </c>
      <c r="ONI64" s="857">
        <f t="shared" si="206"/>
        <v>0</v>
      </c>
      <c r="ONJ64" s="857">
        <f t="shared" si="206"/>
        <v>0</v>
      </c>
      <c r="ONK64" s="857">
        <f t="shared" si="206"/>
        <v>0</v>
      </c>
      <c r="ONL64" s="857">
        <f t="shared" si="206"/>
        <v>0</v>
      </c>
      <c r="ONM64" s="857">
        <f t="shared" si="206"/>
        <v>0</v>
      </c>
      <c r="ONN64" s="857">
        <f t="shared" si="206"/>
        <v>0</v>
      </c>
      <c r="ONO64" s="857">
        <f t="shared" si="206"/>
        <v>0</v>
      </c>
      <c r="ONP64" s="857">
        <f t="shared" si="206"/>
        <v>0</v>
      </c>
      <c r="ONQ64" s="857">
        <f t="shared" si="206"/>
        <v>0</v>
      </c>
      <c r="ONR64" s="857">
        <f t="shared" si="206"/>
        <v>0</v>
      </c>
      <c r="ONS64" s="857">
        <f t="shared" si="206"/>
        <v>0</v>
      </c>
      <c r="ONT64" s="857">
        <f t="shared" si="206"/>
        <v>0</v>
      </c>
      <c r="ONU64" s="857">
        <f t="shared" si="206"/>
        <v>0</v>
      </c>
      <c r="ONV64" s="857">
        <f t="shared" si="206"/>
        <v>0</v>
      </c>
      <c r="ONW64" s="857">
        <f t="shared" si="206"/>
        <v>0</v>
      </c>
      <c r="ONX64" s="857">
        <f t="shared" si="206"/>
        <v>0</v>
      </c>
      <c r="ONY64" s="857">
        <f t="shared" si="206"/>
        <v>0</v>
      </c>
      <c r="ONZ64" s="857">
        <f t="shared" si="206"/>
        <v>0</v>
      </c>
      <c r="OOA64" s="857">
        <f t="shared" si="206"/>
        <v>0</v>
      </c>
      <c r="OOB64" s="857">
        <f t="shared" si="206"/>
        <v>0</v>
      </c>
      <c r="OOC64" s="857">
        <f t="shared" si="206"/>
        <v>0</v>
      </c>
      <c r="OOD64" s="857">
        <f t="shared" si="206"/>
        <v>0</v>
      </c>
      <c r="OOE64" s="857">
        <f t="shared" si="206"/>
        <v>0</v>
      </c>
      <c r="OOF64" s="857">
        <f t="shared" si="206"/>
        <v>0</v>
      </c>
      <c r="OOG64" s="857">
        <f t="shared" si="206"/>
        <v>0</v>
      </c>
      <c r="OOH64" s="857">
        <f t="shared" si="206"/>
        <v>0</v>
      </c>
      <c r="OOI64" s="857">
        <f t="shared" si="206"/>
        <v>0</v>
      </c>
      <c r="OOJ64" s="857">
        <f t="shared" si="206"/>
        <v>0</v>
      </c>
      <c r="OOK64" s="857">
        <f t="shared" si="206"/>
        <v>0</v>
      </c>
      <c r="OOL64" s="857">
        <f t="shared" si="206"/>
        <v>0</v>
      </c>
      <c r="OOM64" s="857">
        <f t="shared" si="206"/>
        <v>0</v>
      </c>
      <c r="OON64" s="857">
        <f t="shared" si="206"/>
        <v>0</v>
      </c>
      <c r="OOO64" s="857">
        <f t="shared" si="206"/>
        <v>0</v>
      </c>
      <c r="OOP64" s="857">
        <f t="shared" si="206"/>
        <v>0</v>
      </c>
      <c r="OOQ64" s="857">
        <f t="shared" si="206"/>
        <v>0</v>
      </c>
      <c r="OOR64" s="857">
        <f t="shared" si="206"/>
        <v>0</v>
      </c>
      <c r="OOS64" s="857">
        <f t="shared" si="206"/>
        <v>0</v>
      </c>
      <c r="OOT64" s="857">
        <f t="shared" si="206"/>
        <v>0</v>
      </c>
      <c r="OOU64" s="857">
        <f t="shared" si="206"/>
        <v>0</v>
      </c>
      <c r="OOV64" s="857">
        <f t="shared" si="206"/>
        <v>0</v>
      </c>
      <c r="OOW64" s="857">
        <f t="shared" si="206"/>
        <v>0</v>
      </c>
      <c r="OOX64" s="857">
        <f t="shared" si="206"/>
        <v>0</v>
      </c>
      <c r="OOY64" s="857">
        <f t="shared" si="206"/>
        <v>0</v>
      </c>
      <c r="OOZ64" s="857">
        <f t="shared" si="206"/>
        <v>0</v>
      </c>
      <c r="OPA64" s="857">
        <f t="shared" si="206"/>
        <v>0</v>
      </c>
      <c r="OPB64" s="857">
        <f t="shared" si="206"/>
        <v>0</v>
      </c>
      <c r="OPC64" s="857">
        <f t="shared" si="206"/>
        <v>0</v>
      </c>
      <c r="OPD64" s="857">
        <f t="shared" si="206"/>
        <v>0</v>
      </c>
      <c r="OPE64" s="857">
        <f t="shared" si="206"/>
        <v>0</v>
      </c>
      <c r="OPF64" s="857">
        <f t="shared" si="206"/>
        <v>0</v>
      </c>
      <c r="OPG64" s="857">
        <f t="shared" si="206"/>
        <v>0</v>
      </c>
      <c r="OPH64" s="857">
        <f t="shared" si="206"/>
        <v>0</v>
      </c>
      <c r="OPI64" s="857">
        <f t="shared" si="206"/>
        <v>0</v>
      </c>
      <c r="OPJ64" s="857">
        <f t="shared" ref="OPJ64:ORU64" si="207">(OPJ57-OPJ59)*$C$64</f>
        <v>0</v>
      </c>
      <c r="OPK64" s="857">
        <f t="shared" si="207"/>
        <v>0</v>
      </c>
      <c r="OPL64" s="857">
        <f t="shared" si="207"/>
        <v>0</v>
      </c>
      <c r="OPM64" s="857">
        <f t="shared" si="207"/>
        <v>0</v>
      </c>
      <c r="OPN64" s="857">
        <f t="shared" si="207"/>
        <v>0</v>
      </c>
      <c r="OPO64" s="857">
        <f t="shared" si="207"/>
        <v>0</v>
      </c>
      <c r="OPP64" s="857">
        <f t="shared" si="207"/>
        <v>0</v>
      </c>
      <c r="OPQ64" s="857">
        <f t="shared" si="207"/>
        <v>0</v>
      </c>
      <c r="OPR64" s="857">
        <f t="shared" si="207"/>
        <v>0</v>
      </c>
      <c r="OPS64" s="857">
        <f t="shared" si="207"/>
        <v>0</v>
      </c>
      <c r="OPT64" s="857">
        <f t="shared" si="207"/>
        <v>0</v>
      </c>
      <c r="OPU64" s="857">
        <f t="shared" si="207"/>
        <v>0</v>
      </c>
      <c r="OPV64" s="857">
        <f t="shared" si="207"/>
        <v>0</v>
      </c>
      <c r="OPW64" s="857">
        <f t="shared" si="207"/>
        <v>0</v>
      </c>
      <c r="OPX64" s="857">
        <f t="shared" si="207"/>
        <v>0</v>
      </c>
      <c r="OPY64" s="857">
        <f t="shared" si="207"/>
        <v>0</v>
      </c>
      <c r="OPZ64" s="857">
        <f t="shared" si="207"/>
        <v>0</v>
      </c>
      <c r="OQA64" s="857">
        <f t="shared" si="207"/>
        <v>0</v>
      </c>
      <c r="OQB64" s="857">
        <f t="shared" si="207"/>
        <v>0</v>
      </c>
      <c r="OQC64" s="857">
        <f t="shared" si="207"/>
        <v>0</v>
      </c>
      <c r="OQD64" s="857">
        <f t="shared" si="207"/>
        <v>0</v>
      </c>
      <c r="OQE64" s="857">
        <f t="shared" si="207"/>
        <v>0</v>
      </c>
      <c r="OQF64" s="857">
        <f t="shared" si="207"/>
        <v>0</v>
      </c>
      <c r="OQG64" s="857">
        <f t="shared" si="207"/>
        <v>0</v>
      </c>
      <c r="OQH64" s="857">
        <f t="shared" si="207"/>
        <v>0</v>
      </c>
      <c r="OQI64" s="857">
        <f t="shared" si="207"/>
        <v>0</v>
      </c>
      <c r="OQJ64" s="857">
        <f t="shared" si="207"/>
        <v>0</v>
      </c>
      <c r="OQK64" s="857">
        <f t="shared" si="207"/>
        <v>0</v>
      </c>
      <c r="OQL64" s="857">
        <f t="shared" si="207"/>
        <v>0</v>
      </c>
      <c r="OQM64" s="857">
        <f t="shared" si="207"/>
        <v>0</v>
      </c>
      <c r="OQN64" s="857">
        <f t="shared" si="207"/>
        <v>0</v>
      </c>
      <c r="OQO64" s="857">
        <f t="shared" si="207"/>
        <v>0</v>
      </c>
      <c r="OQP64" s="857">
        <f t="shared" si="207"/>
        <v>0</v>
      </c>
      <c r="OQQ64" s="857">
        <f t="shared" si="207"/>
        <v>0</v>
      </c>
      <c r="OQR64" s="857">
        <f t="shared" si="207"/>
        <v>0</v>
      </c>
      <c r="OQS64" s="857">
        <f t="shared" si="207"/>
        <v>0</v>
      </c>
      <c r="OQT64" s="857">
        <f t="shared" si="207"/>
        <v>0</v>
      </c>
      <c r="OQU64" s="857">
        <f t="shared" si="207"/>
        <v>0</v>
      </c>
      <c r="OQV64" s="857">
        <f t="shared" si="207"/>
        <v>0</v>
      </c>
      <c r="OQW64" s="857">
        <f t="shared" si="207"/>
        <v>0</v>
      </c>
      <c r="OQX64" s="857">
        <f t="shared" si="207"/>
        <v>0</v>
      </c>
      <c r="OQY64" s="857">
        <f t="shared" si="207"/>
        <v>0</v>
      </c>
      <c r="OQZ64" s="857">
        <f t="shared" si="207"/>
        <v>0</v>
      </c>
      <c r="ORA64" s="857">
        <f t="shared" si="207"/>
        <v>0</v>
      </c>
      <c r="ORB64" s="857">
        <f t="shared" si="207"/>
        <v>0</v>
      </c>
      <c r="ORC64" s="857">
        <f t="shared" si="207"/>
        <v>0</v>
      </c>
      <c r="ORD64" s="857">
        <f t="shared" si="207"/>
        <v>0</v>
      </c>
      <c r="ORE64" s="857">
        <f t="shared" si="207"/>
        <v>0</v>
      </c>
      <c r="ORF64" s="857">
        <f t="shared" si="207"/>
        <v>0</v>
      </c>
      <c r="ORG64" s="857">
        <f t="shared" si="207"/>
        <v>0</v>
      </c>
      <c r="ORH64" s="857">
        <f t="shared" si="207"/>
        <v>0</v>
      </c>
      <c r="ORI64" s="857">
        <f t="shared" si="207"/>
        <v>0</v>
      </c>
      <c r="ORJ64" s="857">
        <f t="shared" si="207"/>
        <v>0</v>
      </c>
      <c r="ORK64" s="857">
        <f t="shared" si="207"/>
        <v>0</v>
      </c>
      <c r="ORL64" s="857">
        <f t="shared" si="207"/>
        <v>0</v>
      </c>
      <c r="ORM64" s="857">
        <f t="shared" si="207"/>
        <v>0</v>
      </c>
      <c r="ORN64" s="857">
        <f t="shared" si="207"/>
        <v>0</v>
      </c>
      <c r="ORO64" s="857">
        <f t="shared" si="207"/>
        <v>0</v>
      </c>
      <c r="ORP64" s="857">
        <f t="shared" si="207"/>
        <v>0</v>
      </c>
      <c r="ORQ64" s="857">
        <f t="shared" si="207"/>
        <v>0</v>
      </c>
      <c r="ORR64" s="857">
        <f t="shared" si="207"/>
        <v>0</v>
      </c>
      <c r="ORS64" s="857">
        <f t="shared" si="207"/>
        <v>0</v>
      </c>
      <c r="ORT64" s="857">
        <f t="shared" si="207"/>
        <v>0</v>
      </c>
      <c r="ORU64" s="857">
        <f t="shared" si="207"/>
        <v>0</v>
      </c>
      <c r="ORV64" s="857">
        <f t="shared" ref="ORV64:OUG64" si="208">(ORV57-ORV59)*$C$64</f>
        <v>0</v>
      </c>
      <c r="ORW64" s="857">
        <f t="shared" si="208"/>
        <v>0</v>
      </c>
      <c r="ORX64" s="857">
        <f t="shared" si="208"/>
        <v>0</v>
      </c>
      <c r="ORY64" s="857">
        <f t="shared" si="208"/>
        <v>0</v>
      </c>
      <c r="ORZ64" s="857">
        <f t="shared" si="208"/>
        <v>0</v>
      </c>
      <c r="OSA64" s="857">
        <f t="shared" si="208"/>
        <v>0</v>
      </c>
      <c r="OSB64" s="857">
        <f t="shared" si="208"/>
        <v>0</v>
      </c>
      <c r="OSC64" s="857">
        <f t="shared" si="208"/>
        <v>0</v>
      </c>
      <c r="OSD64" s="857">
        <f t="shared" si="208"/>
        <v>0</v>
      </c>
      <c r="OSE64" s="857">
        <f t="shared" si="208"/>
        <v>0</v>
      </c>
      <c r="OSF64" s="857">
        <f t="shared" si="208"/>
        <v>0</v>
      </c>
      <c r="OSG64" s="857">
        <f t="shared" si="208"/>
        <v>0</v>
      </c>
      <c r="OSH64" s="857">
        <f t="shared" si="208"/>
        <v>0</v>
      </c>
      <c r="OSI64" s="857">
        <f t="shared" si="208"/>
        <v>0</v>
      </c>
      <c r="OSJ64" s="857">
        <f t="shared" si="208"/>
        <v>0</v>
      </c>
      <c r="OSK64" s="857">
        <f t="shared" si="208"/>
        <v>0</v>
      </c>
      <c r="OSL64" s="857">
        <f t="shared" si="208"/>
        <v>0</v>
      </c>
      <c r="OSM64" s="857">
        <f t="shared" si="208"/>
        <v>0</v>
      </c>
      <c r="OSN64" s="857">
        <f t="shared" si="208"/>
        <v>0</v>
      </c>
      <c r="OSO64" s="857">
        <f t="shared" si="208"/>
        <v>0</v>
      </c>
      <c r="OSP64" s="857">
        <f t="shared" si="208"/>
        <v>0</v>
      </c>
      <c r="OSQ64" s="857">
        <f t="shared" si="208"/>
        <v>0</v>
      </c>
      <c r="OSR64" s="857">
        <f t="shared" si="208"/>
        <v>0</v>
      </c>
      <c r="OSS64" s="857">
        <f t="shared" si="208"/>
        <v>0</v>
      </c>
      <c r="OST64" s="857">
        <f t="shared" si="208"/>
        <v>0</v>
      </c>
      <c r="OSU64" s="857">
        <f t="shared" si="208"/>
        <v>0</v>
      </c>
      <c r="OSV64" s="857">
        <f t="shared" si="208"/>
        <v>0</v>
      </c>
      <c r="OSW64" s="857">
        <f t="shared" si="208"/>
        <v>0</v>
      </c>
      <c r="OSX64" s="857">
        <f t="shared" si="208"/>
        <v>0</v>
      </c>
      <c r="OSY64" s="857">
        <f t="shared" si="208"/>
        <v>0</v>
      </c>
      <c r="OSZ64" s="857">
        <f t="shared" si="208"/>
        <v>0</v>
      </c>
      <c r="OTA64" s="857">
        <f t="shared" si="208"/>
        <v>0</v>
      </c>
      <c r="OTB64" s="857">
        <f t="shared" si="208"/>
        <v>0</v>
      </c>
      <c r="OTC64" s="857">
        <f t="shared" si="208"/>
        <v>0</v>
      </c>
      <c r="OTD64" s="857">
        <f t="shared" si="208"/>
        <v>0</v>
      </c>
      <c r="OTE64" s="857">
        <f t="shared" si="208"/>
        <v>0</v>
      </c>
      <c r="OTF64" s="857">
        <f t="shared" si="208"/>
        <v>0</v>
      </c>
      <c r="OTG64" s="857">
        <f t="shared" si="208"/>
        <v>0</v>
      </c>
      <c r="OTH64" s="857">
        <f t="shared" si="208"/>
        <v>0</v>
      </c>
      <c r="OTI64" s="857">
        <f t="shared" si="208"/>
        <v>0</v>
      </c>
      <c r="OTJ64" s="857">
        <f t="shared" si="208"/>
        <v>0</v>
      </c>
      <c r="OTK64" s="857">
        <f t="shared" si="208"/>
        <v>0</v>
      </c>
      <c r="OTL64" s="857">
        <f t="shared" si="208"/>
        <v>0</v>
      </c>
      <c r="OTM64" s="857">
        <f t="shared" si="208"/>
        <v>0</v>
      </c>
      <c r="OTN64" s="857">
        <f t="shared" si="208"/>
        <v>0</v>
      </c>
      <c r="OTO64" s="857">
        <f t="shared" si="208"/>
        <v>0</v>
      </c>
      <c r="OTP64" s="857">
        <f t="shared" si="208"/>
        <v>0</v>
      </c>
      <c r="OTQ64" s="857">
        <f t="shared" si="208"/>
        <v>0</v>
      </c>
      <c r="OTR64" s="857">
        <f t="shared" si="208"/>
        <v>0</v>
      </c>
      <c r="OTS64" s="857">
        <f t="shared" si="208"/>
        <v>0</v>
      </c>
      <c r="OTT64" s="857">
        <f t="shared" si="208"/>
        <v>0</v>
      </c>
      <c r="OTU64" s="857">
        <f t="shared" si="208"/>
        <v>0</v>
      </c>
      <c r="OTV64" s="857">
        <f t="shared" si="208"/>
        <v>0</v>
      </c>
      <c r="OTW64" s="857">
        <f t="shared" si="208"/>
        <v>0</v>
      </c>
      <c r="OTX64" s="857">
        <f t="shared" si="208"/>
        <v>0</v>
      </c>
      <c r="OTY64" s="857">
        <f t="shared" si="208"/>
        <v>0</v>
      </c>
      <c r="OTZ64" s="857">
        <f t="shared" si="208"/>
        <v>0</v>
      </c>
      <c r="OUA64" s="857">
        <f t="shared" si="208"/>
        <v>0</v>
      </c>
      <c r="OUB64" s="857">
        <f t="shared" si="208"/>
        <v>0</v>
      </c>
      <c r="OUC64" s="857">
        <f t="shared" si="208"/>
        <v>0</v>
      </c>
      <c r="OUD64" s="857">
        <f t="shared" si="208"/>
        <v>0</v>
      </c>
      <c r="OUE64" s="857">
        <f t="shared" si="208"/>
        <v>0</v>
      </c>
      <c r="OUF64" s="857">
        <f t="shared" si="208"/>
        <v>0</v>
      </c>
      <c r="OUG64" s="857">
        <f t="shared" si="208"/>
        <v>0</v>
      </c>
      <c r="OUH64" s="857">
        <f t="shared" ref="OUH64:OWS64" si="209">(OUH57-OUH59)*$C$64</f>
        <v>0</v>
      </c>
      <c r="OUI64" s="857">
        <f t="shared" si="209"/>
        <v>0</v>
      </c>
      <c r="OUJ64" s="857">
        <f t="shared" si="209"/>
        <v>0</v>
      </c>
      <c r="OUK64" s="857">
        <f t="shared" si="209"/>
        <v>0</v>
      </c>
      <c r="OUL64" s="857">
        <f t="shared" si="209"/>
        <v>0</v>
      </c>
      <c r="OUM64" s="857">
        <f t="shared" si="209"/>
        <v>0</v>
      </c>
      <c r="OUN64" s="857">
        <f t="shared" si="209"/>
        <v>0</v>
      </c>
      <c r="OUO64" s="857">
        <f t="shared" si="209"/>
        <v>0</v>
      </c>
      <c r="OUP64" s="857">
        <f t="shared" si="209"/>
        <v>0</v>
      </c>
      <c r="OUQ64" s="857">
        <f t="shared" si="209"/>
        <v>0</v>
      </c>
      <c r="OUR64" s="857">
        <f t="shared" si="209"/>
        <v>0</v>
      </c>
      <c r="OUS64" s="857">
        <f t="shared" si="209"/>
        <v>0</v>
      </c>
      <c r="OUT64" s="857">
        <f t="shared" si="209"/>
        <v>0</v>
      </c>
      <c r="OUU64" s="857">
        <f t="shared" si="209"/>
        <v>0</v>
      </c>
      <c r="OUV64" s="857">
        <f t="shared" si="209"/>
        <v>0</v>
      </c>
      <c r="OUW64" s="857">
        <f t="shared" si="209"/>
        <v>0</v>
      </c>
      <c r="OUX64" s="857">
        <f t="shared" si="209"/>
        <v>0</v>
      </c>
      <c r="OUY64" s="857">
        <f t="shared" si="209"/>
        <v>0</v>
      </c>
      <c r="OUZ64" s="857">
        <f t="shared" si="209"/>
        <v>0</v>
      </c>
      <c r="OVA64" s="857">
        <f t="shared" si="209"/>
        <v>0</v>
      </c>
      <c r="OVB64" s="857">
        <f t="shared" si="209"/>
        <v>0</v>
      </c>
      <c r="OVC64" s="857">
        <f t="shared" si="209"/>
        <v>0</v>
      </c>
      <c r="OVD64" s="857">
        <f t="shared" si="209"/>
        <v>0</v>
      </c>
      <c r="OVE64" s="857">
        <f t="shared" si="209"/>
        <v>0</v>
      </c>
      <c r="OVF64" s="857">
        <f t="shared" si="209"/>
        <v>0</v>
      </c>
      <c r="OVG64" s="857">
        <f t="shared" si="209"/>
        <v>0</v>
      </c>
      <c r="OVH64" s="857">
        <f t="shared" si="209"/>
        <v>0</v>
      </c>
      <c r="OVI64" s="857">
        <f t="shared" si="209"/>
        <v>0</v>
      </c>
      <c r="OVJ64" s="857">
        <f t="shared" si="209"/>
        <v>0</v>
      </c>
      <c r="OVK64" s="857">
        <f t="shared" si="209"/>
        <v>0</v>
      </c>
      <c r="OVL64" s="857">
        <f t="shared" si="209"/>
        <v>0</v>
      </c>
      <c r="OVM64" s="857">
        <f t="shared" si="209"/>
        <v>0</v>
      </c>
      <c r="OVN64" s="857">
        <f t="shared" si="209"/>
        <v>0</v>
      </c>
      <c r="OVO64" s="857">
        <f t="shared" si="209"/>
        <v>0</v>
      </c>
      <c r="OVP64" s="857">
        <f t="shared" si="209"/>
        <v>0</v>
      </c>
      <c r="OVQ64" s="857">
        <f t="shared" si="209"/>
        <v>0</v>
      </c>
      <c r="OVR64" s="857">
        <f t="shared" si="209"/>
        <v>0</v>
      </c>
      <c r="OVS64" s="857">
        <f t="shared" si="209"/>
        <v>0</v>
      </c>
      <c r="OVT64" s="857">
        <f t="shared" si="209"/>
        <v>0</v>
      </c>
      <c r="OVU64" s="857">
        <f t="shared" si="209"/>
        <v>0</v>
      </c>
      <c r="OVV64" s="857">
        <f t="shared" si="209"/>
        <v>0</v>
      </c>
      <c r="OVW64" s="857">
        <f t="shared" si="209"/>
        <v>0</v>
      </c>
      <c r="OVX64" s="857">
        <f t="shared" si="209"/>
        <v>0</v>
      </c>
      <c r="OVY64" s="857">
        <f t="shared" si="209"/>
        <v>0</v>
      </c>
      <c r="OVZ64" s="857">
        <f t="shared" si="209"/>
        <v>0</v>
      </c>
      <c r="OWA64" s="857">
        <f t="shared" si="209"/>
        <v>0</v>
      </c>
      <c r="OWB64" s="857">
        <f t="shared" si="209"/>
        <v>0</v>
      </c>
      <c r="OWC64" s="857">
        <f t="shared" si="209"/>
        <v>0</v>
      </c>
      <c r="OWD64" s="857">
        <f t="shared" si="209"/>
        <v>0</v>
      </c>
      <c r="OWE64" s="857">
        <f t="shared" si="209"/>
        <v>0</v>
      </c>
      <c r="OWF64" s="857">
        <f t="shared" si="209"/>
        <v>0</v>
      </c>
      <c r="OWG64" s="857">
        <f t="shared" si="209"/>
        <v>0</v>
      </c>
      <c r="OWH64" s="857">
        <f t="shared" si="209"/>
        <v>0</v>
      </c>
      <c r="OWI64" s="857">
        <f t="shared" si="209"/>
        <v>0</v>
      </c>
      <c r="OWJ64" s="857">
        <f t="shared" si="209"/>
        <v>0</v>
      </c>
      <c r="OWK64" s="857">
        <f t="shared" si="209"/>
        <v>0</v>
      </c>
      <c r="OWL64" s="857">
        <f t="shared" si="209"/>
        <v>0</v>
      </c>
      <c r="OWM64" s="857">
        <f t="shared" si="209"/>
        <v>0</v>
      </c>
      <c r="OWN64" s="857">
        <f t="shared" si="209"/>
        <v>0</v>
      </c>
      <c r="OWO64" s="857">
        <f t="shared" si="209"/>
        <v>0</v>
      </c>
      <c r="OWP64" s="857">
        <f t="shared" si="209"/>
        <v>0</v>
      </c>
      <c r="OWQ64" s="857">
        <f t="shared" si="209"/>
        <v>0</v>
      </c>
      <c r="OWR64" s="857">
        <f t="shared" si="209"/>
        <v>0</v>
      </c>
      <c r="OWS64" s="857">
        <f t="shared" si="209"/>
        <v>0</v>
      </c>
      <c r="OWT64" s="857">
        <f t="shared" ref="OWT64:OZE64" si="210">(OWT57-OWT59)*$C$64</f>
        <v>0</v>
      </c>
      <c r="OWU64" s="857">
        <f t="shared" si="210"/>
        <v>0</v>
      </c>
      <c r="OWV64" s="857">
        <f t="shared" si="210"/>
        <v>0</v>
      </c>
      <c r="OWW64" s="857">
        <f t="shared" si="210"/>
        <v>0</v>
      </c>
      <c r="OWX64" s="857">
        <f t="shared" si="210"/>
        <v>0</v>
      </c>
      <c r="OWY64" s="857">
        <f t="shared" si="210"/>
        <v>0</v>
      </c>
      <c r="OWZ64" s="857">
        <f t="shared" si="210"/>
        <v>0</v>
      </c>
      <c r="OXA64" s="857">
        <f t="shared" si="210"/>
        <v>0</v>
      </c>
      <c r="OXB64" s="857">
        <f t="shared" si="210"/>
        <v>0</v>
      </c>
      <c r="OXC64" s="857">
        <f t="shared" si="210"/>
        <v>0</v>
      </c>
      <c r="OXD64" s="857">
        <f t="shared" si="210"/>
        <v>0</v>
      </c>
      <c r="OXE64" s="857">
        <f t="shared" si="210"/>
        <v>0</v>
      </c>
      <c r="OXF64" s="857">
        <f t="shared" si="210"/>
        <v>0</v>
      </c>
      <c r="OXG64" s="857">
        <f t="shared" si="210"/>
        <v>0</v>
      </c>
      <c r="OXH64" s="857">
        <f t="shared" si="210"/>
        <v>0</v>
      </c>
      <c r="OXI64" s="857">
        <f t="shared" si="210"/>
        <v>0</v>
      </c>
      <c r="OXJ64" s="857">
        <f t="shared" si="210"/>
        <v>0</v>
      </c>
      <c r="OXK64" s="857">
        <f t="shared" si="210"/>
        <v>0</v>
      </c>
      <c r="OXL64" s="857">
        <f t="shared" si="210"/>
        <v>0</v>
      </c>
      <c r="OXM64" s="857">
        <f t="shared" si="210"/>
        <v>0</v>
      </c>
      <c r="OXN64" s="857">
        <f t="shared" si="210"/>
        <v>0</v>
      </c>
      <c r="OXO64" s="857">
        <f t="shared" si="210"/>
        <v>0</v>
      </c>
      <c r="OXP64" s="857">
        <f t="shared" si="210"/>
        <v>0</v>
      </c>
      <c r="OXQ64" s="857">
        <f t="shared" si="210"/>
        <v>0</v>
      </c>
      <c r="OXR64" s="857">
        <f t="shared" si="210"/>
        <v>0</v>
      </c>
      <c r="OXS64" s="857">
        <f t="shared" si="210"/>
        <v>0</v>
      </c>
      <c r="OXT64" s="857">
        <f t="shared" si="210"/>
        <v>0</v>
      </c>
      <c r="OXU64" s="857">
        <f t="shared" si="210"/>
        <v>0</v>
      </c>
      <c r="OXV64" s="857">
        <f t="shared" si="210"/>
        <v>0</v>
      </c>
      <c r="OXW64" s="857">
        <f t="shared" si="210"/>
        <v>0</v>
      </c>
      <c r="OXX64" s="857">
        <f t="shared" si="210"/>
        <v>0</v>
      </c>
      <c r="OXY64" s="857">
        <f t="shared" si="210"/>
        <v>0</v>
      </c>
      <c r="OXZ64" s="857">
        <f t="shared" si="210"/>
        <v>0</v>
      </c>
      <c r="OYA64" s="857">
        <f t="shared" si="210"/>
        <v>0</v>
      </c>
      <c r="OYB64" s="857">
        <f t="shared" si="210"/>
        <v>0</v>
      </c>
      <c r="OYC64" s="857">
        <f t="shared" si="210"/>
        <v>0</v>
      </c>
      <c r="OYD64" s="857">
        <f t="shared" si="210"/>
        <v>0</v>
      </c>
      <c r="OYE64" s="857">
        <f t="shared" si="210"/>
        <v>0</v>
      </c>
      <c r="OYF64" s="857">
        <f t="shared" si="210"/>
        <v>0</v>
      </c>
      <c r="OYG64" s="857">
        <f t="shared" si="210"/>
        <v>0</v>
      </c>
      <c r="OYH64" s="857">
        <f t="shared" si="210"/>
        <v>0</v>
      </c>
      <c r="OYI64" s="857">
        <f t="shared" si="210"/>
        <v>0</v>
      </c>
      <c r="OYJ64" s="857">
        <f t="shared" si="210"/>
        <v>0</v>
      </c>
      <c r="OYK64" s="857">
        <f t="shared" si="210"/>
        <v>0</v>
      </c>
      <c r="OYL64" s="857">
        <f t="shared" si="210"/>
        <v>0</v>
      </c>
      <c r="OYM64" s="857">
        <f t="shared" si="210"/>
        <v>0</v>
      </c>
      <c r="OYN64" s="857">
        <f t="shared" si="210"/>
        <v>0</v>
      </c>
      <c r="OYO64" s="857">
        <f t="shared" si="210"/>
        <v>0</v>
      </c>
      <c r="OYP64" s="857">
        <f t="shared" si="210"/>
        <v>0</v>
      </c>
      <c r="OYQ64" s="857">
        <f t="shared" si="210"/>
        <v>0</v>
      </c>
      <c r="OYR64" s="857">
        <f t="shared" si="210"/>
        <v>0</v>
      </c>
      <c r="OYS64" s="857">
        <f t="shared" si="210"/>
        <v>0</v>
      </c>
      <c r="OYT64" s="857">
        <f t="shared" si="210"/>
        <v>0</v>
      </c>
      <c r="OYU64" s="857">
        <f t="shared" si="210"/>
        <v>0</v>
      </c>
      <c r="OYV64" s="857">
        <f t="shared" si="210"/>
        <v>0</v>
      </c>
      <c r="OYW64" s="857">
        <f t="shared" si="210"/>
        <v>0</v>
      </c>
      <c r="OYX64" s="857">
        <f t="shared" si="210"/>
        <v>0</v>
      </c>
      <c r="OYY64" s="857">
        <f t="shared" si="210"/>
        <v>0</v>
      </c>
      <c r="OYZ64" s="857">
        <f t="shared" si="210"/>
        <v>0</v>
      </c>
      <c r="OZA64" s="857">
        <f t="shared" si="210"/>
        <v>0</v>
      </c>
      <c r="OZB64" s="857">
        <f t="shared" si="210"/>
        <v>0</v>
      </c>
      <c r="OZC64" s="857">
        <f t="shared" si="210"/>
        <v>0</v>
      </c>
      <c r="OZD64" s="857">
        <f t="shared" si="210"/>
        <v>0</v>
      </c>
      <c r="OZE64" s="857">
        <f t="shared" si="210"/>
        <v>0</v>
      </c>
      <c r="OZF64" s="857">
        <f t="shared" ref="OZF64:PBQ64" si="211">(OZF57-OZF59)*$C$64</f>
        <v>0</v>
      </c>
      <c r="OZG64" s="857">
        <f t="shared" si="211"/>
        <v>0</v>
      </c>
      <c r="OZH64" s="857">
        <f t="shared" si="211"/>
        <v>0</v>
      </c>
      <c r="OZI64" s="857">
        <f t="shared" si="211"/>
        <v>0</v>
      </c>
      <c r="OZJ64" s="857">
        <f t="shared" si="211"/>
        <v>0</v>
      </c>
      <c r="OZK64" s="857">
        <f t="shared" si="211"/>
        <v>0</v>
      </c>
      <c r="OZL64" s="857">
        <f t="shared" si="211"/>
        <v>0</v>
      </c>
      <c r="OZM64" s="857">
        <f t="shared" si="211"/>
        <v>0</v>
      </c>
      <c r="OZN64" s="857">
        <f t="shared" si="211"/>
        <v>0</v>
      </c>
      <c r="OZO64" s="857">
        <f t="shared" si="211"/>
        <v>0</v>
      </c>
      <c r="OZP64" s="857">
        <f t="shared" si="211"/>
        <v>0</v>
      </c>
      <c r="OZQ64" s="857">
        <f t="shared" si="211"/>
        <v>0</v>
      </c>
      <c r="OZR64" s="857">
        <f t="shared" si="211"/>
        <v>0</v>
      </c>
      <c r="OZS64" s="857">
        <f t="shared" si="211"/>
        <v>0</v>
      </c>
      <c r="OZT64" s="857">
        <f t="shared" si="211"/>
        <v>0</v>
      </c>
      <c r="OZU64" s="857">
        <f t="shared" si="211"/>
        <v>0</v>
      </c>
      <c r="OZV64" s="857">
        <f t="shared" si="211"/>
        <v>0</v>
      </c>
      <c r="OZW64" s="857">
        <f t="shared" si="211"/>
        <v>0</v>
      </c>
      <c r="OZX64" s="857">
        <f t="shared" si="211"/>
        <v>0</v>
      </c>
      <c r="OZY64" s="857">
        <f t="shared" si="211"/>
        <v>0</v>
      </c>
      <c r="OZZ64" s="857">
        <f t="shared" si="211"/>
        <v>0</v>
      </c>
      <c r="PAA64" s="857">
        <f t="shared" si="211"/>
        <v>0</v>
      </c>
      <c r="PAB64" s="857">
        <f t="shared" si="211"/>
        <v>0</v>
      </c>
      <c r="PAC64" s="857">
        <f t="shared" si="211"/>
        <v>0</v>
      </c>
      <c r="PAD64" s="857">
        <f t="shared" si="211"/>
        <v>0</v>
      </c>
      <c r="PAE64" s="857">
        <f t="shared" si="211"/>
        <v>0</v>
      </c>
      <c r="PAF64" s="857">
        <f t="shared" si="211"/>
        <v>0</v>
      </c>
      <c r="PAG64" s="857">
        <f t="shared" si="211"/>
        <v>0</v>
      </c>
      <c r="PAH64" s="857">
        <f t="shared" si="211"/>
        <v>0</v>
      </c>
      <c r="PAI64" s="857">
        <f t="shared" si="211"/>
        <v>0</v>
      </c>
      <c r="PAJ64" s="857">
        <f t="shared" si="211"/>
        <v>0</v>
      </c>
      <c r="PAK64" s="857">
        <f t="shared" si="211"/>
        <v>0</v>
      </c>
      <c r="PAL64" s="857">
        <f t="shared" si="211"/>
        <v>0</v>
      </c>
      <c r="PAM64" s="857">
        <f t="shared" si="211"/>
        <v>0</v>
      </c>
      <c r="PAN64" s="857">
        <f t="shared" si="211"/>
        <v>0</v>
      </c>
      <c r="PAO64" s="857">
        <f t="shared" si="211"/>
        <v>0</v>
      </c>
      <c r="PAP64" s="857">
        <f t="shared" si="211"/>
        <v>0</v>
      </c>
      <c r="PAQ64" s="857">
        <f t="shared" si="211"/>
        <v>0</v>
      </c>
      <c r="PAR64" s="857">
        <f t="shared" si="211"/>
        <v>0</v>
      </c>
      <c r="PAS64" s="857">
        <f t="shared" si="211"/>
        <v>0</v>
      </c>
      <c r="PAT64" s="857">
        <f t="shared" si="211"/>
        <v>0</v>
      </c>
      <c r="PAU64" s="857">
        <f t="shared" si="211"/>
        <v>0</v>
      </c>
      <c r="PAV64" s="857">
        <f t="shared" si="211"/>
        <v>0</v>
      </c>
      <c r="PAW64" s="857">
        <f t="shared" si="211"/>
        <v>0</v>
      </c>
      <c r="PAX64" s="857">
        <f t="shared" si="211"/>
        <v>0</v>
      </c>
      <c r="PAY64" s="857">
        <f t="shared" si="211"/>
        <v>0</v>
      </c>
      <c r="PAZ64" s="857">
        <f t="shared" si="211"/>
        <v>0</v>
      </c>
      <c r="PBA64" s="857">
        <f t="shared" si="211"/>
        <v>0</v>
      </c>
      <c r="PBB64" s="857">
        <f t="shared" si="211"/>
        <v>0</v>
      </c>
      <c r="PBC64" s="857">
        <f t="shared" si="211"/>
        <v>0</v>
      </c>
      <c r="PBD64" s="857">
        <f t="shared" si="211"/>
        <v>0</v>
      </c>
      <c r="PBE64" s="857">
        <f t="shared" si="211"/>
        <v>0</v>
      </c>
      <c r="PBF64" s="857">
        <f t="shared" si="211"/>
        <v>0</v>
      </c>
      <c r="PBG64" s="857">
        <f t="shared" si="211"/>
        <v>0</v>
      </c>
      <c r="PBH64" s="857">
        <f t="shared" si="211"/>
        <v>0</v>
      </c>
      <c r="PBI64" s="857">
        <f t="shared" si="211"/>
        <v>0</v>
      </c>
      <c r="PBJ64" s="857">
        <f t="shared" si="211"/>
        <v>0</v>
      </c>
      <c r="PBK64" s="857">
        <f t="shared" si="211"/>
        <v>0</v>
      </c>
      <c r="PBL64" s="857">
        <f t="shared" si="211"/>
        <v>0</v>
      </c>
      <c r="PBM64" s="857">
        <f t="shared" si="211"/>
        <v>0</v>
      </c>
      <c r="PBN64" s="857">
        <f t="shared" si="211"/>
        <v>0</v>
      </c>
      <c r="PBO64" s="857">
        <f t="shared" si="211"/>
        <v>0</v>
      </c>
      <c r="PBP64" s="857">
        <f t="shared" si="211"/>
        <v>0</v>
      </c>
      <c r="PBQ64" s="857">
        <f t="shared" si="211"/>
        <v>0</v>
      </c>
      <c r="PBR64" s="857">
        <f t="shared" ref="PBR64:PEC64" si="212">(PBR57-PBR59)*$C$64</f>
        <v>0</v>
      </c>
      <c r="PBS64" s="857">
        <f t="shared" si="212"/>
        <v>0</v>
      </c>
      <c r="PBT64" s="857">
        <f t="shared" si="212"/>
        <v>0</v>
      </c>
      <c r="PBU64" s="857">
        <f t="shared" si="212"/>
        <v>0</v>
      </c>
      <c r="PBV64" s="857">
        <f t="shared" si="212"/>
        <v>0</v>
      </c>
      <c r="PBW64" s="857">
        <f t="shared" si="212"/>
        <v>0</v>
      </c>
      <c r="PBX64" s="857">
        <f t="shared" si="212"/>
        <v>0</v>
      </c>
      <c r="PBY64" s="857">
        <f t="shared" si="212"/>
        <v>0</v>
      </c>
      <c r="PBZ64" s="857">
        <f t="shared" si="212"/>
        <v>0</v>
      </c>
      <c r="PCA64" s="857">
        <f t="shared" si="212"/>
        <v>0</v>
      </c>
      <c r="PCB64" s="857">
        <f t="shared" si="212"/>
        <v>0</v>
      </c>
      <c r="PCC64" s="857">
        <f t="shared" si="212"/>
        <v>0</v>
      </c>
      <c r="PCD64" s="857">
        <f t="shared" si="212"/>
        <v>0</v>
      </c>
      <c r="PCE64" s="857">
        <f t="shared" si="212"/>
        <v>0</v>
      </c>
      <c r="PCF64" s="857">
        <f t="shared" si="212"/>
        <v>0</v>
      </c>
      <c r="PCG64" s="857">
        <f t="shared" si="212"/>
        <v>0</v>
      </c>
      <c r="PCH64" s="857">
        <f t="shared" si="212"/>
        <v>0</v>
      </c>
      <c r="PCI64" s="857">
        <f t="shared" si="212"/>
        <v>0</v>
      </c>
      <c r="PCJ64" s="857">
        <f t="shared" si="212"/>
        <v>0</v>
      </c>
      <c r="PCK64" s="857">
        <f t="shared" si="212"/>
        <v>0</v>
      </c>
      <c r="PCL64" s="857">
        <f t="shared" si="212"/>
        <v>0</v>
      </c>
      <c r="PCM64" s="857">
        <f t="shared" si="212"/>
        <v>0</v>
      </c>
      <c r="PCN64" s="857">
        <f t="shared" si="212"/>
        <v>0</v>
      </c>
      <c r="PCO64" s="857">
        <f t="shared" si="212"/>
        <v>0</v>
      </c>
      <c r="PCP64" s="857">
        <f t="shared" si="212"/>
        <v>0</v>
      </c>
      <c r="PCQ64" s="857">
        <f t="shared" si="212"/>
        <v>0</v>
      </c>
      <c r="PCR64" s="857">
        <f t="shared" si="212"/>
        <v>0</v>
      </c>
      <c r="PCS64" s="857">
        <f t="shared" si="212"/>
        <v>0</v>
      </c>
      <c r="PCT64" s="857">
        <f t="shared" si="212"/>
        <v>0</v>
      </c>
      <c r="PCU64" s="857">
        <f t="shared" si="212"/>
        <v>0</v>
      </c>
      <c r="PCV64" s="857">
        <f t="shared" si="212"/>
        <v>0</v>
      </c>
      <c r="PCW64" s="857">
        <f t="shared" si="212"/>
        <v>0</v>
      </c>
      <c r="PCX64" s="857">
        <f t="shared" si="212"/>
        <v>0</v>
      </c>
      <c r="PCY64" s="857">
        <f t="shared" si="212"/>
        <v>0</v>
      </c>
      <c r="PCZ64" s="857">
        <f t="shared" si="212"/>
        <v>0</v>
      </c>
      <c r="PDA64" s="857">
        <f t="shared" si="212"/>
        <v>0</v>
      </c>
      <c r="PDB64" s="857">
        <f t="shared" si="212"/>
        <v>0</v>
      </c>
      <c r="PDC64" s="857">
        <f t="shared" si="212"/>
        <v>0</v>
      </c>
      <c r="PDD64" s="857">
        <f t="shared" si="212"/>
        <v>0</v>
      </c>
      <c r="PDE64" s="857">
        <f t="shared" si="212"/>
        <v>0</v>
      </c>
      <c r="PDF64" s="857">
        <f t="shared" si="212"/>
        <v>0</v>
      </c>
      <c r="PDG64" s="857">
        <f t="shared" si="212"/>
        <v>0</v>
      </c>
      <c r="PDH64" s="857">
        <f t="shared" si="212"/>
        <v>0</v>
      </c>
      <c r="PDI64" s="857">
        <f t="shared" si="212"/>
        <v>0</v>
      </c>
      <c r="PDJ64" s="857">
        <f t="shared" si="212"/>
        <v>0</v>
      </c>
      <c r="PDK64" s="857">
        <f t="shared" si="212"/>
        <v>0</v>
      </c>
      <c r="PDL64" s="857">
        <f t="shared" si="212"/>
        <v>0</v>
      </c>
      <c r="PDM64" s="857">
        <f t="shared" si="212"/>
        <v>0</v>
      </c>
      <c r="PDN64" s="857">
        <f t="shared" si="212"/>
        <v>0</v>
      </c>
      <c r="PDO64" s="857">
        <f t="shared" si="212"/>
        <v>0</v>
      </c>
      <c r="PDP64" s="857">
        <f t="shared" si="212"/>
        <v>0</v>
      </c>
      <c r="PDQ64" s="857">
        <f t="shared" si="212"/>
        <v>0</v>
      </c>
      <c r="PDR64" s="857">
        <f t="shared" si="212"/>
        <v>0</v>
      </c>
      <c r="PDS64" s="857">
        <f t="shared" si="212"/>
        <v>0</v>
      </c>
      <c r="PDT64" s="857">
        <f t="shared" si="212"/>
        <v>0</v>
      </c>
      <c r="PDU64" s="857">
        <f t="shared" si="212"/>
        <v>0</v>
      </c>
      <c r="PDV64" s="857">
        <f t="shared" si="212"/>
        <v>0</v>
      </c>
      <c r="PDW64" s="857">
        <f t="shared" si="212"/>
        <v>0</v>
      </c>
      <c r="PDX64" s="857">
        <f t="shared" si="212"/>
        <v>0</v>
      </c>
      <c r="PDY64" s="857">
        <f t="shared" si="212"/>
        <v>0</v>
      </c>
      <c r="PDZ64" s="857">
        <f t="shared" si="212"/>
        <v>0</v>
      </c>
      <c r="PEA64" s="857">
        <f t="shared" si="212"/>
        <v>0</v>
      </c>
      <c r="PEB64" s="857">
        <f t="shared" si="212"/>
        <v>0</v>
      </c>
      <c r="PEC64" s="857">
        <f t="shared" si="212"/>
        <v>0</v>
      </c>
      <c r="PED64" s="857">
        <f t="shared" ref="PED64:PGO64" si="213">(PED57-PED59)*$C$64</f>
        <v>0</v>
      </c>
      <c r="PEE64" s="857">
        <f t="shared" si="213"/>
        <v>0</v>
      </c>
      <c r="PEF64" s="857">
        <f t="shared" si="213"/>
        <v>0</v>
      </c>
      <c r="PEG64" s="857">
        <f t="shared" si="213"/>
        <v>0</v>
      </c>
      <c r="PEH64" s="857">
        <f t="shared" si="213"/>
        <v>0</v>
      </c>
      <c r="PEI64" s="857">
        <f t="shared" si="213"/>
        <v>0</v>
      </c>
      <c r="PEJ64" s="857">
        <f t="shared" si="213"/>
        <v>0</v>
      </c>
      <c r="PEK64" s="857">
        <f t="shared" si="213"/>
        <v>0</v>
      </c>
      <c r="PEL64" s="857">
        <f t="shared" si="213"/>
        <v>0</v>
      </c>
      <c r="PEM64" s="857">
        <f t="shared" si="213"/>
        <v>0</v>
      </c>
      <c r="PEN64" s="857">
        <f t="shared" si="213"/>
        <v>0</v>
      </c>
      <c r="PEO64" s="857">
        <f t="shared" si="213"/>
        <v>0</v>
      </c>
      <c r="PEP64" s="857">
        <f t="shared" si="213"/>
        <v>0</v>
      </c>
      <c r="PEQ64" s="857">
        <f t="shared" si="213"/>
        <v>0</v>
      </c>
      <c r="PER64" s="857">
        <f t="shared" si="213"/>
        <v>0</v>
      </c>
      <c r="PES64" s="857">
        <f t="shared" si="213"/>
        <v>0</v>
      </c>
      <c r="PET64" s="857">
        <f t="shared" si="213"/>
        <v>0</v>
      </c>
      <c r="PEU64" s="857">
        <f t="shared" si="213"/>
        <v>0</v>
      </c>
      <c r="PEV64" s="857">
        <f t="shared" si="213"/>
        <v>0</v>
      </c>
      <c r="PEW64" s="857">
        <f t="shared" si="213"/>
        <v>0</v>
      </c>
      <c r="PEX64" s="857">
        <f t="shared" si="213"/>
        <v>0</v>
      </c>
      <c r="PEY64" s="857">
        <f t="shared" si="213"/>
        <v>0</v>
      </c>
      <c r="PEZ64" s="857">
        <f t="shared" si="213"/>
        <v>0</v>
      </c>
      <c r="PFA64" s="857">
        <f t="shared" si="213"/>
        <v>0</v>
      </c>
      <c r="PFB64" s="857">
        <f t="shared" si="213"/>
        <v>0</v>
      </c>
      <c r="PFC64" s="857">
        <f t="shared" si="213"/>
        <v>0</v>
      </c>
      <c r="PFD64" s="857">
        <f t="shared" si="213"/>
        <v>0</v>
      </c>
      <c r="PFE64" s="857">
        <f t="shared" si="213"/>
        <v>0</v>
      </c>
      <c r="PFF64" s="857">
        <f t="shared" si="213"/>
        <v>0</v>
      </c>
      <c r="PFG64" s="857">
        <f t="shared" si="213"/>
        <v>0</v>
      </c>
      <c r="PFH64" s="857">
        <f t="shared" si="213"/>
        <v>0</v>
      </c>
      <c r="PFI64" s="857">
        <f t="shared" si="213"/>
        <v>0</v>
      </c>
      <c r="PFJ64" s="857">
        <f t="shared" si="213"/>
        <v>0</v>
      </c>
      <c r="PFK64" s="857">
        <f t="shared" si="213"/>
        <v>0</v>
      </c>
      <c r="PFL64" s="857">
        <f t="shared" si="213"/>
        <v>0</v>
      </c>
      <c r="PFM64" s="857">
        <f t="shared" si="213"/>
        <v>0</v>
      </c>
      <c r="PFN64" s="857">
        <f t="shared" si="213"/>
        <v>0</v>
      </c>
      <c r="PFO64" s="857">
        <f t="shared" si="213"/>
        <v>0</v>
      </c>
      <c r="PFP64" s="857">
        <f t="shared" si="213"/>
        <v>0</v>
      </c>
      <c r="PFQ64" s="857">
        <f t="shared" si="213"/>
        <v>0</v>
      </c>
      <c r="PFR64" s="857">
        <f t="shared" si="213"/>
        <v>0</v>
      </c>
      <c r="PFS64" s="857">
        <f t="shared" si="213"/>
        <v>0</v>
      </c>
      <c r="PFT64" s="857">
        <f t="shared" si="213"/>
        <v>0</v>
      </c>
      <c r="PFU64" s="857">
        <f t="shared" si="213"/>
        <v>0</v>
      </c>
      <c r="PFV64" s="857">
        <f t="shared" si="213"/>
        <v>0</v>
      </c>
      <c r="PFW64" s="857">
        <f t="shared" si="213"/>
        <v>0</v>
      </c>
      <c r="PFX64" s="857">
        <f t="shared" si="213"/>
        <v>0</v>
      </c>
      <c r="PFY64" s="857">
        <f t="shared" si="213"/>
        <v>0</v>
      </c>
      <c r="PFZ64" s="857">
        <f t="shared" si="213"/>
        <v>0</v>
      </c>
      <c r="PGA64" s="857">
        <f t="shared" si="213"/>
        <v>0</v>
      </c>
      <c r="PGB64" s="857">
        <f t="shared" si="213"/>
        <v>0</v>
      </c>
      <c r="PGC64" s="857">
        <f t="shared" si="213"/>
        <v>0</v>
      </c>
      <c r="PGD64" s="857">
        <f t="shared" si="213"/>
        <v>0</v>
      </c>
      <c r="PGE64" s="857">
        <f t="shared" si="213"/>
        <v>0</v>
      </c>
      <c r="PGF64" s="857">
        <f t="shared" si="213"/>
        <v>0</v>
      </c>
      <c r="PGG64" s="857">
        <f t="shared" si="213"/>
        <v>0</v>
      </c>
      <c r="PGH64" s="857">
        <f t="shared" si="213"/>
        <v>0</v>
      </c>
      <c r="PGI64" s="857">
        <f t="shared" si="213"/>
        <v>0</v>
      </c>
      <c r="PGJ64" s="857">
        <f t="shared" si="213"/>
        <v>0</v>
      </c>
      <c r="PGK64" s="857">
        <f t="shared" si="213"/>
        <v>0</v>
      </c>
      <c r="PGL64" s="857">
        <f t="shared" si="213"/>
        <v>0</v>
      </c>
      <c r="PGM64" s="857">
        <f t="shared" si="213"/>
        <v>0</v>
      </c>
      <c r="PGN64" s="857">
        <f t="shared" si="213"/>
        <v>0</v>
      </c>
      <c r="PGO64" s="857">
        <f t="shared" si="213"/>
        <v>0</v>
      </c>
      <c r="PGP64" s="857">
        <f t="shared" ref="PGP64:PJA64" si="214">(PGP57-PGP59)*$C$64</f>
        <v>0</v>
      </c>
      <c r="PGQ64" s="857">
        <f t="shared" si="214"/>
        <v>0</v>
      </c>
      <c r="PGR64" s="857">
        <f t="shared" si="214"/>
        <v>0</v>
      </c>
      <c r="PGS64" s="857">
        <f t="shared" si="214"/>
        <v>0</v>
      </c>
      <c r="PGT64" s="857">
        <f t="shared" si="214"/>
        <v>0</v>
      </c>
      <c r="PGU64" s="857">
        <f t="shared" si="214"/>
        <v>0</v>
      </c>
      <c r="PGV64" s="857">
        <f t="shared" si="214"/>
        <v>0</v>
      </c>
      <c r="PGW64" s="857">
        <f t="shared" si="214"/>
        <v>0</v>
      </c>
      <c r="PGX64" s="857">
        <f t="shared" si="214"/>
        <v>0</v>
      </c>
      <c r="PGY64" s="857">
        <f t="shared" si="214"/>
        <v>0</v>
      </c>
      <c r="PGZ64" s="857">
        <f t="shared" si="214"/>
        <v>0</v>
      </c>
      <c r="PHA64" s="857">
        <f t="shared" si="214"/>
        <v>0</v>
      </c>
      <c r="PHB64" s="857">
        <f t="shared" si="214"/>
        <v>0</v>
      </c>
      <c r="PHC64" s="857">
        <f t="shared" si="214"/>
        <v>0</v>
      </c>
      <c r="PHD64" s="857">
        <f t="shared" si="214"/>
        <v>0</v>
      </c>
      <c r="PHE64" s="857">
        <f t="shared" si="214"/>
        <v>0</v>
      </c>
      <c r="PHF64" s="857">
        <f t="shared" si="214"/>
        <v>0</v>
      </c>
      <c r="PHG64" s="857">
        <f t="shared" si="214"/>
        <v>0</v>
      </c>
      <c r="PHH64" s="857">
        <f t="shared" si="214"/>
        <v>0</v>
      </c>
      <c r="PHI64" s="857">
        <f t="shared" si="214"/>
        <v>0</v>
      </c>
      <c r="PHJ64" s="857">
        <f t="shared" si="214"/>
        <v>0</v>
      </c>
      <c r="PHK64" s="857">
        <f t="shared" si="214"/>
        <v>0</v>
      </c>
      <c r="PHL64" s="857">
        <f t="shared" si="214"/>
        <v>0</v>
      </c>
      <c r="PHM64" s="857">
        <f t="shared" si="214"/>
        <v>0</v>
      </c>
      <c r="PHN64" s="857">
        <f t="shared" si="214"/>
        <v>0</v>
      </c>
      <c r="PHO64" s="857">
        <f t="shared" si="214"/>
        <v>0</v>
      </c>
      <c r="PHP64" s="857">
        <f t="shared" si="214"/>
        <v>0</v>
      </c>
      <c r="PHQ64" s="857">
        <f t="shared" si="214"/>
        <v>0</v>
      </c>
      <c r="PHR64" s="857">
        <f t="shared" si="214"/>
        <v>0</v>
      </c>
      <c r="PHS64" s="857">
        <f t="shared" si="214"/>
        <v>0</v>
      </c>
      <c r="PHT64" s="857">
        <f t="shared" si="214"/>
        <v>0</v>
      </c>
      <c r="PHU64" s="857">
        <f t="shared" si="214"/>
        <v>0</v>
      </c>
      <c r="PHV64" s="857">
        <f t="shared" si="214"/>
        <v>0</v>
      </c>
      <c r="PHW64" s="857">
        <f t="shared" si="214"/>
        <v>0</v>
      </c>
      <c r="PHX64" s="857">
        <f t="shared" si="214"/>
        <v>0</v>
      </c>
      <c r="PHY64" s="857">
        <f t="shared" si="214"/>
        <v>0</v>
      </c>
      <c r="PHZ64" s="857">
        <f t="shared" si="214"/>
        <v>0</v>
      </c>
      <c r="PIA64" s="857">
        <f t="shared" si="214"/>
        <v>0</v>
      </c>
      <c r="PIB64" s="857">
        <f t="shared" si="214"/>
        <v>0</v>
      </c>
      <c r="PIC64" s="857">
        <f t="shared" si="214"/>
        <v>0</v>
      </c>
      <c r="PID64" s="857">
        <f t="shared" si="214"/>
        <v>0</v>
      </c>
      <c r="PIE64" s="857">
        <f t="shared" si="214"/>
        <v>0</v>
      </c>
      <c r="PIF64" s="857">
        <f t="shared" si="214"/>
        <v>0</v>
      </c>
      <c r="PIG64" s="857">
        <f t="shared" si="214"/>
        <v>0</v>
      </c>
      <c r="PIH64" s="857">
        <f t="shared" si="214"/>
        <v>0</v>
      </c>
      <c r="PII64" s="857">
        <f t="shared" si="214"/>
        <v>0</v>
      </c>
      <c r="PIJ64" s="857">
        <f t="shared" si="214"/>
        <v>0</v>
      </c>
      <c r="PIK64" s="857">
        <f t="shared" si="214"/>
        <v>0</v>
      </c>
      <c r="PIL64" s="857">
        <f t="shared" si="214"/>
        <v>0</v>
      </c>
      <c r="PIM64" s="857">
        <f t="shared" si="214"/>
        <v>0</v>
      </c>
      <c r="PIN64" s="857">
        <f t="shared" si="214"/>
        <v>0</v>
      </c>
      <c r="PIO64" s="857">
        <f t="shared" si="214"/>
        <v>0</v>
      </c>
      <c r="PIP64" s="857">
        <f t="shared" si="214"/>
        <v>0</v>
      </c>
      <c r="PIQ64" s="857">
        <f t="shared" si="214"/>
        <v>0</v>
      </c>
      <c r="PIR64" s="857">
        <f t="shared" si="214"/>
        <v>0</v>
      </c>
      <c r="PIS64" s="857">
        <f t="shared" si="214"/>
        <v>0</v>
      </c>
      <c r="PIT64" s="857">
        <f t="shared" si="214"/>
        <v>0</v>
      </c>
      <c r="PIU64" s="857">
        <f t="shared" si="214"/>
        <v>0</v>
      </c>
      <c r="PIV64" s="857">
        <f t="shared" si="214"/>
        <v>0</v>
      </c>
      <c r="PIW64" s="857">
        <f t="shared" si="214"/>
        <v>0</v>
      </c>
      <c r="PIX64" s="857">
        <f t="shared" si="214"/>
        <v>0</v>
      </c>
      <c r="PIY64" s="857">
        <f t="shared" si="214"/>
        <v>0</v>
      </c>
      <c r="PIZ64" s="857">
        <f t="shared" si="214"/>
        <v>0</v>
      </c>
      <c r="PJA64" s="857">
        <f t="shared" si="214"/>
        <v>0</v>
      </c>
      <c r="PJB64" s="857">
        <f t="shared" ref="PJB64:PLM64" si="215">(PJB57-PJB59)*$C$64</f>
        <v>0</v>
      </c>
      <c r="PJC64" s="857">
        <f t="shared" si="215"/>
        <v>0</v>
      </c>
      <c r="PJD64" s="857">
        <f t="shared" si="215"/>
        <v>0</v>
      </c>
      <c r="PJE64" s="857">
        <f t="shared" si="215"/>
        <v>0</v>
      </c>
      <c r="PJF64" s="857">
        <f t="shared" si="215"/>
        <v>0</v>
      </c>
      <c r="PJG64" s="857">
        <f t="shared" si="215"/>
        <v>0</v>
      </c>
      <c r="PJH64" s="857">
        <f t="shared" si="215"/>
        <v>0</v>
      </c>
      <c r="PJI64" s="857">
        <f t="shared" si="215"/>
        <v>0</v>
      </c>
      <c r="PJJ64" s="857">
        <f t="shared" si="215"/>
        <v>0</v>
      </c>
      <c r="PJK64" s="857">
        <f t="shared" si="215"/>
        <v>0</v>
      </c>
      <c r="PJL64" s="857">
        <f t="shared" si="215"/>
        <v>0</v>
      </c>
      <c r="PJM64" s="857">
        <f t="shared" si="215"/>
        <v>0</v>
      </c>
      <c r="PJN64" s="857">
        <f t="shared" si="215"/>
        <v>0</v>
      </c>
      <c r="PJO64" s="857">
        <f t="shared" si="215"/>
        <v>0</v>
      </c>
      <c r="PJP64" s="857">
        <f t="shared" si="215"/>
        <v>0</v>
      </c>
      <c r="PJQ64" s="857">
        <f t="shared" si="215"/>
        <v>0</v>
      </c>
      <c r="PJR64" s="857">
        <f t="shared" si="215"/>
        <v>0</v>
      </c>
      <c r="PJS64" s="857">
        <f t="shared" si="215"/>
        <v>0</v>
      </c>
      <c r="PJT64" s="857">
        <f t="shared" si="215"/>
        <v>0</v>
      </c>
      <c r="PJU64" s="857">
        <f t="shared" si="215"/>
        <v>0</v>
      </c>
      <c r="PJV64" s="857">
        <f t="shared" si="215"/>
        <v>0</v>
      </c>
      <c r="PJW64" s="857">
        <f t="shared" si="215"/>
        <v>0</v>
      </c>
      <c r="PJX64" s="857">
        <f t="shared" si="215"/>
        <v>0</v>
      </c>
      <c r="PJY64" s="857">
        <f t="shared" si="215"/>
        <v>0</v>
      </c>
      <c r="PJZ64" s="857">
        <f t="shared" si="215"/>
        <v>0</v>
      </c>
      <c r="PKA64" s="857">
        <f t="shared" si="215"/>
        <v>0</v>
      </c>
      <c r="PKB64" s="857">
        <f t="shared" si="215"/>
        <v>0</v>
      </c>
      <c r="PKC64" s="857">
        <f t="shared" si="215"/>
        <v>0</v>
      </c>
      <c r="PKD64" s="857">
        <f t="shared" si="215"/>
        <v>0</v>
      </c>
      <c r="PKE64" s="857">
        <f t="shared" si="215"/>
        <v>0</v>
      </c>
      <c r="PKF64" s="857">
        <f t="shared" si="215"/>
        <v>0</v>
      </c>
      <c r="PKG64" s="857">
        <f t="shared" si="215"/>
        <v>0</v>
      </c>
      <c r="PKH64" s="857">
        <f t="shared" si="215"/>
        <v>0</v>
      </c>
      <c r="PKI64" s="857">
        <f t="shared" si="215"/>
        <v>0</v>
      </c>
      <c r="PKJ64" s="857">
        <f t="shared" si="215"/>
        <v>0</v>
      </c>
      <c r="PKK64" s="857">
        <f t="shared" si="215"/>
        <v>0</v>
      </c>
      <c r="PKL64" s="857">
        <f t="shared" si="215"/>
        <v>0</v>
      </c>
      <c r="PKM64" s="857">
        <f t="shared" si="215"/>
        <v>0</v>
      </c>
      <c r="PKN64" s="857">
        <f t="shared" si="215"/>
        <v>0</v>
      </c>
      <c r="PKO64" s="857">
        <f t="shared" si="215"/>
        <v>0</v>
      </c>
      <c r="PKP64" s="857">
        <f t="shared" si="215"/>
        <v>0</v>
      </c>
      <c r="PKQ64" s="857">
        <f t="shared" si="215"/>
        <v>0</v>
      </c>
      <c r="PKR64" s="857">
        <f t="shared" si="215"/>
        <v>0</v>
      </c>
      <c r="PKS64" s="857">
        <f t="shared" si="215"/>
        <v>0</v>
      </c>
      <c r="PKT64" s="857">
        <f t="shared" si="215"/>
        <v>0</v>
      </c>
      <c r="PKU64" s="857">
        <f t="shared" si="215"/>
        <v>0</v>
      </c>
      <c r="PKV64" s="857">
        <f t="shared" si="215"/>
        <v>0</v>
      </c>
      <c r="PKW64" s="857">
        <f t="shared" si="215"/>
        <v>0</v>
      </c>
      <c r="PKX64" s="857">
        <f t="shared" si="215"/>
        <v>0</v>
      </c>
      <c r="PKY64" s="857">
        <f t="shared" si="215"/>
        <v>0</v>
      </c>
      <c r="PKZ64" s="857">
        <f t="shared" si="215"/>
        <v>0</v>
      </c>
      <c r="PLA64" s="857">
        <f t="shared" si="215"/>
        <v>0</v>
      </c>
      <c r="PLB64" s="857">
        <f t="shared" si="215"/>
        <v>0</v>
      </c>
      <c r="PLC64" s="857">
        <f t="shared" si="215"/>
        <v>0</v>
      </c>
      <c r="PLD64" s="857">
        <f t="shared" si="215"/>
        <v>0</v>
      </c>
      <c r="PLE64" s="857">
        <f t="shared" si="215"/>
        <v>0</v>
      </c>
      <c r="PLF64" s="857">
        <f t="shared" si="215"/>
        <v>0</v>
      </c>
      <c r="PLG64" s="857">
        <f t="shared" si="215"/>
        <v>0</v>
      </c>
      <c r="PLH64" s="857">
        <f t="shared" si="215"/>
        <v>0</v>
      </c>
      <c r="PLI64" s="857">
        <f t="shared" si="215"/>
        <v>0</v>
      </c>
      <c r="PLJ64" s="857">
        <f t="shared" si="215"/>
        <v>0</v>
      </c>
      <c r="PLK64" s="857">
        <f t="shared" si="215"/>
        <v>0</v>
      </c>
      <c r="PLL64" s="857">
        <f t="shared" si="215"/>
        <v>0</v>
      </c>
      <c r="PLM64" s="857">
        <f t="shared" si="215"/>
        <v>0</v>
      </c>
      <c r="PLN64" s="857">
        <f t="shared" ref="PLN64:PNY64" si="216">(PLN57-PLN59)*$C$64</f>
        <v>0</v>
      </c>
      <c r="PLO64" s="857">
        <f t="shared" si="216"/>
        <v>0</v>
      </c>
      <c r="PLP64" s="857">
        <f t="shared" si="216"/>
        <v>0</v>
      </c>
      <c r="PLQ64" s="857">
        <f t="shared" si="216"/>
        <v>0</v>
      </c>
      <c r="PLR64" s="857">
        <f t="shared" si="216"/>
        <v>0</v>
      </c>
      <c r="PLS64" s="857">
        <f t="shared" si="216"/>
        <v>0</v>
      </c>
      <c r="PLT64" s="857">
        <f t="shared" si="216"/>
        <v>0</v>
      </c>
      <c r="PLU64" s="857">
        <f t="shared" si="216"/>
        <v>0</v>
      </c>
      <c r="PLV64" s="857">
        <f t="shared" si="216"/>
        <v>0</v>
      </c>
      <c r="PLW64" s="857">
        <f t="shared" si="216"/>
        <v>0</v>
      </c>
      <c r="PLX64" s="857">
        <f t="shared" si="216"/>
        <v>0</v>
      </c>
      <c r="PLY64" s="857">
        <f t="shared" si="216"/>
        <v>0</v>
      </c>
      <c r="PLZ64" s="857">
        <f t="shared" si="216"/>
        <v>0</v>
      </c>
      <c r="PMA64" s="857">
        <f t="shared" si="216"/>
        <v>0</v>
      </c>
      <c r="PMB64" s="857">
        <f t="shared" si="216"/>
        <v>0</v>
      </c>
      <c r="PMC64" s="857">
        <f t="shared" si="216"/>
        <v>0</v>
      </c>
      <c r="PMD64" s="857">
        <f t="shared" si="216"/>
        <v>0</v>
      </c>
      <c r="PME64" s="857">
        <f t="shared" si="216"/>
        <v>0</v>
      </c>
      <c r="PMF64" s="857">
        <f t="shared" si="216"/>
        <v>0</v>
      </c>
      <c r="PMG64" s="857">
        <f t="shared" si="216"/>
        <v>0</v>
      </c>
      <c r="PMH64" s="857">
        <f t="shared" si="216"/>
        <v>0</v>
      </c>
      <c r="PMI64" s="857">
        <f t="shared" si="216"/>
        <v>0</v>
      </c>
      <c r="PMJ64" s="857">
        <f t="shared" si="216"/>
        <v>0</v>
      </c>
      <c r="PMK64" s="857">
        <f t="shared" si="216"/>
        <v>0</v>
      </c>
      <c r="PML64" s="857">
        <f t="shared" si="216"/>
        <v>0</v>
      </c>
      <c r="PMM64" s="857">
        <f t="shared" si="216"/>
        <v>0</v>
      </c>
      <c r="PMN64" s="857">
        <f t="shared" si="216"/>
        <v>0</v>
      </c>
      <c r="PMO64" s="857">
        <f t="shared" si="216"/>
        <v>0</v>
      </c>
      <c r="PMP64" s="857">
        <f t="shared" si="216"/>
        <v>0</v>
      </c>
      <c r="PMQ64" s="857">
        <f t="shared" si="216"/>
        <v>0</v>
      </c>
      <c r="PMR64" s="857">
        <f t="shared" si="216"/>
        <v>0</v>
      </c>
      <c r="PMS64" s="857">
        <f t="shared" si="216"/>
        <v>0</v>
      </c>
      <c r="PMT64" s="857">
        <f t="shared" si="216"/>
        <v>0</v>
      </c>
      <c r="PMU64" s="857">
        <f t="shared" si="216"/>
        <v>0</v>
      </c>
      <c r="PMV64" s="857">
        <f t="shared" si="216"/>
        <v>0</v>
      </c>
      <c r="PMW64" s="857">
        <f t="shared" si="216"/>
        <v>0</v>
      </c>
      <c r="PMX64" s="857">
        <f t="shared" si="216"/>
        <v>0</v>
      </c>
      <c r="PMY64" s="857">
        <f t="shared" si="216"/>
        <v>0</v>
      </c>
      <c r="PMZ64" s="857">
        <f t="shared" si="216"/>
        <v>0</v>
      </c>
      <c r="PNA64" s="857">
        <f t="shared" si="216"/>
        <v>0</v>
      </c>
      <c r="PNB64" s="857">
        <f t="shared" si="216"/>
        <v>0</v>
      </c>
      <c r="PNC64" s="857">
        <f t="shared" si="216"/>
        <v>0</v>
      </c>
      <c r="PND64" s="857">
        <f t="shared" si="216"/>
        <v>0</v>
      </c>
      <c r="PNE64" s="857">
        <f t="shared" si="216"/>
        <v>0</v>
      </c>
      <c r="PNF64" s="857">
        <f t="shared" si="216"/>
        <v>0</v>
      </c>
      <c r="PNG64" s="857">
        <f t="shared" si="216"/>
        <v>0</v>
      </c>
      <c r="PNH64" s="857">
        <f t="shared" si="216"/>
        <v>0</v>
      </c>
      <c r="PNI64" s="857">
        <f t="shared" si="216"/>
        <v>0</v>
      </c>
      <c r="PNJ64" s="857">
        <f t="shared" si="216"/>
        <v>0</v>
      </c>
      <c r="PNK64" s="857">
        <f t="shared" si="216"/>
        <v>0</v>
      </c>
      <c r="PNL64" s="857">
        <f t="shared" si="216"/>
        <v>0</v>
      </c>
      <c r="PNM64" s="857">
        <f t="shared" si="216"/>
        <v>0</v>
      </c>
      <c r="PNN64" s="857">
        <f t="shared" si="216"/>
        <v>0</v>
      </c>
      <c r="PNO64" s="857">
        <f t="shared" si="216"/>
        <v>0</v>
      </c>
      <c r="PNP64" s="857">
        <f t="shared" si="216"/>
        <v>0</v>
      </c>
      <c r="PNQ64" s="857">
        <f t="shared" si="216"/>
        <v>0</v>
      </c>
      <c r="PNR64" s="857">
        <f t="shared" si="216"/>
        <v>0</v>
      </c>
      <c r="PNS64" s="857">
        <f t="shared" si="216"/>
        <v>0</v>
      </c>
      <c r="PNT64" s="857">
        <f t="shared" si="216"/>
        <v>0</v>
      </c>
      <c r="PNU64" s="857">
        <f t="shared" si="216"/>
        <v>0</v>
      </c>
      <c r="PNV64" s="857">
        <f t="shared" si="216"/>
        <v>0</v>
      </c>
      <c r="PNW64" s="857">
        <f t="shared" si="216"/>
        <v>0</v>
      </c>
      <c r="PNX64" s="857">
        <f t="shared" si="216"/>
        <v>0</v>
      </c>
      <c r="PNY64" s="857">
        <f t="shared" si="216"/>
        <v>0</v>
      </c>
      <c r="PNZ64" s="857">
        <f t="shared" ref="PNZ64:PQK64" si="217">(PNZ57-PNZ59)*$C$64</f>
        <v>0</v>
      </c>
      <c r="POA64" s="857">
        <f t="shared" si="217"/>
        <v>0</v>
      </c>
      <c r="POB64" s="857">
        <f t="shared" si="217"/>
        <v>0</v>
      </c>
      <c r="POC64" s="857">
        <f t="shared" si="217"/>
        <v>0</v>
      </c>
      <c r="POD64" s="857">
        <f t="shared" si="217"/>
        <v>0</v>
      </c>
      <c r="POE64" s="857">
        <f t="shared" si="217"/>
        <v>0</v>
      </c>
      <c r="POF64" s="857">
        <f t="shared" si="217"/>
        <v>0</v>
      </c>
      <c r="POG64" s="857">
        <f t="shared" si="217"/>
        <v>0</v>
      </c>
      <c r="POH64" s="857">
        <f t="shared" si="217"/>
        <v>0</v>
      </c>
      <c r="POI64" s="857">
        <f t="shared" si="217"/>
        <v>0</v>
      </c>
      <c r="POJ64" s="857">
        <f t="shared" si="217"/>
        <v>0</v>
      </c>
      <c r="POK64" s="857">
        <f t="shared" si="217"/>
        <v>0</v>
      </c>
      <c r="POL64" s="857">
        <f t="shared" si="217"/>
        <v>0</v>
      </c>
      <c r="POM64" s="857">
        <f t="shared" si="217"/>
        <v>0</v>
      </c>
      <c r="PON64" s="857">
        <f t="shared" si="217"/>
        <v>0</v>
      </c>
      <c r="POO64" s="857">
        <f t="shared" si="217"/>
        <v>0</v>
      </c>
      <c r="POP64" s="857">
        <f t="shared" si="217"/>
        <v>0</v>
      </c>
      <c r="POQ64" s="857">
        <f t="shared" si="217"/>
        <v>0</v>
      </c>
      <c r="POR64" s="857">
        <f t="shared" si="217"/>
        <v>0</v>
      </c>
      <c r="POS64" s="857">
        <f t="shared" si="217"/>
        <v>0</v>
      </c>
      <c r="POT64" s="857">
        <f t="shared" si="217"/>
        <v>0</v>
      </c>
      <c r="POU64" s="857">
        <f t="shared" si="217"/>
        <v>0</v>
      </c>
      <c r="POV64" s="857">
        <f t="shared" si="217"/>
        <v>0</v>
      </c>
      <c r="POW64" s="857">
        <f t="shared" si="217"/>
        <v>0</v>
      </c>
      <c r="POX64" s="857">
        <f t="shared" si="217"/>
        <v>0</v>
      </c>
      <c r="POY64" s="857">
        <f t="shared" si="217"/>
        <v>0</v>
      </c>
      <c r="POZ64" s="857">
        <f t="shared" si="217"/>
        <v>0</v>
      </c>
      <c r="PPA64" s="857">
        <f t="shared" si="217"/>
        <v>0</v>
      </c>
      <c r="PPB64" s="857">
        <f t="shared" si="217"/>
        <v>0</v>
      </c>
      <c r="PPC64" s="857">
        <f t="shared" si="217"/>
        <v>0</v>
      </c>
      <c r="PPD64" s="857">
        <f t="shared" si="217"/>
        <v>0</v>
      </c>
      <c r="PPE64" s="857">
        <f t="shared" si="217"/>
        <v>0</v>
      </c>
      <c r="PPF64" s="857">
        <f t="shared" si="217"/>
        <v>0</v>
      </c>
      <c r="PPG64" s="857">
        <f t="shared" si="217"/>
        <v>0</v>
      </c>
      <c r="PPH64" s="857">
        <f t="shared" si="217"/>
        <v>0</v>
      </c>
      <c r="PPI64" s="857">
        <f t="shared" si="217"/>
        <v>0</v>
      </c>
      <c r="PPJ64" s="857">
        <f t="shared" si="217"/>
        <v>0</v>
      </c>
      <c r="PPK64" s="857">
        <f t="shared" si="217"/>
        <v>0</v>
      </c>
      <c r="PPL64" s="857">
        <f t="shared" si="217"/>
        <v>0</v>
      </c>
      <c r="PPM64" s="857">
        <f t="shared" si="217"/>
        <v>0</v>
      </c>
      <c r="PPN64" s="857">
        <f t="shared" si="217"/>
        <v>0</v>
      </c>
      <c r="PPO64" s="857">
        <f t="shared" si="217"/>
        <v>0</v>
      </c>
      <c r="PPP64" s="857">
        <f t="shared" si="217"/>
        <v>0</v>
      </c>
      <c r="PPQ64" s="857">
        <f t="shared" si="217"/>
        <v>0</v>
      </c>
      <c r="PPR64" s="857">
        <f t="shared" si="217"/>
        <v>0</v>
      </c>
      <c r="PPS64" s="857">
        <f t="shared" si="217"/>
        <v>0</v>
      </c>
      <c r="PPT64" s="857">
        <f t="shared" si="217"/>
        <v>0</v>
      </c>
      <c r="PPU64" s="857">
        <f t="shared" si="217"/>
        <v>0</v>
      </c>
      <c r="PPV64" s="857">
        <f t="shared" si="217"/>
        <v>0</v>
      </c>
      <c r="PPW64" s="857">
        <f t="shared" si="217"/>
        <v>0</v>
      </c>
      <c r="PPX64" s="857">
        <f t="shared" si="217"/>
        <v>0</v>
      </c>
      <c r="PPY64" s="857">
        <f t="shared" si="217"/>
        <v>0</v>
      </c>
      <c r="PPZ64" s="857">
        <f t="shared" si="217"/>
        <v>0</v>
      </c>
      <c r="PQA64" s="857">
        <f t="shared" si="217"/>
        <v>0</v>
      </c>
      <c r="PQB64" s="857">
        <f t="shared" si="217"/>
        <v>0</v>
      </c>
      <c r="PQC64" s="857">
        <f t="shared" si="217"/>
        <v>0</v>
      </c>
      <c r="PQD64" s="857">
        <f t="shared" si="217"/>
        <v>0</v>
      </c>
      <c r="PQE64" s="857">
        <f t="shared" si="217"/>
        <v>0</v>
      </c>
      <c r="PQF64" s="857">
        <f t="shared" si="217"/>
        <v>0</v>
      </c>
      <c r="PQG64" s="857">
        <f t="shared" si="217"/>
        <v>0</v>
      </c>
      <c r="PQH64" s="857">
        <f t="shared" si="217"/>
        <v>0</v>
      </c>
      <c r="PQI64" s="857">
        <f t="shared" si="217"/>
        <v>0</v>
      </c>
      <c r="PQJ64" s="857">
        <f t="shared" si="217"/>
        <v>0</v>
      </c>
      <c r="PQK64" s="857">
        <f t="shared" si="217"/>
        <v>0</v>
      </c>
      <c r="PQL64" s="857">
        <f t="shared" ref="PQL64:PSW64" si="218">(PQL57-PQL59)*$C$64</f>
        <v>0</v>
      </c>
      <c r="PQM64" s="857">
        <f t="shared" si="218"/>
        <v>0</v>
      </c>
      <c r="PQN64" s="857">
        <f t="shared" si="218"/>
        <v>0</v>
      </c>
      <c r="PQO64" s="857">
        <f t="shared" si="218"/>
        <v>0</v>
      </c>
      <c r="PQP64" s="857">
        <f t="shared" si="218"/>
        <v>0</v>
      </c>
      <c r="PQQ64" s="857">
        <f t="shared" si="218"/>
        <v>0</v>
      </c>
      <c r="PQR64" s="857">
        <f t="shared" si="218"/>
        <v>0</v>
      </c>
      <c r="PQS64" s="857">
        <f t="shared" si="218"/>
        <v>0</v>
      </c>
      <c r="PQT64" s="857">
        <f t="shared" si="218"/>
        <v>0</v>
      </c>
      <c r="PQU64" s="857">
        <f t="shared" si="218"/>
        <v>0</v>
      </c>
      <c r="PQV64" s="857">
        <f t="shared" si="218"/>
        <v>0</v>
      </c>
      <c r="PQW64" s="857">
        <f t="shared" si="218"/>
        <v>0</v>
      </c>
      <c r="PQX64" s="857">
        <f t="shared" si="218"/>
        <v>0</v>
      </c>
      <c r="PQY64" s="857">
        <f t="shared" si="218"/>
        <v>0</v>
      </c>
      <c r="PQZ64" s="857">
        <f t="shared" si="218"/>
        <v>0</v>
      </c>
      <c r="PRA64" s="857">
        <f t="shared" si="218"/>
        <v>0</v>
      </c>
      <c r="PRB64" s="857">
        <f t="shared" si="218"/>
        <v>0</v>
      </c>
      <c r="PRC64" s="857">
        <f t="shared" si="218"/>
        <v>0</v>
      </c>
      <c r="PRD64" s="857">
        <f t="shared" si="218"/>
        <v>0</v>
      </c>
      <c r="PRE64" s="857">
        <f t="shared" si="218"/>
        <v>0</v>
      </c>
      <c r="PRF64" s="857">
        <f t="shared" si="218"/>
        <v>0</v>
      </c>
      <c r="PRG64" s="857">
        <f t="shared" si="218"/>
        <v>0</v>
      </c>
      <c r="PRH64" s="857">
        <f t="shared" si="218"/>
        <v>0</v>
      </c>
      <c r="PRI64" s="857">
        <f t="shared" si="218"/>
        <v>0</v>
      </c>
      <c r="PRJ64" s="857">
        <f t="shared" si="218"/>
        <v>0</v>
      </c>
      <c r="PRK64" s="857">
        <f t="shared" si="218"/>
        <v>0</v>
      </c>
      <c r="PRL64" s="857">
        <f t="shared" si="218"/>
        <v>0</v>
      </c>
      <c r="PRM64" s="857">
        <f t="shared" si="218"/>
        <v>0</v>
      </c>
      <c r="PRN64" s="857">
        <f t="shared" si="218"/>
        <v>0</v>
      </c>
      <c r="PRO64" s="857">
        <f t="shared" si="218"/>
        <v>0</v>
      </c>
      <c r="PRP64" s="857">
        <f t="shared" si="218"/>
        <v>0</v>
      </c>
      <c r="PRQ64" s="857">
        <f t="shared" si="218"/>
        <v>0</v>
      </c>
      <c r="PRR64" s="857">
        <f t="shared" si="218"/>
        <v>0</v>
      </c>
      <c r="PRS64" s="857">
        <f t="shared" si="218"/>
        <v>0</v>
      </c>
      <c r="PRT64" s="857">
        <f t="shared" si="218"/>
        <v>0</v>
      </c>
      <c r="PRU64" s="857">
        <f t="shared" si="218"/>
        <v>0</v>
      </c>
      <c r="PRV64" s="857">
        <f t="shared" si="218"/>
        <v>0</v>
      </c>
      <c r="PRW64" s="857">
        <f t="shared" si="218"/>
        <v>0</v>
      </c>
      <c r="PRX64" s="857">
        <f t="shared" si="218"/>
        <v>0</v>
      </c>
      <c r="PRY64" s="857">
        <f t="shared" si="218"/>
        <v>0</v>
      </c>
      <c r="PRZ64" s="857">
        <f t="shared" si="218"/>
        <v>0</v>
      </c>
      <c r="PSA64" s="857">
        <f t="shared" si="218"/>
        <v>0</v>
      </c>
      <c r="PSB64" s="857">
        <f t="shared" si="218"/>
        <v>0</v>
      </c>
      <c r="PSC64" s="857">
        <f t="shared" si="218"/>
        <v>0</v>
      </c>
      <c r="PSD64" s="857">
        <f t="shared" si="218"/>
        <v>0</v>
      </c>
      <c r="PSE64" s="857">
        <f t="shared" si="218"/>
        <v>0</v>
      </c>
      <c r="PSF64" s="857">
        <f t="shared" si="218"/>
        <v>0</v>
      </c>
      <c r="PSG64" s="857">
        <f t="shared" si="218"/>
        <v>0</v>
      </c>
      <c r="PSH64" s="857">
        <f t="shared" si="218"/>
        <v>0</v>
      </c>
      <c r="PSI64" s="857">
        <f t="shared" si="218"/>
        <v>0</v>
      </c>
      <c r="PSJ64" s="857">
        <f t="shared" si="218"/>
        <v>0</v>
      </c>
      <c r="PSK64" s="857">
        <f t="shared" si="218"/>
        <v>0</v>
      </c>
      <c r="PSL64" s="857">
        <f t="shared" si="218"/>
        <v>0</v>
      </c>
      <c r="PSM64" s="857">
        <f t="shared" si="218"/>
        <v>0</v>
      </c>
      <c r="PSN64" s="857">
        <f t="shared" si="218"/>
        <v>0</v>
      </c>
      <c r="PSO64" s="857">
        <f t="shared" si="218"/>
        <v>0</v>
      </c>
      <c r="PSP64" s="857">
        <f t="shared" si="218"/>
        <v>0</v>
      </c>
      <c r="PSQ64" s="857">
        <f t="shared" si="218"/>
        <v>0</v>
      </c>
      <c r="PSR64" s="857">
        <f t="shared" si="218"/>
        <v>0</v>
      </c>
      <c r="PSS64" s="857">
        <f t="shared" si="218"/>
        <v>0</v>
      </c>
      <c r="PST64" s="857">
        <f t="shared" si="218"/>
        <v>0</v>
      </c>
      <c r="PSU64" s="857">
        <f t="shared" si="218"/>
        <v>0</v>
      </c>
      <c r="PSV64" s="857">
        <f t="shared" si="218"/>
        <v>0</v>
      </c>
      <c r="PSW64" s="857">
        <f t="shared" si="218"/>
        <v>0</v>
      </c>
      <c r="PSX64" s="857">
        <f t="shared" ref="PSX64:PVI64" si="219">(PSX57-PSX59)*$C$64</f>
        <v>0</v>
      </c>
      <c r="PSY64" s="857">
        <f t="shared" si="219"/>
        <v>0</v>
      </c>
      <c r="PSZ64" s="857">
        <f t="shared" si="219"/>
        <v>0</v>
      </c>
      <c r="PTA64" s="857">
        <f t="shared" si="219"/>
        <v>0</v>
      </c>
      <c r="PTB64" s="857">
        <f t="shared" si="219"/>
        <v>0</v>
      </c>
      <c r="PTC64" s="857">
        <f t="shared" si="219"/>
        <v>0</v>
      </c>
      <c r="PTD64" s="857">
        <f t="shared" si="219"/>
        <v>0</v>
      </c>
      <c r="PTE64" s="857">
        <f t="shared" si="219"/>
        <v>0</v>
      </c>
      <c r="PTF64" s="857">
        <f t="shared" si="219"/>
        <v>0</v>
      </c>
      <c r="PTG64" s="857">
        <f t="shared" si="219"/>
        <v>0</v>
      </c>
      <c r="PTH64" s="857">
        <f t="shared" si="219"/>
        <v>0</v>
      </c>
      <c r="PTI64" s="857">
        <f t="shared" si="219"/>
        <v>0</v>
      </c>
      <c r="PTJ64" s="857">
        <f t="shared" si="219"/>
        <v>0</v>
      </c>
      <c r="PTK64" s="857">
        <f t="shared" si="219"/>
        <v>0</v>
      </c>
      <c r="PTL64" s="857">
        <f t="shared" si="219"/>
        <v>0</v>
      </c>
      <c r="PTM64" s="857">
        <f t="shared" si="219"/>
        <v>0</v>
      </c>
      <c r="PTN64" s="857">
        <f t="shared" si="219"/>
        <v>0</v>
      </c>
      <c r="PTO64" s="857">
        <f t="shared" si="219"/>
        <v>0</v>
      </c>
      <c r="PTP64" s="857">
        <f t="shared" si="219"/>
        <v>0</v>
      </c>
      <c r="PTQ64" s="857">
        <f t="shared" si="219"/>
        <v>0</v>
      </c>
      <c r="PTR64" s="857">
        <f t="shared" si="219"/>
        <v>0</v>
      </c>
      <c r="PTS64" s="857">
        <f t="shared" si="219"/>
        <v>0</v>
      </c>
      <c r="PTT64" s="857">
        <f t="shared" si="219"/>
        <v>0</v>
      </c>
      <c r="PTU64" s="857">
        <f t="shared" si="219"/>
        <v>0</v>
      </c>
      <c r="PTV64" s="857">
        <f t="shared" si="219"/>
        <v>0</v>
      </c>
      <c r="PTW64" s="857">
        <f t="shared" si="219"/>
        <v>0</v>
      </c>
      <c r="PTX64" s="857">
        <f t="shared" si="219"/>
        <v>0</v>
      </c>
      <c r="PTY64" s="857">
        <f t="shared" si="219"/>
        <v>0</v>
      </c>
      <c r="PTZ64" s="857">
        <f t="shared" si="219"/>
        <v>0</v>
      </c>
      <c r="PUA64" s="857">
        <f t="shared" si="219"/>
        <v>0</v>
      </c>
      <c r="PUB64" s="857">
        <f t="shared" si="219"/>
        <v>0</v>
      </c>
      <c r="PUC64" s="857">
        <f t="shared" si="219"/>
        <v>0</v>
      </c>
      <c r="PUD64" s="857">
        <f t="shared" si="219"/>
        <v>0</v>
      </c>
      <c r="PUE64" s="857">
        <f t="shared" si="219"/>
        <v>0</v>
      </c>
      <c r="PUF64" s="857">
        <f t="shared" si="219"/>
        <v>0</v>
      </c>
      <c r="PUG64" s="857">
        <f t="shared" si="219"/>
        <v>0</v>
      </c>
      <c r="PUH64" s="857">
        <f t="shared" si="219"/>
        <v>0</v>
      </c>
      <c r="PUI64" s="857">
        <f t="shared" si="219"/>
        <v>0</v>
      </c>
      <c r="PUJ64" s="857">
        <f t="shared" si="219"/>
        <v>0</v>
      </c>
      <c r="PUK64" s="857">
        <f t="shared" si="219"/>
        <v>0</v>
      </c>
      <c r="PUL64" s="857">
        <f t="shared" si="219"/>
        <v>0</v>
      </c>
      <c r="PUM64" s="857">
        <f t="shared" si="219"/>
        <v>0</v>
      </c>
      <c r="PUN64" s="857">
        <f t="shared" si="219"/>
        <v>0</v>
      </c>
      <c r="PUO64" s="857">
        <f t="shared" si="219"/>
        <v>0</v>
      </c>
      <c r="PUP64" s="857">
        <f t="shared" si="219"/>
        <v>0</v>
      </c>
      <c r="PUQ64" s="857">
        <f t="shared" si="219"/>
        <v>0</v>
      </c>
      <c r="PUR64" s="857">
        <f t="shared" si="219"/>
        <v>0</v>
      </c>
      <c r="PUS64" s="857">
        <f t="shared" si="219"/>
        <v>0</v>
      </c>
      <c r="PUT64" s="857">
        <f t="shared" si="219"/>
        <v>0</v>
      </c>
      <c r="PUU64" s="857">
        <f t="shared" si="219"/>
        <v>0</v>
      </c>
      <c r="PUV64" s="857">
        <f t="shared" si="219"/>
        <v>0</v>
      </c>
      <c r="PUW64" s="857">
        <f t="shared" si="219"/>
        <v>0</v>
      </c>
      <c r="PUX64" s="857">
        <f t="shared" si="219"/>
        <v>0</v>
      </c>
      <c r="PUY64" s="857">
        <f t="shared" si="219"/>
        <v>0</v>
      </c>
      <c r="PUZ64" s="857">
        <f t="shared" si="219"/>
        <v>0</v>
      </c>
      <c r="PVA64" s="857">
        <f t="shared" si="219"/>
        <v>0</v>
      </c>
      <c r="PVB64" s="857">
        <f t="shared" si="219"/>
        <v>0</v>
      </c>
      <c r="PVC64" s="857">
        <f t="shared" si="219"/>
        <v>0</v>
      </c>
      <c r="PVD64" s="857">
        <f t="shared" si="219"/>
        <v>0</v>
      </c>
      <c r="PVE64" s="857">
        <f t="shared" si="219"/>
        <v>0</v>
      </c>
      <c r="PVF64" s="857">
        <f t="shared" si="219"/>
        <v>0</v>
      </c>
      <c r="PVG64" s="857">
        <f t="shared" si="219"/>
        <v>0</v>
      </c>
      <c r="PVH64" s="857">
        <f t="shared" si="219"/>
        <v>0</v>
      </c>
      <c r="PVI64" s="857">
        <f t="shared" si="219"/>
        <v>0</v>
      </c>
      <c r="PVJ64" s="857">
        <f t="shared" ref="PVJ64:PXU64" si="220">(PVJ57-PVJ59)*$C$64</f>
        <v>0</v>
      </c>
      <c r="PVK64" s="857">
        <f t="shared" si="220"/>
        <v>0</v>
      </c>
      <c r="PVL64" s="857">
        <f t="shared" si="220"/>
        <v>0</v>
      </c>
      <c r="PVM64" s="857">
        <f t="shared" si="220"/>
        <v>0</v>
      </c>
      <c r="PVN64" s="857">
        <f t="shared" si="220"/>
        <v>0</v>
      </c>
      <c r="PVO64" s="857">
        <f t="shared" si="220"/>
        <v>0</v>
      </c>
      <c r="PVP64" s="857">
        <f t="shared" si="220"/>
        <v>0</v>
      </c>
      <c r="PVQ64" s="857">
        <f t="shared" si="220"/>
        <v>0</v>
      </c>
      <c r="PVR64" s="857">
        <f t="shared" si="220"/>
        <v>0</v>
      </c>
      <c r="PVS64" s="857">
        <f t="shared" si="220"/>
        <v>0</v>
      </c>
      <c r="PVT64" s="857">
        <f t="shared" si="220"/>
        <v>0</v>
      </c>
      <c r="PVU64" s="857">
        <f t="shared" si="220"/>
        <v>0</v>
      </c>
      <c r="PVV64" s="857">
        <f t="shared" si="220"/>
        <v>0</v>
      </c>
      <c r="PVW64" s="857">
        <f t="shared" si="220"/>
        <v>0</v>
      </c>
      <c r="PVX64" s="857">
        <f t="shared" si="220"/>
        <v>0</v>
      </c>
      <c r="PVY64" s="857">
        <f t="shared" si="220"/>
        <v>0</v>
      </c>
      <c r="PVZ64" s="857">
        <f t="shared" si="220"/>
        <v>0</v>
      </c>
      <c r="PWA64" s="857">
        <f t="shared" si="220"/>
        <v>0</v>
      </c>
      <c r="PWB64" s="857">
        <f t="shared" si="220"/>
        <v>0</v>
      </c>
      <c r="PWC64" s="857">
        <f t="shared" si="220"/>
        <v>0</v>
      </c>
      <c r="PWD64" s="857">
        <f t="shared" si="220"/>
        <v>0</v>
      </c>
      <c r="PWE64" s="857">
        <f t="shared" si="220"/>
        <v>0</v>
      </c>
      <c r="PWF64" s="857">
        <f t="shared" si="220"/>
        <v>0</v>
      </c>
      <c r="PWG64" s="857">
        <f t="shared" si="220"/>
        <v>0</v>
      </c>
      <c r="PWH64" s="857">
        <f t="shared" si="220"/>
        <v>0</v>
      </c>
      <c r="PWI64" s="857">
        <f t="shared" si="220"/>
        <v>0</v>
      </c>
      <c r="PWJ64" s="857">
        <f t="shared" si="220"/>
        <v>0</v>
      </c>
      <c r="PWK64" s="857">
        <f t="shared" si="220"/>
        <v>0</v>
      </c>
      <c r="PWL64" s="857">
        <f t="shared" si="220"/>
        <v>0</v>
      </c>
      <c r="PWM64" s="857">
        <f t="shared" si="220"/>
        <v>0</v>
      </c>
      <c r="PWN64" s="857">
        <f t="shared" si="220"/>
        <v>0</v>
      </c>
      <c r="PWO64" s="857">
        <f t="shared" si="220"/>
        <v>0</v>
      </c>
      <c r="PWP64" s="857">
        <f t="shared" si="220"/>
        <v>0</v>
      </c>
      <c r="PWQ64" s="857">
        <f t="shared" si="220"/>
        <v>0</v>
      </c>
      <c r="PWR64" s="857">
        <f t="shared" si="220"/>
        <v>0</v>
      </c>
      <c r="PWS64" s="857">
        <f t="shared" si="220"/>
        <v>0</v>
      </c>
      <c r="PWT64" s="857">
        <f t="shared" si="220"/>
        <v>0</v>
      </c>
      <c r="PWU64" s="857">
        <f t="shared" si="220"/>
        <v>0</v>
      </c>
      <c r="PWV64" s="857">
        <f t="shared" si="220"/>
        <v>0</v>
      </c>
      <c r="PWW64" s="857">
        <f t="shared" si="220"/>
        <v>0</v>
      </c>
      <c r="PWX64" s="857">
        <f t="shared" si="220"/>
        <v>0</v>
      </c>
      <c r="PWY64" s="857">
        <f t="shared" si="220"/>
        <v>0</v>
      </c>
      <c r="PWZ64" s="857">
        <f t="shared" si="220"/>
        <v>0</v>
      </c>
      <c r="PXA64" s="857">
        <f t="shared" si="220"/>
        <v>0</v>
      </c>
      <c r="PXB64" s="857">
        <f t="shared" si="220"/>
        <v>0</v>
      </c>
      <c r="PXC64" s="857">
        <f t="shared" si="220"/>
        <v>0</v>
      </c>
      <c r="PXD64" s="857">
        <f t="shared" si="220"/>
        <v>0</v>
      </c>
      <c r="PXE64" s="857">
        <f t="shared" si="220"/>
        <v>0</v>
      </c>
      <c r="PXF64" s="857">
        <f t="shared" si="220"/>
        <v>0</v>
      </c>
      <c r="PXG64" s="857">
        <f t="shared" si="220"/>
        <v>0</v>
      </c>
      <c r="PXH64" s="857">
        <f t="shared" si="220"/>
        <v>0</v>
      </c>
      <c r="PXI64" s="857">
        <f t="shared" si="220"/>
        <v>0</v>
      </c>
      <c r="PXJ64" s="857">
        <f t="shared" si="220"/>
        <v>0</v>
      </c>
      <c r="PXK64" s="857">
        <f t="shared" si="220"/>
        <v>0</v>
      </c>
      <c r="PXL64" s="857">
        <f t="shared" si="220"/>
        <v>0</v>
      </c>
      <c r="PXM64" s="857">
        <f t="shared" si="220"/>
        <v>0</v>
      </c>
      <c r="PXN64" s="857">
        <f t="shared" si="220"/>
        <v>0</v>
      </c>
      <c r="PXO64" s="857">
        <f t="shared" si="220"/>
        <v>0</v>
      </c>
      <c r="PXP64" s="857">
        <f t="shared" si="220"/>
        <v>0</v>
      </c>
      <c r="PXQ64" s="857">
        <f t="shared" si="220"/>
        <v>0</v>
      </c>
      <c r="PXR64" s="857">
        <f t="shared" si="220"/>
        <v>0</v>
      </c>
      <c r="PXS64" s="857">
        <f t="shared" si="220"/>
        <v>0</v>
      </c>
      <c r="PXT64" s="857">
        <f t="shared" si="220"/>
        <v>0</v>
      </c>
      <c r="PXU64" s="857">
        <f t="shared" si="220"/>
        <v>0</v>
      </c>
      <c r="PXV64" s="857">
        <f t="shared" ref="PXV64:QAG64" si="221">(PXV57-PXV59)*$C$64</f>
        <v>0</v>
      </c>
      <c r="PXW64" s="857">
        <f t="shared" si="221"/>
        <v>0</v>
      </c>
      <c r="PXX64" s="857">
        <f t="shared" si="221"/>
        <v>0</v>
      </c>
      <c r="PXY64" s="857">
        <f t="shared" si="221"/>
        <v>0</v>
      </c>
      <c r="PXZ64" s="857">
        <f t="shared" si="221"/>
        <v>0</v>
      </c>
      <c r="PYA64" s="857">
        <f t="shared" si="221"/>
        <v>0</v>
      </c>
      <c r="PYB64" s="857">
        <f t="shared" si="221"/>
        <v>0</v>
      </c>
      <c r="PYC64" s="857">
        <f t="shared" si="221"/>
        <v>0</v>
      </c>
      <c r="PYD64" s="857">
        <f t="shared" si="221"/>
        <v>0</v>
      </c>
      <c r="PYE64" s="857">
        <f t="shared" si="221"/>
        <v>0</v>
      </c>
      <c r="PYF64" s="857">
        <f t="shared" si="221"/>
        <v>0</v>
      </c>
      <c r="PYG64" s="857">
        <f t="shared" si="221"/>
        <v>0</v>
      </c>
      <c r="PYH64" s="857">
        <f t="shared" si="221"/>
        <v>0</v>
      </c>
      <c r="PYI64" s="857">
        <f t="shared" si="221"/>
        <v>0</v>
      </c>
      <c r="PYJ64" s="857">
        <f t="shared" si="221"/>
        <v>0</v>
      </c>
      <c r="PYK64" s="857">
        <f t="shared" si="221"/>
        <v>0</v>
      </c>
      <c r="PYL64" s="857">
        <f t="shared" si="221"/>
        <v>0</v>
      </c>
      <c r="PYM64" s="857">
        <f t="shared" si="221"/>
        <v>0</v>
      </c>
      <c r="PYN64" s="857">
        <f t="shared" si="221"/>
        <v>0</v>
      </c>
      <c r="PYO64" s="857">
        <f t="shared" si="221"/>
        <v>0</v>
      </c>
      <c r="PYP64" s="857">
        <f t="shared" si="221"/>
        <v>0</v>
      </c>
      <c r="PYQ64" s="857">
        <f t="shared" si="221"/>
        <v>0</v>
      </c>
      <c r="PYR64" s="857">
        <f t="shared" si="221"/>
        <v>0</v>
      </c>
      <c r="PYS64" s="857">
        <f t="shared" si="221"/>
        <v>0</v>
      </c>
      <c r="PYT64" s="857">
        <f t="shared" si="221"/>
        <v>0</v>
      </c>
      <c r="PYU64" s="857">
        <f t="shared" si="221"/>
        <v>0</v>
      </c>
      <c r="PYV64" s="857">
        <f t="shared" si="221"/>
        <v>0</v>
      </c>
      <c r="PYW64" s="857">
        <f t="shared" si="221"/>
        <v>0</v>
      </c>
      <c r="PYX64" s="857">
        <f t="shared" si="221"/>
        <v>0</v>
      </c>
      <c r="PYY64" s="857">
        <f t="shared" si="221"/>
        <v>0</v>
      </c>
      <c r="PYZ64" s="857">
        <f t="shared" si="221"/>
        <v>0</v>
      </c>
      <c r="PZA64" s="857">
        <f t="shared" si="221"/>
        <v>0</v>
      </c>
      <c r="PZB64" s="857">
        <f t="shared" si="221"/>
        <v>0</v>
      </c>
      <c r="PZC64" s="857">
        <f t="shared" si="221"/>
        <v>0</v>
      </c>
      <c r="PZD64" s="857">
        <f t="shared" si="221"/>
        <v>0</v>
      </c>
      <c r="PZE64" s="857">
        <f t="shared" si="221"/>
        <v>0</v>
      </c>
      <c r="PZF64" s="857">
        <f t="shared" si="221"/>
        <v>0</v>
      </c>
      <c r="PZG64" s="857">
        <f t="shared" si="221"/>
        <v>0</v>
      </c>
      <c r="PZH64" s="857">
        <f t="shared" si="221"/>
        <v>0</v>
      </c>
      <c r="PZI64" s="857">
        <f t="shared" si="221"/>
        <v>0</v>
      </c>
      <c r="PZJ64" s="857">
        <f t="shared" si="221"/>
        <v>0</v>
      </c>
      <c r="PZK64" s="857">
        <f t="shared" si="221"/>
        <v>0</v>
      </c>
      <c r="PZL64" s="857">
        <f t="shared" si="221"/>
        <v>0</v>
      </c>
      <c r="PZM64" s="857">
        <f t="shared" si="221"/>
        <v>0</v>
      </c>
      <c r="PZN64" s="857">
        <f t="shared" si="221"/>
        <v>0</v>
      </c>
      <c r="PZO64" s="857">
        <f t="shared" si="221"/>
        <v>0</v>
      </c>
      <c r="PZP64" s="857">
        <f t="shared" si="221"/>
        <v>0</v>
      </c>
      <c r="PZQ64" s="857">
        <f t="shared" si="221"/>
        <v>0</v>
      </c>
      <c r="PZR64" s="857">
        <f t="shared" si="221"/>
        <v>0</v>
      </c>
      <c r="PZS64" s="857">
        <f t="shared" si="221"/>
        <v>0</v>
      </c>
      <c r="PZT64" s="857">
        <f t="shared" si="221"/>
        <v>0</v>
      </c>
      <c r="PZU64" s="857">
        <f t="shared" si="221"/>
        <v>0</v>
      </c>
      <c r="PZV64" s="857">
        <f t="shared" si="221"/>
        <v>0</v>
      </c>
      <c r="PZW64" s="857">
        <f t="shared" si="221"/>
        <v>0</v>
      </c>
      <c r="PZX64" s="857">
        <f t="shared" si="221"/>
        <v>0</v>
      </c>
      <c r="PZY64" s="857">
        <f t="shared" si="221"/>
        <v>0</v>
      </c>
      <c r="PZZ64" s="857">
        <f t="shared" si="221"/>
        <v>0</v>
      </c>
      <c r="QAA64" s="857">
        <f t="shared" si="221"/>
        <v>0</v>
      </c>
      <c r="QAB64" s="857">
        <f t="shared" si="221"/>
        <v>0</v>
      </c>
      <c r="QAC64" s="857">
        <f t="shared" si="221"/>
        <v>0</v>
      </c>
      <c r="QAD64" s="857">
        <f t="shared" si="221"/>
        <v>0</v>
      </c>
      <c r="QAE64" s="857">
        <f t="shared" si="221"/>
        <v>0</v>
      </c>
      <c r="QAF64" s="857">
        <f t="shared" si="221"/>
        <v>0</v>
      </c>
      <c r="QAG64" s="857">
        <f t="shared" si="221"/>
        <v>0</v>
      </c>
      <c r="QAH64" s="857">
        <f t="shared" ref="QAH64:QCS64" si="222">(QAH57-QAH59)*$C$64</f>
        <v>0</v>
      </c>
      <c r="QAI64" s="857">
        <f t="shared" si="222"/>
        <v>0</v>
      </c>
      <c r="QAJ64" s="857">
        <f t="shared" si="222"/>
        <v>0</v>
      </c>
      <c r="QAK64" s="857">
        <f t="shared" si="222"/>
        <v>0</v>
      </c>
      <c r="QAL64" s="857">
        <f t="shared" si="222"/>
        <v>0</v>
      </c>
      <c r="QAM64" s="857">
        <f t="shared" si="222"/>
        <v>0</v>
      </c>
      <c r="QAN64" s="857">
        <f t="shared" si="222"/>
        <v>0</v>
      </c>
      <c r="QAO64" s="857">
        <f t="shared" si="222"/>
        <v>0</v>
      </c>
      <c r="QAP64" s="857">
        <f t="shared" si="222"/>
        <v>0</v>
      </c>
      <c r="QAQ64" s="857">
        <f t="shared" si="222"/>
        <v>0</v>
      </c>
      <c r="QAR64" s="857">
        <f t="shared" si="222"/>
        <v>0</v>
      </c>
      <c r="QAS64" s="857">
        <f t="shared" si="222"/>
        <v>0</v>
      </c>
      <c r="QAT64" s="857">
        <f t="shared" si="222"/>
        <v>0</v>
      </c>
      <c r="QAU64" s="857">
        <f t="shared" si="222"/>
        <v>0</v>
      </c>
      <c r="QAV64" s="857">
        <f t="shared" si="222"/>
        <v>0</v>
      </c>
      <c r="QAW64" s="857">
        <f t="shared" si="222"/>
        <v>0</v>
      </c>
      <c r="QAX64" s="857">
        <f t="shared" si="222"/>
        <v>0</v>
      </c>
      <c r="QAY64" s="857">
        <f t="shared" si="222"/>
        <v>0</v>
      </c>
      <c r="QAZ64" s="857">
        <f t="shared" si="222"/>
        <v>0</v>
      </c>
      <c r="QBA64" s="857">
        <f t="shared" si="222"/>
        <v>0</v>
      </c>
      <c r="QBB64" s="857">
        <f t="shared" si="222"/>
        <v>0</v>
      </c>
      <c r="QBC64" s="857">
        <f t="shared" si="222"/>
        <v>0</v>
      </c>
      <c r="QBD64" s="857">
        <f t="shared" si="222"/>
        <v>0</v>
      </c>
      <c r="QBE64" s="857">
        <f t="shared" si="222"/>
        <v>0</v>
      </c>
      <c r="QBF64" s="857">
        <f t="shared" si="222"/>
        <v>0</v>
      </c>
      <c r="QBG64" s="857">
        <f t="shared" si="222"/>
        <v>0</v>
      </c>
      <c r="QBH64" s="857">
        <f t="shared" si="222"/>
        <v>0</v>
      </c>
      <c r="QBI64" s="857">
        <f t="shared" si="222"/>
        <v>0</v>
      </c>
      <c r="QBJ64" s="857">
        <f t="shared" si="222"/>
        <v>0</v>
      </c>
      <c r="QBK64" s="857">
        <f t="shared" si="222"/>
        <v>0</v>
      </c>
      <c r="QBL64" s="857">
        <f t="shared" si="222"/>
        <v>0</v>
      </c>
      <c r="QBM64" s="857">
        <f t="shared" si="222"/>
        <v>0</v>
      </c>
      <c r="QBN64" s="857">
        <f t="shared" si="222"/>
        <v>0</v>
      </c>
      <c r="QBO64" s="857">
        <f t="shared" si="222"/>
        <v>0</v>
      </c>
      <c r="QBP64" s="857">
        <f t="shared" si="222"/>
        <v>0</v>
      </c>
      <c r="QBQ64" s="857">
        <f t="shared" si="222"/>
        <v>0</v>
      </c>
      <c r="QBR64" s="857">
        <f t="shared" si="222"/>
        <v>0</v>
      </c>
      <c r="QBS64" s="857">
        <f t="shared" si="222"/>
        <v>0</v>
      </c>
      <c r="QBT64" s="857">
        <f t="shared" si="222"/>
        <v>0</v>
      </c>
      <c r="QBU64" s="857">
        <f t="shared" si="222"/>
        <v>0</v>
      </c>
      <c r="QBV64" s="857">
        <f t="shared" si="222"/>
        <v>0</v>
      </c>
      <c r="QBW64" s="857">
        <f t="shared" si="222"/>
        <v>0</v>
      </c>
      <c r="QBX64" s="857">
        <f t="shared" si="222"/>
        <v>0</v>
      </c>
      <c r="QBY64" s="857">
        <f t="shared" si="222"/>
        <v>0</v>
      </c>
      <c r="QBZ64" s="857">
        <f t="shared" si="222"/>
        <v>0</v>
      </c>
      <c r="QCA64" s="857">
        <f t="shared" si="222"/>
        <v>0</v>
      </c>
      <c r="QCB64" s="857">
        <f t="shared" si="222"/>
        <v>0</v>
      </c>
      <c r="QCC64" s="857">
        <f t="shared" si="222"/>
        <v>0</v>
      </c>
      <c r="QCD64" s="857">
        <f t="shared" si="222"/>
        <v>0</v>
      </c>
      <c r="QCE64" s="857">
        <f t="shared" si="222"/>
        <v>0</v>
      </c>
      <c r="QCF64" s="857">
        <f t="shared" si="222"/>
        <v>0</v>
      </c>
      <c r="QCG64" s="857">
        <f t="shared" si="222"/>
        <v>0</v>
      </c>
      <c r="QCH64" s="857">
        <f t="shared" si="222"/>
        <v>0</v>
      </c>
      <c r="QCI64" s="857">
        <f t="shared" si="222"/>
        <v>0</v>
      </c>
      <c r="QCJ64" s="857">
        <f t="shared" si="222"/>
        <v>0</v>
      </c>
      <c r="QCK64" s="857">
        <f t="shared" si="222"/>
        <v>0</v>
      </c>
      <c r="QCL64" s="857">
        <f t="shared" si="222"/>
        <v>0</v>
      </c>
      <c r="QCM64" s="857">
        <f t="shared" si="222"/>
        <v>0</v>
      </c>
      <c r="QCN64" s="857">
        <f t="shared" si="222"/>
        <v>0</v>
      </c>
      <c r="QCO64" s="857">
        <f t="shared" si="222"/>
        <v>0</v>
      </c>
      <c r="QCP64" s="857">
        <f t="shared" si="222"/>
        <v>0</v>
      </c>
      <c r="QCQ64" s="857">
        <f t="shared" si="222"/>
        <v>0</v>
      </c>
      <c r="QCR64" s="857">
        <f t="shared" si="222"/>
        <v>0</v>
      </c>
      <c r="QCS64" s="857">
        <f t="shared" si="222"/>
        <v>0</v>
      </c>
      <c r="QCT64" s="857">
        <f t="shared" ref="QCT64:QFE64" si="223">(QCT57-QCT59)*$C$64</f>
        <v>0</v>
      </c>
      <c r="QCU64" s="857">
        <f t="shared" si="223"/>
        <v>0</v>
      </c>
      <c r="QCV64" s="857">
        <f t="shared" si="223"/>
        <v>0</v>
      </c>
      <c r="QCW64" s="857">
        <f t="shared" si="223"/>
        <v>0</v>
      </c>
      <c r="QCX64" s="857">
        <f t="shared" si="223"/>
        <v>0</v>
      </c>
      <c r="QCY64" s="857">
        <f t="shared" si="223"/>
        <v>0</v>
      </c>
      <c r="QCZ64" s="857">
        <f t="shared" si="223"/>
        <v>0</v>
      </c>
      <c r="QDA64" s="857">
        <f t="shared" si="223"/>
        <v>0</v>
      </c>
      <c r="QDB64" s="857">
        <f t="shared" si="223"/>
        <v>0</v>
      </c>
      <c r="QDC64" s="857">
        <f t="shared" si="223"/>
        <v>0</v>
      </c>
      <c r="QDD64" s="857">
        <f t="shared" si="223"/>
        <v>0</v>
      </c>
      <c r="QDE64" s="857">
        <f t="shared" si="223"/>
        <v>0</v>
      </c>
      <c r="QDF64" s="857">
        <f t="shared" si="223"/>
        <v>0</v>
      </c>
      <c r="QDG64" s="857">
        <f t="shared" si="223"/>
        <v>0</v>
      </c>
      <c r="QDH64" s="857">
        <f t="shared" si="223"/>
        <v>0</v>
      </c>
      <c r="QDI64" s="857">
        <f t="shared" si="223"/>
        <v>0</v>
      </c>
      <c r="QDJ64" s="857">
        <f t="shared" si="223"/>
        <v>0</v>
      </c>
      <c r="QDK64" s="857">
        <f t="shared" si="223"/>
        <v>0</v>
      </c>
      <c r="QDL64" s="857">
        <f t="shared" si="223"/>
        <v>0</v>
      </c>
      <c r="QDM64" s="857">
        <f t="shared" si="223"/>
        <v>0</v>
      </c>
      <c r="QDN64" s="857">
        <f t="shared" si="223"/>
        <v>0</v>
      </c>
      <c r="QDO64" s="857">
        <f t="shared" si="223"/>
        <v>0</v>
      </c>
      <c r="QDP64" s="857">
        <f t="shared" si="223"/>
        <v>0</v>
      </c>
      <c r="QDQ64" s="857">
        <f t="shared" si="223"/>
        <v>0</v>
      </c>
      <c r="QDR64" s="857">
        <f t="shared" si="223"/>
        <v>0</v>
      </c>
      <c r="QDS64" s="857">
        <f t="shared" si="223"/>
        <v>0</v>
      </c>
      <c r="QDT64" s="857">
        <f t="shared" si="223"/>
        <v>0</v>
      </c>
      <c r="QDU64" s="857">
        <f t="shared" si="223"/>
        <v>0</v>
      </c>
      <c r="QDV64" s="857">
        <f t="shared" si="223"/>
        <v>0</v>
      </c>
      <c r="QDW64" s="857">
        <f t="shared" si="223"/>
        <v>0</v>
      </c>
      <c r="QDX64" s="857">
        <f t="shared" si="223"/>
        <v>0</v>
      </c>
      <c r="QDY64" s="857">
        <f t="shared" si="223"/>
        <v>0</v>
      </c>
      <c r="QDZ64" s="857">
        <f t="shared" si="223"/>
        <v>0</v>
      </c>
      <c r="QEA64" s="857">
        <f t="shared" si="223"/>
        <v>0</v>
      </c>
      <c r="QEB64" s="857">
        <f t="shared" si="223"/>
        <v>0</v>
      </c>
      <c r="QEC64" s="857">
        <f t="shared" si="223"/>
        <v>0</v>
      </c>
      <c r="QED64" s="857">
        <f t="shared" si="223"/>
        <v>0</v>
      </c>
      <c r="QEE64" s="857">
        <f t="shared" si="223"/>
        <v>0</v>
      </c>
      <c r="QEF64" s="857">
        <f t="shared" si="223"/>
        <v>0</v>
      </c>
      <c r="QEG64" s="857">
        <f t="shared" si="223"/>
        <v>0</v>
      </c>
      <c r="QEH64" s="857">
        <f t="shared" si="223"/>
        <v>0</v>
      </c>
      <c r="QEI64" s="857">
        <f t="shared" si="223"/>
        <v>0</v>
      </c>
      <c r="QEJ64" s="857">
        <f t="shared" si="223"/>
        <v>0</v>
      </c>
      <c r="QEK64" s="857">
        <f t="shared" si="223"/>
        <v>0</v>
      </c>
      <c r="QEL64" s="857">
        <f t="shared" si="223"/>
        <v>0</v>
      </c>
      <c r="QEM64" s="857">
        <f t="shared" si="223"/>
        <v>0</v>
      </c>
      <c r="QEN64" s="857">
        <f t="shared" si="223"/>
        <v>0</v>
      </c>
      <c r="QEO64" s="857">
        <f t="shared" si="223"/>
        <v>0</v>
      </c>
      <c r="QEP64" s="857">
        <f t="shared" si="223"/>
        <v>0</v>
      </c>
      <c r="QEQ64" s="857">
        <f t="shared" si="223"/>
        <v>0</v>
      </c>
      <c r="QER64" s="857">
        <f t="shared" si="223"/>
        <v>0</v>
      </c>
      <c r="QES64" s="857">
        <f t="shared" si="223"/>
        <v>0</v>
      </c>
      <c r="QET64" s="857">
        <f t="shared" si="223"/>
        <v>0</v>
      </c>
      <c r="QEU64" s="857">
        <f t="shared" si="223"/>
        <v>0</v>
      </c>
      <c r="QEV64" s="857">
        <f t="shared" si="223"/>
        <v>0</v>
      </c>
      <c r="QEW64" s="857">
        <f t="shared" si="223"/>
        <v>0</v>
      </c>
      <c r="QEX64" s="857">
        <f t="shared" si="223"/>
        <v>0</v>
      </c>
      <c r="QEY64" s="857">
        <f t="shared" si="223"/>
        <v>0</v>
      </c>
      <c r="QEZ64" s="857">
        <f t="shared" si="223"/>
        <v>0</v>
      </c>
      <c r="QFA64" s="857">
        <f t="shared" si="223"/>
        <v>0</v>
      </c>
      <c r="QFB64" s="857">
        <f t="shared" si="223"/>
        <v>0</v>
      </c>
      <c r="QFC64" s="857">
        <f t="shared" si="223"/>
        <v>0</v>
      </c>
      <c r="QFD64" s="857">
        <f t="shared" si="223"/>
        <v>0</v>
      </c>
      <c r="QFE64" s="857">
        <f t="shared" si="223"/>
        <v>0</v>
      </c>
      <c r="QFF64" s="857">
        <f t="shared" ref="QFF64:QHQ64" si="224">(QFF57-QFF59)*$C$64</f>
        <v>0</v>
      </c>
      <c r="QFG64" s="857">
        <f t="shared" si="224"/>
        <v>0</v>
      </c>
      <c r="QFH64" s="857">
        <f t="shared" si="224"/>
        <v>0</v>
      </c>
      <c r="QFI64" s="857">
        <f t="shared" si="224"/>
        <v>0</v>
      </c>
      <c r="QFJ64" s="857">
        <f t="shared" si="224"/>
        <v>0</v>
      </c>
      <c r="QFK64" s="857">
        <f t="shared" si="224"/>
        <v>0</v>
      </c>
      <c r="QFL64" s="857">
        <f t="shared" si="224"/>
        <v>0</v>
      </c>
      <c r="QFM64" s="857">
        <f t="shared" si="224"/>
        <v>0</v>
      </c>
      <c r="QFN64" s="857">
        <f t="shared" si="224"/>
        <v>0</v>
      </c>
      <c r="QFO64" s="857">
        <f t="shared" si="224"/>
        <v>0</v>
      </c>
      <c r="QFP64" s="857">
        <f t="shared" si="224"/>
        <v>0</v>
      </c>
      <c r="QFQ64" s="857">
        <f t="shared" si="224"/>
        <v>0</v>
      </c>
      <c r="QFR64" s="857">
        <f t="shared" si="224"/>
        <v>0</v>
      </c>
      <c r="QFS64" s="857">
        <f t="shared" si="224"/>
        <v>0</v>
      </c>
      <c r="QFT64" s="857">
        <f t="shared" si="224"/>
        <v>0</v>
      </c>
      <c r="QFU64" s="857">
        <f t="shared" si="224"/>
        <v>0</v>
      </c>
      <c r="QFV64" s="857">
        <f t="shared" si="224"/>
        <v>0</v>
      </c>
      <c r="QFW64" s="857">
        <f t="shared" si="224"/>
        <v>0</v>
      </c>
      <c r="QFX64" s="857">
        <f t="shared" si="224"/>
        <v>0</v>
      </c>
      <c r="QFY64" s="857">
        <f t="shared" si="224"/>
        <v>0</v>
      </c>
      <c r="QFZ64" s="857">
        <f t="shared" si="224"/>
        <v>0</v>
      </c>
      <c r="QGA64" s="857">
        <f t="shared" si="224"/>
        <v>0</v>
      </c>
      <c r="QGB64" s="857">
        <f t="shared" si="224"/>
        <v>0</v>
      </c>
      <c r="QGC64" s="857">
        <f t="shared" si="224"/>
        <v>0</v>
      </c>
      <c r="QGD64" s="857">
        <f t="shared" si="224"/>
        <v>0</v>
      </c>
      <c r="QGE64" s="857">
        <f t="shared" si="224"/>
        <v>0</v>
      </c>
      <c r="QGF64" s="857">
        <f t="shared" si="224"/>
        <v>0</v>
      </c>
      <c r="QGG64" s="857">
        <f t="shared" si="224"/>
        <v>0</v>
      </c>
      <c r="QGH64" s="857">
        <f t="shared" si="224"/>
        <v>0</v>
      </c>
      <c r="QGI64" s="857">
        <f t="shared" si="224"/>
        <v>0</v>
      </c>
      <c r="QGJ64" s="857">
        <f t="shared" si="224"/>
        <v>0</v>
      </c>
      <c r="QGK64" s="857">
        <f t="shared" si="224"/>
        <v>0</v>
      </c>
      <c r="QGL64" s="857">
        <f t="shared" si="224"/>
        <v>0</v>
      </c>
      <c r="QGM64" s="857">
        <f t="shared" si="224"/>
        <v>0</v>
      </c>
      <c r="QGN64" s="857">
        <f t="shared" si="224"/>
        <v>0</v>
      </c>
      <c r="QGO64" s="857">
        <f t="shared" si="224"/>
        <v>0</v>
      </c>
      <c r="QGP64" s="857">
        <f t="shared" si="224"/>
        <v>0</v>
      </c>
      <c r="QGQ64" s="857">
        <f t="shared" si="224"/>
        <v>0</v>
      </c>
      <c r="QGR64" s="857">
        <f t="shared" si="224"/>
        <v>0</v>
      </c>
      <c r="QGS64" s="857">
        <f t="shared" si="224"/>
        <v>0</v>
      </c>
      <c r="QGT64" s="857">
        <f t="shared" si="224"/>
        <v>0</v>
      </c>
      <c r="QGU64" s="857">
        <f t="shared" si="224"/>
        <v>0</v>
      </c>
      <c r="QGV64" s="857">
        <f t="shared" si="224"/>
        <v>0</v>
      </c>
      <c r="QGW64" s="857">
        <f t="shared" si="224"/>
        <v>0</v>
      </c>
      <c r="QGX64" s="857">
        <f t="shared" si="224"/>
        <v>0</v>
      </c>
      <c r="QGY64" s="857">
        <f t="shared" si="224"/>
        <v>0</v>
      </c>
      <c r="QGZ64" s="857">
        <f t="shared" si="224"/>
        <v>0</v>
      </c>
      <c r="QHA64" s="857">
        <f t="shared" si="224"/>
        <v>0</v>
      </c>
      <c r="QHB64" s="857">
        <f t="shared" si="224"/>
        <v>0</v>
      </c>
      <c r="QHC64" s="857">
        <f t="shared" si="224"/>
        <v>0</v>
      </c>
      <c r="QHD64" s="857">
        <f t="shared" si="224"/>
        <v>0</v>
      </c>
      <c r="QHE64" s="857">
        <f t="shared" si="224"/>
        <v>0</v>
      </c>
      <c r="QHF64" s="857">
        <f t="shared" si="224"/>
        <v>0</v>
      </c>
      <c r="QHG64" s="857">
        <f t="shared" si="224"/>
        <v>0</v>
      </c>
      <c r="QHH64" s="857">
        <f t="shared" si="224"/>
        <v>0</v>
      </c>
      <c r="QHI64" s="857">
        <f t="shared" si="224"/>
        <v>0</v>
      </c>
      <c r="QHJ64" s="857">
        <f t="shared" si="224"/>
        <v>0</v>
      </c>
      <c r="QHK64" s="857">
        <f t="shared" si="224"/>
        <v>0</v>
      </c>
      <c r="QHL64" s="857">
        <f t="shared" si="224"/>
        <v>0</v>
      </c>
      <c r="QHM64" s="857">
        <f t="shared" si="224"/>
        <v>0</v>
      </c>
      <c r="QHN64" s="857">
        <f t="shared" si="224"/>
        <v>0</v>
      </c>
      <c r="QHO64" s="857">
        <f t="shared" si="224"/>
        <v>0</v>
      </c>
      <c r="QHP64" s="857">
        <f t="shared" si="224"/>
        <v>0</v>
      </c>
      <c r="QHQ64" s="857">
        <f t="shared" si="224"/>
        <v>0</v>
      </c>
      <c r="QHR64" s="857">
        <f t="shared" ref="QHR64:QKC64" si="225">(QHR57-QHR59)*$C$64</f>
        <v>0</v>
      </c>
      <c r="QHS64" s="857">
        <f t="shared" si="225"/>
        <v>0</v>
      </c>
      <c r="QHT64" s="857">
        <f t="shared" si="225"/>
        <v>0</v>
      </c>
      <c r="QHU64" s="857">
        <f t="shared" si="225"/>
        <v>0</v>
      </c>
      <c r="QHV64" s="857">
        <f t="shared" si="225"/>
        <v>0</v>
      </c>
      <c r="QHW64" s="857">
        <f t="shared" si="225"/>
        <v>0</v>
      </c>
      <c r="QHX64" s="857">
        <f t="shared" si="225"/>
        <v>0</v>
      </c>
      <c r="QHY64" s="857">
        <f t="shared" si="225"/>
        <v>0</v>
      </c>
      <c r="QHZ64" s="857">
        <f t="shared" si="225"/>
        <v>0</v>
      </c>
      <c r="QIA64" s="857">
        <f t="shared" si="225"/>
        <v>0</v>
      </c>
      <c r="QIB64" s="857">
        <f t="shared" si="225"/>
        <v>0</v>
      </c>
      <c r="QIC64" s="857">
        <f t="shared" si="225"/>
        <v>0</v>
      </c>
      <c r="QID64" s="857">
        <f t="shared" si="225"/>
        <v>0</v>
      </c>
      <c r="QIE64" s="857">
        <f t="shared" si="225"/>
        <v>0</v>
      </c>
      <c r="QIF64" s="857">
        <f t="shared" si="225"/>
        <v>0</v>
      </c>
      <c r="QIG64" s="857">
        <f t="shared" si="225"/>
        <v>0</v>
      </c>
      <c r="QIH64" s="857">
        <f t="shared" si="225"/>
        <v>0</v>
      </c>
      <c r="QII64" s="857">
        <f t="shared" si="225"/>
        <v>0</v>
      </c>
      <c r="QIJ64" s="857">
        <f t="shared" si="225"/>
        <v>0</v>
      </c>
      <c r="QIK64" s="857">
        <f t="shared" si="225"/>
        <v>0</v>
      </c>
      <c r="QIL64" s="857">
        <f t="shared" si="225"/>
        <v>0</v>
      </c>
      <c r="QIM64" s="857">
        <f t="shared" si="225"/>
        <v>0</v>
      </c>
      <c r="QIN64" s="857">
        <f t="shared" si="225"/>
        <v>0</v>
      </c>
      <c r="QIO64" s="857">
        <f t="shared" si="225"/>
        <v>0</v>
      </c>
      <c r="QIP64" s="857">
        <f t="shared" si="225"/>
        <v>0</v>
      </c>
      <c r="QIQ64" s="857">
        <f t="shared" si="225"/>
        <v>0</v>
      </c>
      <c r="QIR64" s="857">
        <f t="shared" si="225"/>
        <v>0</v>
      </c>
      <c r="QIS64" s="857">
        <f t="shared" si="225"/>
        <v>0</v>
      </c>
      <c r="QIT64" s="857">
        <f t="shared" si="225"/>
        <v>0</v>
      </c>
      <c r="QIU64" s="857">
        <f t="shared" si="225"/>
        <v>0</v>
      </c>
      <c r="QIV64" s="857">
        <f t="shared" si="225"/>
        <v>0</v>
      </c>
      <c r="QIW64" s="857">
        <f t="shared" si="225"/>
        <v>0</v>
      </c>
      <c r="QIX64" s="857">
        <f t="shared" si="225"/>
        <v>0</v>
      </c>
      <c r="QIY64" s="857">
        <f t="shared" si="225"/>
        <v>0</v>
      </c>
      <c r="QIZ64" s="857">
        <f t="shared" si="225"/>
        <v>0</v>
      </c>
      <c r="QJA64" s="857">
        <f t="shared" si="225"/>
        <v>0</v>
      </c>
      <c r="QJB64" s="857">
        <f t="shared" si="225"/>
        <v>0</v>
      </c>
      <c r="QJC64" s="857">
        <f t="shared" si="225"/>
        <v>0</v>
      </c>
      <c r="QJD64" s="857">
        <f t="shared" si="225"/>
        <v>0</v>
      </c>
      <c r="QJE64" s="857">
        <f t="shared" si="225"/>
        <v>0</v>
      </c>
      <c r="QJF64" s="857">
        <f t="shared" si="225"/>
        <v>0</v>
      </c>
      <c r="QJG64" s="857">
        <f t="shared" si="225"/>
        <v>0</v>
      </c>
      <c r="QJH64" s="857">
        <f t="shared" si="225"/>
        <v>0</v>
      </c>
      <c r="QJI64" s="857">
        <f t="shared" si="225"/>
        <v>0</v>
      </c>
      <c r="QJJ64" s="857">
        <f t="shared" si="225"/>
        <v>0</v>
      </c>
      <c r="QJK64" s="857">
        <f t="shared" si="225"/>
        <v>0</v>
      </c>
      <c r="QJL64" s="857">
        <f t="shared" si="225"/>
        <v>0</v>
      </c>
      <c r="QJM64" s="857">
        <f t="shared" si="225"/>
        <v>0</v>
      </c>
      <c r="QJN64" s="857">
        <f t="shared" si="225"/>
        <v>0</v>
      </c>
      <c r="QJO64" s="857">
        <f t="shared" si="225"/>
        <v>0</v>
      </c>
      <c r="QJP64" s="857">
        <f t="shared" si="225"/>
        <v>0</v>
      </c>
      <c r="QJQ64" s="857">
        <f t="shared" si="225"/>
        <v>0</v>
      </c>
      <c r="QJR64" s="857">
        <f t="shared" si="225"/>
        <v>0</v>
      </c>
      <c r="QJS64" s="857">
        <f t="shared" si="225"/>
        <v>0</v>
      </c>
      <c r="QJT64" s="857">
        <f t="shared" si="225"/>
        <v>0</v>
      </c>
      <c r="QJU64" s="857">
        <f t="shared" si="225"/>
        <v>0</v>
      </c>
      <c r="QJV64" s="857">
        <f t="shared" si="225"/>
        <v>0</v>
      </c>
      <c r="QJW64" s="857">
        <f t="shared" si="225"/>
        <v>0</v>
      </c>
      <c r="QJX64" s="857">
        <f t="shared" si="225"/>
        <v>0</v>
      </c>
      <c r="QJY64" s="857">
        <f t="shared" si="225"/>
        <v>0</v>
      </c>
      <c r="QJZ64" s="857">
        <f t="shared" si="225"/>
        <v>0</v>
      </c>
      <c r="QKA64" s="857">
        <f t="shared" si="225"/>
        <v>0</v>
      </c>
      <c r="QKB64" s="857">
        <f t="shared" si="225"/>
        <v>0</v>
      </c>
      <c r="QKC64" s="857">
        <f t="shared" si="225"/>
        <v>0</v>
      </c>
      <c r="QKD64" s="857">
        <f t="shared" ref="QKD64:QMO64" si="226">(QKD57-QKD59)*$C$64</f>
        <v>0</v>
      </c>
      <c r="QKE64" s="857">
        <f t="shared" si="226"/>
        <v>0</v>
      </c>
      <c r="QKF64" s="857">
        <f t="shared" si="226"/>
        <v>0</v>
      </c>
      <c r="QKG64" s="857">
        <f t="shared" si="226"/>
        <v>0</v>
      </c>
      <c r="QKH64" s="857">
        <f t="shared" si="226"/>
        <v>0</v>
      </c>
      <c r="QKI64" s="857">
        <f t="shared" si="226"/>
        <v>0</v>
      </c>
      <c r="QKJ64" s="857">
        <f t="shared" si="226"/>
        <v>0</v>
      </c>
      <c r="QKK64" s="857">
        <f t="shared" si="226"/>
        <v>0</v>
      </c>
      <c r="QKL64" s="857">
        <f t="shared" si="226"/>
        <v>0</v>
      </c>
      <c r="QKM64" s="857">
        <f t="shared" si="226"/>
        <v>0</v>
      </c>
      <c r="QKN64" s="857">
        <f t="shared" si="226"/>
        <v>0</v>
      </c>
      <c r="QKO64" s="857">
        <f t="shared" si="226"/>
        <v>0</v>
      </c>
      <c r="QKP64" s="857">
        <f t="shared" si="226"/>
        <v>0</v>
      </c>
      <c r="QKQ64" s="857">
        <f t="shared" si="226"/>
        <v>0</v>
      </c>
      <c r="QKR64" s="857">
        <f t="shared" si="226"/>
        <v>0</v>
      </c>
      <c r="QKS64" s="857">
        <f t="shared" si="226"/>
        <v>0</v>
      </c>
      <c r="QKT64" s="857">
        <f t="shared" si="226"/>
        <v>0</v>
      </c>
      <c r="QKU64" s="857">
        <f t="shared" si="226"/>
        <v>0</v>
      </c>
      <c r="QKV64" s="857">
        <f t="shared" si="226"/>
        <v>0</v>
      </c>
      <c r="QKW64" s="857">
        <f t="shared" si="226"/>
        <v>0</v>
      </c>
      <c r="QKX64" s="857">
        <f t="shared" si="226"/>
        <v>0</v>
      </c>
      <c r="QKY64" s="857">
        <f t="shared" si="226"/>
        <v>0</v>
      </c>
      <c r="QKZ64" s="857">
        <f t="shared" si="226"/>
        <v>0</v>
      </c>
      <c r="QLA64" s="857">
        <f t="shared" si="226"/>
        <v>0</v>
      </c>
      <c r="QLB64" s="857">
        <f t="shared" si="226"/>
        <v>0</v>
      </c>
      <c r="QLC64" s="857">
        <f t="shared" si="226"/>
        <v>0</v>
      </c>
      <c r="QLD64" s="857">
        <f t="shared" si="226"/>
        <v>0</v>
      </c>
      <c r="QLE64" s="857">
        <f t="shared" si="226"/>
        <v>0</v>
      </c>
      <c r="QLF64" s="857">
        <f t="shared" si="226"/>
        <v>0</v>
      </c>
      <c r="QLG64" s="857">
        <f t="shared" si="226"/>
        <v>0</v>
      </c>
      <c r="QLH64" s="857">
        <f t="shared" si="226"/>
        <v>0</v>
      </c>
      <c r="QLI64" s="857">
        <f t="shared" si="226"/>
        <v>0</v>
      </c>
      <c r="QLJ64" s="857">
        <f t="shared" si="226"/>
        <v>0</v>
      </c>
      <c r="QLK64" s="857">
        <f t="shared" si="226"/>
        <v>0</v>
      </c>
      <c r="QLL64" s="857">
        <f t="shared" si="226"/>
        <v>0</v>
      </c>
      <c r="QLM64" s="857">
        <f t="shared" si="226"/>
        <v>0</v>
      </c>
      <c r="QLN64" s="857">
        <f t="shared" si="226"/>
        <v>0</v>
      </c>
      <c r="QLO64" s="857">
        <f t="shared" si="226"/>
        <v>0</v>
      </c>
      <c r="QLP64" s="857">
        <f t="shared" si="226"/>
        <v>0</v>
      </c>
      <c r="QLQ64" s="857">
        <f t="shared" si="226"/>
        <v>0</v>
      </c>
      <c r="QLR64" s="857">
        <f t="shared" si="226"/>
        <v>0</v>
      </c>
      <c r="QLS64" s="857">
        <f t="shared" si="226"/>
        <v>0</v>
      </c>
      <c r="QLT64" s="857">
        <f t="shared" si="226"/>
        <v>0</v>
      </c>
      <c r="QLU64" s="857">
        <f t="shared" si="226"/>
        <v>0</v>
      </c>
      <c r="QLV64" s="857">
        <f t="shared" si="226"/>
        <v>0</v>
      </c>
      <c r="QLW64" s="857">
        <f t="shared" si="226"/>
        <v>0</v>
      </c>
      <c r="QLX64" s="857">
        <f t="shared" si="226"/>
        <v>0</v>
      </c>
      <c r="QLY64" s="857">
        <f t="shared" si="226"/>
        <v>0</v>
      </c>
      <c r="QLZ64" s="857">
        <f t="shared" si="226"/>
        <v>0</v>
      </c>
      <c r="QMA64" s="857">
        <f t="shared" si="226"/>
        <v>0</v>
      </c>
      <c r="QMB64" s="857">
        <f t="shared" si="226"/>
        <v>0</v>
      </c>
      <c r="QMC64" s="857">
        <f t="shared" si="226"/>
        <v>0</v>
      </c>
      <c r="QMD64" s="857">
        <f t="shared" si="226"/>
        <v>0</v>
      </c>
      <c r="QME64" s="857">
        <f t="shared" si="226"/>
        <v>0</v>
      </c>
      <c r="QMF64" s="857">
        <f t="shared" si="226"/>
        <v>0</v>
      </c>
      <c r="QMG64" s="857">
        <f t="shared" si="226"/>
        <v>0</v>
      </c>
      <c r="QMH64" s="857">
        <f t="shared" si="226"/>
        <v>0</v>
      </c>
      <c r="QMI64" s="857">
        <f t="shared" si="226"/>
        <v>0</v>
      </c>
      <c r="QMJ64" s="857">
        <f t="shared" si="226"/>
        <v>0</v>
      </c>
      <c r="QMK64" s="857">
        <f t="shared" si="226"/>
        <v>0</v>
      </c>
      <c r="QML64" s="857">
        <f t="shared" si="226"/>
        <v>0</v>
      </c>
      <c r="QMM64" s="857">
        <f t="shared" si="226"/>
        <v>0</v>
      </c>
      <c r="QMN64" s="857">
        <f t="shared" si="226"/>
        <v>0</v>
      </c>
      <c r="QMO64" s="857">
        <f t="shared" si="226"/>
        <v>0</v>
      </c>
      <c r="QMP64" s="857">
        <f t="shared" ref="QMP64:QPA64" si="227">(QMP57-QMP59)*$C$64</f>
        <v>0</v>
      </c>
      <c r="QMQ64" s="857">
        <f t="shared" si="227"/>
        <v>0</v>
      </c>
      <c r="QMR64" s="857">
        <f t="shared" si="227"/>
        <v>0</v>
      </c>
      <c r="QMS64" s="857">
        <f t="shared" si="227"/>
        <v>0</v>
      </c>
      <c r="QMT64" s="857">
        <f t="shared" si="227"/>
        <v>0</v>
      </c>
      <c r="QMU64" s="857">
        <f t="shared" si="227"/>
        <v>0</v>
      </c>
      <c r="QMV64" s="857">
        <f t="shared" si="227"/>
        <v>0</v>
      </c>
      <c r="QMW64" s="857">
        <f t="shared" si="227"/>
        <v>0</v>
      </c>
      <c r="QMX64" s="857">
        <f t="shared" si="227"/>
        <v>0</v>
      </c>
      <c r="QMY64" s="857">
        <f t="shared" si="227"/>
        <v>0</v>
      </c>
      <c r="QMZ64" s="857">
        <f t="shared" si="227"/>
        <v>0</v>
      </c>
      <c r="QNA64" s="857">
        <f t="shared" si="227"/>
        <v>0</v>
      </c>
      <c r="QNB64" s="857">
        <f t="shared" si="227"/>
        <v>0</v>
      </c>
      <c r="QNC64" s="857">
        <f t="shared" si="227"/>
        <v>0</v>
      </c>
      <c r="QND64" s="857">
        <f t="shared" si="227"/>
        <v>0</v>
      </c>
      <c r="QNE64" s="857">
        <f t="shared" si="227"/>
        <v>0</v>
      </c>
      <c r="QNF64" s="857">
        <f t="shared" si="227"/>
        <v>0</v>
      </c>
      <c r="QNG64" s="857">
        <f t="shared" si="227"/>
        <v>0</v>
      </c>
      <c r="QNH64" s="857">
        <f t="shared" si="227"/>
        <v>0</v>
      </c>
      <c r="QNI64" s="857">
        <f t="shared" si="227"/>
        <v>0</v>
      </c>
      <c r="QNJ64" s="857">
        <f t="shared" si="227"/>
        <v>0</v>
      </c>
      <c r="QNK64" s="857">
        <f t="shared" si="227"/>
        <v>0</v>
      </c>
      <c r="QNL64" s="857">
        <f t="shared" si="227"/>
        <v>0</v>
      </c>
      <c r="QNM64" s="857">
        <f t="shared" si="227"/>
        <v>0</v>
      </c>
      <c r="QNN64" s="857">
        <f t="shared" si="227"/>
        <v>0</v>
      </c>
      <c r="QNO64" s="857">
        <f t="shared" si="227"/>
        <v>0</v>
      </c>
      <c r="QNP64" s="857">
        <f t="shared" si="227"/>
        <v>0</v>
      </c>
      <c r="QNQ64" s="857">
        <f t="shared" si="227"/>
        <v>0</v>
      </c>
      <c r="QNR64" s="857">
        <f t="shared" si="227"/>
        <v>0</v>
      </c>
      <c r="QNS64" s="857">
        <f t="shared" si="227"/>
        <v>0</v>
      </c>
      <c r="QNT64" s="857">
        <f t="shared" si="227"/>
        <v>0</v>
      </c>
      <c r="QNU64" s="857">
        <f t="shared" si="227"/>
        <v>0</v>
      </c>
      <c r="QNV64" s="857">
        <f t="shared" si="227"/>
        <v>0</v>
      </c>
      <c r="QNW64" s="857">
        <f t="shared" si="227"/>
        <v>0</v>
      </c>
      <c r="QNX64" s="857">
        <f t="shared" si="227"/>
        <v>0</v>
      </c>
      <c r="QNY64" s="857">
        <f t="shared" si="227"/>
        <v>0</v>
      </c>
      <c r="QNZ64" s="857">
        <f t="shared" si="227"/>
        <v>0</v>
      </c>
      <c r="QOA64" s="857">
        <f t="shared" si="227"/>
        <v>0</v>
      </c>
      <c r="QOB64" s="857">
        <f t="shared" si="227"/>
        <v>0</v>
      </c>
      <c r="QOC64" s="857">
        <f t="shared" si="227"/>
        <v>0</v>
      </c>
      <c r="QOD64" s="857">
        <f t="shared" si="227"/>
        <v>0</v>
      </c>
      <c r="QOE64" s="857">
        <f t="shared" si="227"/>
        <v>0</v>
      </c>
      <c r="QOF64" s="857">
        <f t="shared" si="227"/>
        <v>0</v>
      </c>
      <c r="QOG64" s="857">
        <f t="shared" si="227"/>
        <v>0</v>
      </c>
      <c r="QOH64" s="857">
        <f t="shared" si="227"/>
        <v>0</v>
      </c>
      <c r="QOI64" s="857">
        <f t="shared" si="227"/>
        <v>0</v>
      </c>
      <c r="QOJ64" s="857">
        <f t="shared" si="227"/>
        <v>0</v>
      </c>
      <c r="QOK64" s="857">
        <f t="shared" si="227"/>
        <v>0</v>
      </c>
      <c r="QOL64" s="857">
        <f t="shared" si="227"/>
        <v>0</v>
      </c>
      <c r="QOM64" s="857">
        <f t="shared" si="227"/>
        <v>0</v>
      </c>
      <c r="QON64" s="857">
        <f t="shared" si="227"/>
        <v>0</v>
      </c>
      <c r="QOO64" s="857">
        <f t="shared" si="227"/>
        <v>0</v>
      </c>
      <c r="QOP64" s="857">
        <f t="shared" si="227"/>
        <v>0</v>
      </c>
      <c r="QOQ64" s="857">
        <f t="shared" si="227"/>
        <v>0</v>
      </c>
      <c r="QOR64" s="857">
        <f t="shared" si="227"/>
        <v>0</v>
      </c>
      <c r="QOS64" s="857">
        <f t="shared" si="227"/>
        <v>0</v>
      </c>
      <c r="QOT64" s="857">
        <f t="shared" si="227"/>
        <v>0</v>
      </c>
      <c r="QOU64" s="857">
        <f t="shared" si="227"/>
        <v>0</v>
      </c>
      <c r="QOV64" s="857">
        <f t="shared" si="227"/>
        <v>0</v>
      </c>
      <c r="QOW64" s="857">
        <f t="shared" si="227"/>
        <v>0</v>
      </c>
      <c r="QOX64" s="857">
        <f t="shared" si="227"/>
        <v>0</v>
      </c>
      <c r="QOY64" s="857">
        <f t="shared" si="227"/>
        <v>0</v>
      </c>
      <c r="QOZ64" s="857">
        <f t="shared" si="227"/>
        <v>0</v>
      </c>
      <c r="QPA64" s="857">
        <f t="shared" si="227"/>
        <v>0</v>
      </c>
      <c r="QPB64" s="857">
        <f t="shared" ref="QPB64:QRM64" si="228">(QPB57-QPB59)*$C$64</f>
        <v>0</v>
      </c>
      <c r="QPC64" s="857">
        <f t="shared" si="228"/>
        <v>0</v>
      </c>
      <c r="QPD64" s="857">
        <f t="shared" si="228"/>
        <v>0</v>
      </c>
      <c r="QPE64" s="857">
        <f t="shared" si="228"/>
        <v>0</v>
      </c>
      <c r="QPF64" s="857">
        <f t="shared" si="228"/>
        <v>0</v>
      </c>
      <c r="QPG64" s="857">
        <f t="shared" si="228"/>
        <v>0</v>
      </c>
      <c r="QPH64" s="857">
        <f t="shared" si="228"/>
        <v>0</v>
      </c>
      <c r="QPI64" s="857">
        <f t="shared" si="228"/>
        <v>0</v>
      </c>
      <c r="QPJ64" s="857">
        <f t="shared" si="228"/>
        <v>0</v>
      </c>
      <c r="QPK64" s="857">
        <f t="shared" si="228"/>
        <v>0</v>
      </c>
      <c r="QPL64" s="857">
        <f t="shared" si="228"/>
        <v>0</v>
      </c>
      <c r="QPM64" s="857">
        <f t="shared" si="228"/>
        <v>0</v>
      </c>
      <c r="QPN64" s="857">
        <f t="shared" si="228"/>
        <v>0</v>
      </c>
      <c r="QPO64" s="857">
        <f t="shared" si="228"/>
        <v>0</v>
      </c>
      <c r="QPP64" s="857">
        <f t="shared" si="228"/>
        <v>0</v>
      </c>
      <c r="QPQ64" s="857">
        <f t="shared" si="228"/>
        <v>0</v>
      </c>
      <c r="QPR64" s="857">
        <f t="shared" si="228"/>
        <v>0</v>
      </c>
      <c r="QPS64" s="857">
        <f t="shared" si="228"/>
        <v>0</v>
      </c>
      <c r="QPT64" s="857">
        <f t="shared" si="228"/>
        <v>0</v>
      </c>
      <c r="QPU64" s="857">
        <f t="shared" si="228"/>
        <v>0</v>
      </c>
      <c r="QPV64" s="857">
        <f t="shared" si="228"/>
        <v>0</v>
      </c>
      <c r="QPW64" s="857">
        <f t="shared" si="228"/>
        <v>0</v>
      </c>
      <c r="QPX64" s="857">
        <f t="shared" si="228"/>
        <v>0</v>
      </c>
      <c r="QPY64" s="857">
        <f t="shared" si="228"/>
        <v>0</v>
      </c>
      <c r="QPZ64" s="857">
        <f t="shared" si="228"/>
        <v>0</v>
      </c>
      <c r="QQA64" s="857">
        <f t="shared" si="228"/>
        <v>0</v>
      </c>
      <c r="QQB64" s="857">
        <f t="shared" si="228"/>
        <v>0</v>
      </c>
      <c r="QQC64" s="857">
        <f t="shared" si="228"/>
        <v>0</v>
      </c>
      <c r="QQD64" s="857">
        <f t="shared" si="228"/>
        <v>0</v>
      </c>
      <c r="QQE64" s="857">
        <f t="shared" si="228"/>
        <v>0</v>
      </c>
      <c r="QQF64" s="857">
        <f t="shared" si="228"/>
        <v>0</v>
      </c>
      <c r="QQG64" s="857">
        <f t="shared" si="228"/>
        <v>0</v>
      </c>
      <c r="QQH64" s="857">
        <f t="shared" si="228"/>
        <v>0</v>
      </c>
      <c r="QQI64" s="857">
        <f t="shared" si="228"/>
        <v>0</v>
      </c>
      <c r="QQJ64" s="857">
        <f t="shared" si="228"/>
        <v>0</v>
      </c>
      <c r="QQK64" s="857">
        <f t="shared" si="228"/>
        <v>0</v>
      </c>
      <c r="QQL64" s="857">
        <f t="shared" si="228"/>
        <v>0</v>
      </c>
      <c r="QQM64" s="857">
        <f t="shared" si="228"/>
        <v>0</v>
      </c>
      <c r="QQN64" s="857">
        <f t="shared" si="228"/>
        <v>0</v>
      </c>
      <c r="QQO64" s="857">
        <f t="shared" si="228"/>
        <v>0</v>
      </c>
      <c r="QQP64" s="857">
        <f t="shared" si="228"/>
        <v>0</v>
      </c>
      <c r="QQQ64" s="857">
        <f t="shared" si="228"/>
        <v>0</v>
      </c>
      <c r="QQR64" s="857">
        <f t="shared" si="228"/>
        <v>0</v>
      </c>
      <c r="QQS64" s="857">
        <f t="shared" si="228"/>
        <v>0</v>
      </c>
      <c r="QQT64" s="857">
        <f t="shared" si="228"/>
        <v>0</v>
      </c>
      <c r="QQU64" s="857">
        <f t="shared" si="228"/>
        <v>0</v>
      </c>
      <c r="QQV64" s="857">
        <f t="shared" si="228"/>
        <v>0</v>
      </c>
      <c r="QQW64" s="857">
        <f t="shared" si="228"/>
        <v>0</v>
      </c>
      <c r="QQX64" s="857">
        <f t="shared" si="228"/>
        <v>0</v>
      </c>
      <c r="QQY64" s="857">
        <f t="shared" si="228"/>
        <v>0</v>
      </c>
      <c r="QQZ64" s="857">
        <f t="shared" si="228"/>
        <v>0</v>
      </c>
      <c r="QRA64" s="857">
        <f t="shared" si="228"/>
        <v>0</v>
      </c>
      <c r="QRB64" s="857">
        <f t="shared" si="228"/>
        <v>0</v>
      </c>
      <c r="QRC64" s="857">
        <f t="shared" si="228"/>
        <v>0</v>
      </c>
      <c r="QRD64" s="857">
        <f t="shared" si="228"/>
        <v>0</v>
      </c>
      <c r="QRE64" s="857">
        <f t="shared" si="228"/>
        <v>0</v>
      </c>
      <c r="QRF64" s="857">
        <f t="shared" si="228"/>
        <v>0</v>
      </c>
      <c r="QRG64" s="857">
        <f t="shared" si="228"/>
        <v>0</v>
      </c>
      <c r="QRH64" s="857">
        <f t="shared" si="228"/>
        <v>0</v>
      </c>
      <c r="QRI64" s="857">
        <f t="shared" si="228"/>
        <v>0</v>
      </c>
      <c r="QRJ64" s="857">
        <f t="shared" si="228"/>
        <v>0</v>
      </c>
      <c r="QRK64" s="857">
        <f t="shared" si="228"/>
        <v>0</v>
      </c>
      <c r="QRL64" s="857">
        <f t="shared" si="228"/>
        <v>0</v>
      </c>
      <c r="QRM64" s="857">
        <f t="shared" si="228"/>
        <v>0</v>
      </c>
      <c r="QRN64" s="857">
        <f t="shared" ref="QRN64:QTY64" si="229">(QRN57-QRN59)*$C$64</f>
        <v>0</v>
      </c>
      <c r="QRO64" s="857">
        <f t="shared" si="229"/>
        <v>0</v>
      </c>
      <c r="QRP64" s="857">
        <f t="shared" si="229"/>
        <v>0</v>
      </c>
      <c r="QRQ64" s="857">
        <f t="shared" si="229"/>
        <v>0</v>
      </c>
      <c r="QRR64" s="857">
        <f t="shared" si="229"/>
        <v>0</v>
      </c>
      <c r="QRS64" s="857">
        <f t="shared" si="229"/>
        <v>0</v>
      </c>
      <c r="QRT64" s="857">
        <f t="shared" si="229"/>
        <v>0</v>
      </c>
      <c r="QRU64" s="857">
        <f t="shared" si="229"/>
        <v>0</v>
      </c>
      <c r="QRV64" s="857">
        <f t="shared" si="229"/>
        <v>0</v>
      </c>
      <c r="QRW64" s="857">
        <f t="shared" si="229"/>
        <v>0</v>
      </c>
      <c r="QRX64" s="857">
        <f t="shared" si="229"/>
        <v>0</v>
      </c>
      <c r="QRY64" s="857">
        <f t="shared" si="229"/>
        <v>0</v>
      </c>
      <c r="QRZ64" s="857">
        <f t="shared" si="229"/>
        <v>0</v>
      </c>
      <c r="QSA64" s="857">
        <f t="shared" si="229"/>
        <v>0</v>
      </c>
      <c r="QSB64" s="857">
        <f t="shared" si="229"/>
        <v>0</v>
      </c>
      <c r="QSC64" s="857">
        <f t="shared" si="229"/>
        <v>0</v>
      </c>
      <c r="QSD64" s="857">
        <f t="shared" si="229"/>
        <v>0</v>
      </c>
      <c r="QSE64" s="857">
        <f t="shared" si="229"/>
        <v>0</v>
      </c>
      <c r="QSF64" s="857">
        <f t="shared" si="229"/>
        <v>0</v>
      </c>
      <c r="QSG64" s="857">
        <f t="shared" si="229"/>
        <v>0</v>
      </c>
      <c r="QSH64" s="857">
        <f t="shared" si="229"/>
        <v>0</v>
      </c>
      <c r="QSI64" s="857">
        <f t="shared" si="229"/>
        <v>0</v>
      </c>
      <c r="QSJ64" s="857">
        <f t="shared" si="229"/>
        <v>0</v>
      </c>
      <c r="QSK64" s="857">
        <f t="shared" si="229"/>
        <v>0</v>
      </c>
      <c r="QSL64" s="857">
        <f t="shared" si="229"/>
        <v>0</v>
      </c>
      <c r="QSM64" s="857">
        <f t="shared" si="229"/>
        <v>0</v>
      </c>
      <c r="QSN64" s="857">
        <f t="shared" si="229"/>
        <v>0</v>
      </c>
      <c r="QSO64" s="857">
        <f t="shared" si="229"/>
        <v>0</v>
      </c>
      <c r="QSP64" s="857">
        <f t="shared" si="229"/>
        <v>0</v>
      </c>
      <c r="QSQ64" s="857">
        <f t="shared" si="229"/>
        <v>0</v>
      </c>
      <c r="QSR64" s="857">
        <f t="shared" si="229"/>
        <v>0</v>
      </c>
      <c r="QSS64" s="857">
        <f t="shared" si="229"/>
        <v>0</v>
      </c>
      <c r="QST64" s="857">
        <f t="shared" si="229"/>
        <v>0</v>
      </c>
      <c r="QSU64" s="857">
        <f t="shared" si="229"/>
        <v>0</v>
      </c>
      <c r="QSV64" s="857">
        <f t="shared" si="229"/>
        <v>0</v>
      </c>
      <c r="QSW64" s="857">
        <f t="shared" si="229"/>
        <v>0</v>
      </c>
      <c r="QSX64" s="857">
        <f t="shared" si="229"/>
        <v>0</v>
      </c>
      <c r="QSY64" s="857">
        <f t="shared" si="229"/>
        <v>0</v>
      </c>
      <c r="QSZ64" s="857">
        <f t="shared" si="229"/>
        <v>0</v>
      </c>
      <c r="QTA64" s="857">
        <f t="shared" si="229"/>
        <v>0</v>
      </c>
      <c r="QTB64" s="857">
        <f t="shared" si="229"/>
        <v>0</v>
      </c>
      <c r="QTC64" s="857">
        <f t="shared" si="229"/>
        <v>0</v>
      </c>
      <c r="QTD64" s="857">
        <f t="shared" si="229"/>
        <v>0</v>
      </c>
      <c r="QTE64" s="857">
        <f t="shared" si="229"/>
        <v>0</v>
      </c>
      <c r="QTF64" s="857">
        <f t="shared" si="229"/>
        <v>0</v>
      </c>
      <c r="QTG64" s="857">
        <f t="shared" si="229"/>
        <v>0</v>
      </c>
      <c r="QTH64" s="857">
        <f t="shared" si="229"/>
        <v>0</v>
      </c>
      <c r="QTI64" s="857">
        <f t="shared" si="229"/>
        <v>0</v>
      </c>
      <c r="QTJ64" s="857">
        <f t="shared" si="229"/>
        <v>0</v>
      </c>
      <c r="QTK64" s="857">
        <f t="shared" si="229"/>
        <v>0</v>
      </c>
      <c r="QTL64" s="857">
        <f t="shared" si="229"/>
        <v>0</v>
      </c>
      <c r="QTM64" s="857">
        <f t="shared" si="229"/>
        <v>0</v>
      </c>
      <c r="QTN64" s="857">
        <f t="shared" si="229"/>
        <v>0</v>
      </c>
      <c r="QTO64" s="857">
        <f t="shared" si="229"/>
        <v>0</v>
      </c>
      <c r="QTP64" s="857">
        <f t="shared" si="229"/>
        <v>0</v>
      </c>
      <c r="QTQ64" s="857">
        <f t="shared" si="229"/>
        <v>0</v>
      </c>
      <c r="QTR64" s="857">
        <f t="shared" si="229"/>
        <v>0</v>
      </c>
      <c r="QTS64" s="857">
        <f t="shared" si="229"/>
        <v>0</v>
      </c>
      <c r="QTT64" s="857">
        <f t="shared" si="229"/>
        <v>0</v>
      </c>
      <c r="QTU64" s="857">
        <f t="shared" si="229"/>
        <v>0</v>
      </c>
      <c r="QTV64" s="857">
        <f t="shared" si="229"/>
        <v>0</v>
      </c>
      <c r="QTW64" s="857">
        <f t="shared" si="229"/>
        <v>0</v>
      </c>
      <c r="QTX64" s="857">
        <f t="shared" si="229"/>
        <v>0</v>
      </c>
      <c r="QTY64" s="857">
        <f t="shared" si="229"/>
        <v>0</v>
      </c>
      <c r="QTZ64" s="857">
        <f t="shared" ref="QTZ64:QWK64" si="230">(QTZ57-QTZ59)*$C$64</f>
        <v>0</v>
      </c>
      <c r="QUA64" s="857">
        <f t="shared" si="230"/>
        <v>0</v>
      </c>
      <c r="QUB64" s="857">
        <f t="shared" si="230"/>
        <v>0</v>
      </c>
      <c r="QUC64" s="857">
        <f t="shared" si="230"/>
        <v>0</v>
      </c>
      <c r="QUD64" s="857">
        <f t="shared" si="230"/>
        <v>0</v>
      </c>
      <c r="QUE64" s="857">
        <f t="shared" si="230"/>
        <v>0</v>
      </c>
      <c r="QUF64" s="857">
        <f t="shared" si="230"/>
        <v>0</v>
      </c>
      <c r="QUG64" s="857">
        <f t="shared" si="230"/>
        <v>0</v>
      </c>
      <c r="QUH64" s="857">
        <f t="shared" si="230"/>
        <v>0</v>
      </c>
      <c r="QUI64" s="857">
        <f t="shared" si="230"/>
        <v>0</v>
      </c>
      <c r="QUJ64" s="857">
        <f t="shared" si="230"/>
        <v>0</v>
      </c>
      <c r="QUK64" s="857">
        <f t="shared" si="230"/>
        <v>0</v>
      </c>
      <c r="QUL64" s="857">
        <f t="shared" si="230"/>
        <v>0</v>
      </c>
      <c r="QUM64" s="857">
        <f t="shared" si="230"/>
        <v>0</v>
      </c>
      <c r="QUN64" s="857">
        <f t="shared" si="230"/>
        <v>0</v>
      </c>
      <c r="QUO64" s="857">
        <f t="shared" si="230"/>
        <v>0</v>
      </c>
      <c r="QUP64" s="857">
        <f t="shared" si="230"/>
        <v>0</v>
      </c>
      <c r="QUQ64" s="857">
        <f t="shared" si="230"/>
        <v>0</v>
      </c>
      <c r="QUR64" s="857">
        <f t="shared" si="230"/>
        <v>0</v>
      </c>
      <c r="QUS64" s="857">
        <f t="shared" si="230"/>
        <v>0</v>
      </c>
      <c r="QUT64" s="857">
        <f t="shared" si="230"/>
        <v>0</v>
      </c>
      <c r="QUU64" s="857">
        <f t="shared" si="230"/>
        <v>0</v>
      </c>
      <c r="QUV64" s="857">
        <f t="shared" si="230"/>
        <v>0</v>
      </c>
      <c r="QUW64" s="857">
        <f t="shared" si="230"/>
        <v>0</v>
      </c>
      <c r="QUX64" s="857">
        <f t="shared" si="230"/>
        <v>0</v>
      </c>
      <c r="QUY64" s="857">
        <f t="shared" si="230"/>
        <v>0</v>
      </c>
      <c r="QUZ64" s="857">
        <f t="shared" si="230"/>
        <v>0</v>
      </c>
      <c r="QVA64" s="857">
        <f t="shared" si="230"/>
        <v>0</v>
      </c>
      <c r="QVB64" s="857">
        <f t="shared" si="230"/>
        <v>0</v>
      </c>
      <c r="QVC64" s="857">
        <f t="shared" si="230"/>
        <v>0</v>
      </c>
      <c r="QVD64" s="857">
        <f t="shared" si="230"/>
        <v>0</v>
      </c>
      <c r="QVE64" s="857">
        <f t="shared" si="230"/>
        <v>0</v>
      </c>
      <c r="QVF64" s="857">
        <f t="shared" si="230"/>
        <v>0</v>
      </c>
      <c r="QVG64" s="857">
        <f t="shared" si="230"/>
        <v>0</v>
      </c>
      <c r="QVH64" s="857">
        <f t="shared" si="230"/>
        <v>0</v>
      </c>
      <c r="QVI64" s="857">
        <f t="shared" si="230"/>
        <v>0</v>
      </c>
      <c r="QVJ64" s="857">
        <f t="shared" si="230"/>
        <v>0</v>
      </c>
      <c r="QVK64" s="857">
        <f t="shared" si="230"/>
        <v>0</v>
      </c>
      <c r="QVL64" s="857">
        <f t="shared" si="230"/>
        <v>0</v>
      </c>
      <c r="QVM64" s="857">
        <f t="shared" si="230"/>
        <v>0</v>
      </c>
      <c r="QVN64" s="857">
        <f t="shared" si="230"/>
        <v>0</v>
      </c>
      <c r="QVO64" s="857">
        <f t="shared" si="230"/>
        <v>0</v>
      </c>
      <c r="QVP64" s="857">
        <f t="shared" si="230"/>
        <v>0</v>
      </c>
      <c r="QVQ64" s="857">
        <f t="shared" si="230"/>
        <v>0</v>
      </c>
      <c r="QVR64" s="857">
        <f t="shared" si="230"/>
        <v>0</v>
      </c>
      <c r="QVS64" s="857">
        <f t="shared" si="230"/>
        <v>0</v>
      </c>
      <c r="QVT64" s="857">
        <f t="shared" si="230"/>
        <v>0</v>
      </c>
      <c r="QVU64" s="857">
        <f t="shared" si="230"/>
        <v>0</v>
      </c>
      <c r="QVV64" s="857">
        <f t="shared" si="230"/>
        <v>0</v>
      </c>
      <c r="QVW64" s="857">
        <f t="shared" si="230"/>
        <v>0</v>
      </c>
      <c r="QVX64" s="857">
        <f t="shared" si="230"/>
        <v>0</v>
      </c>
      <c r="QVY64" s="857">
        <f t="shared" si="230"/>
        <v>0</v>
      </c>
      <c r="QVZ64" s="857">
        <f t="shared" si="230"/>
        <v>0</v>
      </c>
      <c r="QWA64" s="857">
        <f t="shared" si="230"/>
        <v>0</v>
      </c>
      <c r="QWB64" s="857">
        <f t="shared" si="230"/>
        <v>0</v>
      </c>
      <c r="QWC64" s="857">
        <f t="shared" si="230"/>
        <v>0</v>
      </c>
      <c r="QWD64" s="857">
        <f t="shared" si="230"/>
        <v>0</v>
      </c>
      <c r="QWE64" s="857">
        <f t="shared" si="230"/>
        <v>0</v>
      </c>
      <c r="QWF64" s="857">
        <f t="shared" si="230"/>
        <v>0</v>
      </c>
      <c r="QWG64" s="857">
        <f t="shared" si="230"/>
        <v>0</v>
      </c>
      <c r="QWH64" s="857">
        <f t="shared" si="230"/>
        <v>0</v>
      </c>
      <c r="QWI64" s="857">
        <f t="shared" si="230"/>
        <v>0</v>
      </c>
      <c r="QWJ64" s="857">
        <f t="shared" si="230"/>
        <v>0</v>
      </c>
      <c r="QWK64" s="857">
        <f t="shared" si="230"/>
        <v>0</v>
      </c>
      <c r="QWL64" s="857">
        <f t="shared" ref="QWL64:QYW64" si="231">(QWL57-QWL59)*$C$64</f>
        <v>0</v>
      </c>
      <c r="QWM64" s="857">
        <f t="shared" si="231"/>
        <v>0</v>
      </c>
      <c r="QWN64" s="857">
        <f t="shared" si="231"/>
        <v>0</v>
      </c>
      <c r="QWO64" s="857">
        <f t="shared" si="231"/>
        <v>0</v>
      </c>
      <c r="QWP64" s="857">
        <f t="shared" si="231"/>
        <v>0</v>
      </c>
      <c r="QWQ64" s="857">
        <f t="shared" si="231"/>
        <v>0</v>
      </c>
      <c r="QWR64" s="857">
        <f t="shared" si="231"/>
        <v>0</v>
      </c>
      <c r="QWS64" s="857">
        <f t="shared" si="231"/>
        <v>0</v>
      </c>
      <c r="QWT64" s="857">
        <f t="shared" si="231"/>
        <v>0</v>
      </c>
      <c r="QWU64" s="857">
        <f t="shared" si="231"/>
        <v>0</v>
      </c>
      <c r="QWV64" s="857">
        <f t="shared" si="231"/>
        <v>0</v>
      </c>
      <c r="QWW64" s="857">
        <f t="shared" si="231"/>
        <v>0</v>
      </c>
      <c r="QWX64" s="857">
        <f t="shared" si="231"/>
        <v>0</v>
      </c>
      <c r="QWY64" s="857">
        <f t="shared" si="231"/>
        <v>0</v>
      </c>
      <c r="QWZ64" s="857">
        <f t="shared" si="231"/>
        <v>0</v>
      </c>
      <c r="QXA64" s="857">
        <f t="shared" si="231"/>
        <v>0</v>
      </c>
      <c r="QXB64" s="857">
        <f t="shared" si="231"/>
        <v>0</v>
      </c>
      <c r="QXC64" s="857">
        <f t="shared" si="231"/>
        <v>0</v>
      </c>
      <c r="QXD64" s="857">
        <f t="shared" si="231"/>
        <v>0</v>
      </c>
      <c r="QXE64" s="857">
        <f t="shared" si="231"/>
        <v>0</v>
      </c>
      <c r="QXF64" s="857">
        <f t="shared" si="231"/>
        <v>0</v>
      </c>
      <c r="QXG64" s="857">
        <f t="shared" si="231"/>
        <v>0</v>
      </c>
      <c r="QXH64" s="857">
        <f t="shared" si="231"/>
        <v>0</v>
      </c>
      <c r="QXI64" s="857">
        <f t="shared" si="231"/>
        <v>0</v>
      </c>
      <c r="QXJ64" s="857">
        <f t="shared" si="231"/>
        <v>0</v>
      </c>
      <c r="QXK64" s="857">
        <f t="shared" si="231"/>
        <v>0</v>
      </c>
      <c r="QXL64" s="857">
        <f t="shared" si="231"/>
        <v>0</v>
      </c>
      <c r="QXM64" s="857">
        <f t="shared" si="231"/>
        <v>0</v>
      </c>
      <c r="QXN64" s="857">
        <f t="shared" si="231"/>
        <v>0</v>
      </c>
      <c r="QXO64" s="857">
        <f t="shared" si="231"/>
        <v>0</v>
      </c>
      <c r="QXP64" s="857">
        <f t="shared" si="231"/>
        <v>0</v>
      </c>
      <c r="QXQ64" s="857">
        <f t="shared" si="231"/>
        <v>0</v>
      </c>
      <c r="QXR64" s="857">
        <f t="shared" si="231"/>
        <v>0</v>
      </c>
      <c r="QXS64" s="857">
        <f t="shared" si="231"/>
        <v>0</v>
      </c>
      <c r="QXT64" s="857">
        <f t="shared" si="231"/>
        <v>0</v>
      </c>
      <c r="QXU64" s="857">
        <f t="shared" si="231"/>
        <v>0</v>
      </c>
      <c r="QXV64" s="857">
        <f t="shared" si="231"/>
        <v>0</v>
      </c>
      <c r="QXW64" s="857">
        <f t="shared" si="231"/>
        <v>0</v>
      </c>
      <c r="QXX64" s="857">
        <f t="shared" si="231"/>
        <v>0</v>
      </c>
      <c r="QXY64" s="857">
        <f t="shared" si="231"/>
        <v>0</v>
      </c>
      <c r="QXZ64" s="857">
        <f t="shared" si="231"/>
        <v>0</v>
      </c>
      <c r="QYA64" s="857">
        <f t="shared" si="231"/>
        <v>0</v>
      </c>
      <c r="QYB64" s="857">
        <f t="shared" si="231"/>
        <v>0</v>
      </c>
      <c r="QYC64" s="857">
        <f t="shared" si="231"/>
        <v>0</v>
      </c>
      <c r="QYD64" s="857">
        <f t="shared" si="231"/>
        <v>0</v>
      </c>
      <c r="QYE64" s="857">
        <f t="shared" si="231"/>
        <v>0</v>
      </c>
      <c r="QYF64" s="857">
        <f t="shared" si="231"/>
        <v>0</v>
      </c>
      <c r="QYG64" s="857">
        <f t="shared" si="231"/>
        <v>0</v>
      </c>
      <c r="QYH64" s="857">
        <f t="shared" si="231"/>
        <v>0</v>
      </c>
      <c r="QYI64" s="857">
        <f t="shared" si="231"/>
        <v>0</v>
      </c>
      <c r="QYJ64" s="857">
        <f t="shared" si="231"/>
        <v>0</v>
      </c>
      <c r="QYK64" s="857">
        <f t="shared" si="231"/>
        <v>0</v>
      </c>
      <c r="QYL64" s="857">
        <f t="shared" si="231"/>
        <v>0</v>
      </c>
      <c r="QYM64" s="857">
        <f t="shared" si="231"/>
        <v>0</v>
      </c>
      <c r="QYN64" s="857">
        <f t="shared" si="231"/>
        <v>0</v>
      </c>
      <c r="QYO64" s="857">
        <f t="shared" si="231"/>
        <v>0</v>
      </c>
      <c r="QYP64" s="857">
        <f t="shared" si="231"/>
        <v>0</v>
      </c>
      <c r="QYQ64" s="857">
        <f t="shared" si="231"/>
        <v>0</v>
      </c>
      <c r="QYR64" s="857">
        <f t="shared" si="231"/>
        <v>0</v>
      </c>
      <c r="QYS64" s="857">
        <f t="shared" si="231"/>
        <v>0</v>
      </c>
      <c r="QYT64" s="857">
        <f t="shared" si="231"/>
        <v>0</v>
      </c>
      <c r="QYU64" s="857">
        <f t="shared" si="231"/>
        <v>0</v>
      </c>
      <c r="QYV64" s="857">
        <f t="shared" si="231"/>
        <v>0</v>
      </c>
      <c r="QYW64" s="857">
        <f t="shared" si="231"/>
        <v>0</v>
      </c>
      <c r="QYX64" s="857">
        <f t="shared" ref="QYX64:RBI64" si="232">(QYX57-QYX59)*$C$64</f>
        <v>0</v>
      </c>
      <c r="QYY64" s="857">
        <f t="shared" si="232"/>
        <v>0</v>
      </c>
      <c r="QYZ64" s="857">
        <f t="shared" si="232"/>
        <v>0</v>
      </c>
      <c r="QZA64" s="857">
        <f t="shared" si="232"/>
        <v>0</v>
      </c>
      <c r="QZB64" s="857">
        <f t="shared" si="232"/>
        <v>0</v>
      </c>
      <c r="QZC64" s="857">
        <f t="shared" si="232"/>
        <v>0</v>
      </c>
      <c r="QZD64" s="857">
        <f t="shared" si="232"/>
        <v>0</v>
      </c>
      <c r="QZE64" s="857">
        <f t="shared" si="232"/>
        <v>0</v>
      </c>
      <c r="QZF64" s="857">
        <f t="shared" si="232"/>
        <v>0</v>
      </c>
      <c r="QZG64" s="857">
        <f t="shared" si="232"/>
        <v>0</v>
      </c>
      <c r="QZH64" s="857">
        <f t="shared" si="232"/>
        <v>0</v>
      </c>
      <c r="QZI64" s="857">
        <f t="shared" si="232"/>
        <v>0</v>
      </c>
      <c r="QZJ64" s="857">
        <f t="shared" si="232"/>
        <v>0</v>
      </c>
      <c r="QZK64" s="857">
        <f t="shared" si="232"/>
        <v>0</v>
      </c>
      <c r="QZL64" s="857">
        <f t="shared" si="232"/>
        <v>0</v>
      </c>
      <c r="QZM64" s="857">
        <f t="shared" si="232"/>
        <v>0</v>
      </c>
      <c r="QZN64" s="857">
        <f t="shared" si="232"/>
        <v>0</v>
      </c>
      <c r="QZO64" s="857">
        <f t="shared" si="232"/>
        <v>0</v>
      </c>
      <c r="QZP64" s="857">
        <f t="shared" si="232"/>
        <v>0</v>
      </c>
      <c r="QZQ64" s="857">
        <f t="shared" si="232"/>
        <v>0</v>
      </c>
      <c r="QZR64" s="857">
        <f t="shared" si="232"/>
        <v>0</v>
      </c>
      <c r="QZS64" s="857">
        <f t="shared" si="232"/>
        <v>0</v>
      </c>
      <c r="QZT64" s="857">
        <f t="shared" si="232"/>
        <v>0</v>
      </c>
      <c r="QZU64" s="857">
        <f t="shared" si="232"/>
        <v>0</v>
      </c>
      <c r="QZV64" s="857">
        <f t="shared" si="232"/>
        <v>0</v>
      </c>
      <c r="QZW64" s="857">
        <f t="shared" si="232"/>
        <v>0</v>
      </c>
      <c r="QZX64" s="857">
        <f t="shared" si="232"/>
        <v>0</v>
      </c>
      <c r="QZY64" s="857">
        <f t="shared" si="232"/>
        <v>0</v>
      </c>
      <c r="QZZ64" s="857">
        <f t="shared" si="232"/>
        <v>0</v>
      </c>
      <c r="RAA64" s="857">
        <f t="shared" si="232"/>
        <v>0</v>
      </c>
      <c r="RAB64" s="857">
        <f t="shared" si="232"/>
        <v>0</v>
      </c>
      <c r="RAC64" s="857">
        <f t="shared" si="232"/>
        <v>0</v>
      </c>
      <c r="RAD64" s="857">
        <f t="shared" si="232"/>
        <v>0</v>
      </c>
      <c r="RAE64" s="857">
        <f t="shared" si="232"/>
        <v>0</v>
      </c>
      <c r="RAF64" s="857">
        <f t="shared" si="232"/>
        <v>0</v>
      </c>
      <c r="RAG64" s="857">
        <f t="shared" si="232"/>
        <v>0</v>
      </c>
      <c r="RAH64" s="857">
        <f t="shared" si="232"/>
        <v>0</v>
      </c>
      <c r="RAI64" s="857">
        <f t="shared" si="232"/>
        <v>0</v>
      </c>
      <c r="RAJ64" s="857">
        <f t="shared" si="232"/>
        <v>0</v>
      </c>
      <c r="RAK64" s="857">
        <f t="shared" si="232"/>
        <v>0</v>
      </c>
      <c r="RAL64" s="857">
        <f t="shared" si="232"/>
        <v>0</v>
      </c>
      <c r="RAM64" s="857">
        <f t="shared" si="232"/>
        <v>0</v>
      </c>
      <c r="RAN64" s="857">
        <f t="shared" si="232"/>
        <v>0</v>
      </c>
      <c r="RAO64" s="857">
        <f t="shared" si="232"/>
        <v>0</v>
      </c>
      <c r="RAP64" s="857">
        <f t="shared" si="232"/>
        <v>0</v>
      </c>
      <c r="RAQ64" s="857">
        <f t="shared" si="232"/>
        <v>0</v>
      </c>
      <c r="RAR64" s="857">
        <f t="shared" si="232"/>
        <v>0</v>
      </c>
      <c r="RAS64" s="857">
        <f t="shared" si="232"/>
        <v>0</v>
      </c>
      <c r="RAT64" s="857">
        <f t="shared" si="232"/>
        <v>0</v>
      </c>
      <c r="RAU64" s="857">
        <f t="shared" si="232"/>
        <v>0</v>
      </c>
      <c r="RAV64" s="857">
        <f t="shared" si="232"/>
        <v>0</v>
      </c>
      <c r="RAW64" s="857">
        <f t="shared" si="232"/>
        <v>0</v>
      </c>
      <c r="RAX64" s="857">
        <f t="shared" si="232"/>
        <v>0</v>
      </c>
      <c r="RAY64" s="857">
        <f t="shared" si="232"/>
        <v>0</v>
      </c>
      <c r="RAZ64" s="857">
        <f t="shared" si="232"/>
        <v>0</v>
      </c>
      <c r="RBA64" s="857">
        <f t="shared" si="232"/>
        <v>0</v>
      </c>
      <c r="RBB64" s="857">
        <f t="shared" si="232"/>
        <v>0</v>
      </c>
      <c r="RBC64" s="857">
        <f t="shared" si="232"/>
        <v>0</v>
      </c>
      <c r="RBD64" s="857">
        <f t="shared" si="232"/>
        <v>0</v>
      </c>
      <c r="RBE64" s="857">
        <f t="shared" si="232"/>
        <v>0</v>
      </c>
      <c r="RBF64" s="857">
        <f t="shared" si="232"/>
        <v>0</v>
      </c>
      <c r="RBG64" s="857">
        <f t="shared" si="232"/>
        <v>0</v>
      </c>
      <c r="RBH64" s="857">
        <f t="shared" si="232"/>
        <v>0</v>
      </c>
      <c r="RBI64" s="857">
        <f t="shared" si="232"/>
        <v>0</v>
      </c>
      <c r="RBJ64" s="857">
        <f t="shared" ref="RBJ64:RDU64" si="233">(RBJ57-RBJ59)*$C$64</f>
        <v>0</v>
      </c>
      <c r="RBK64" s="857">
        <f t="shared" si="233"/>
        <v>0</v>
      </c>
      <c r="RBL64" s="857">
        <f t="shared" si="233"/>
        <v>0</v>
      </c>
      <c r="RBM64" s="857">
        <f t="shared" si="233"/>
        <v>0</v>
      </c>
      <c r="RBN64" s="857">
        <f t="shared" si="233"/>
        <v>0</v>
      </c>
      <c r="RBO64" s="857">
        <f t="shared" si="233"/>
        <v>0</v>
      </c>
      <c r="RBP64" s="857">
        <f t="shared" si="233"/>
        <v>0</v>
      </c>
      <c r="RBQ64" s="857">
        <f t="shared" si="233"/>
        <v>0</v>
      </c>
      <c r="RBR64" s="857">
        <f t="shared" si="233"/>
        <v>0</v>
      </c>
      <c r="RBS64" s="857">
        <f t="shared" si="233"/>
        <v>0</v>
      </c>
      <c r="RBT64" s="857">
        <f t="shared" si="233"/>
        <v>0</v>
      </c>
      <c r="RBU64" s="857">
        <f t="shared" si="233"/>
        <v>0</v>
      </c>
      <c r="RBV64" s="857">
        <f t="shared" si="233"/>
        <v>0</v>
      </c>
      <c r="RBW64" s="857">
        <f t="shared" si="233"/>
        <v>0</v>
      </c>
      <c r="RBX64" s="857">
        <f t="shared" si="233"/>
        <v>0</v>
      </c>
      <c r="RBY64" s="857">
        <f t="shared" si="233"/>
        <v>0</v>
      </c>
      <c r="RBZ64" s="857">
        <f t="shared" si="233"/>
        <v>0</v>
      </c>
      <c r="RCA64" s="857">
        <f t="shared" si="233"/>
        <v>0</v>
      </c>
      <c r="RCB64" s="857">
        <f t="shared" si="233"/>
        <v>0</v>
      </c>
      <c r="RCC64" s="857">
        <f t="shared" si="233"/>
        <v>0</v>
      </c>
      <c r="RCD64" s="857">
        <f t="shared" si="233"/>
        <v>0</v>
      </c>
      <c r="RCE64" s="857">
        <f t="shared" si="233"/>
        <v>0</v>
      </c>
      <c r="RCF64" s="857">
        <f t="shared" si="233"/>
        <v>0</v>
      </c>
      <c r="RCG64" s="857">
        <f t="shared" si="233"/>
        <v>0</v>
      </c>
      <c r="RCH64" s="857">
        <f t="shared" si="233"/>
        <v>0</v>
      </c>
      <c r="RCI64" s="857">
        <f t="shared" si="233"/>
        <v>0</v>
      </c>
      <c r="RCJ64" s="857">
        <f t="shared" si="233"/>
        <v>0</v>
      </c>
      <c r="RCK64" s="857">
        <f t="shared" si="233"/>
        <v>0</v>
      </c>
      <c r="RCL64" s="857">
        <f t="shared" si="233"/>
        <v>0</v>
      </c>
      <c r="RCM64" s="857">
        <f t="shared" si="233"/>
        <v>0</v>
      </c>
      <c r="RCN64" s="857">
        <f t="shared" si="233"/>
        <v>0</v>
      </c>
      <c r="RCO64" s="857">
        <f t="shared" si="233"/>
        <v>0</v>
      </c>
      <c r="RCP64" s="857">
        <f t="shared" si="233"/>
        <v>0</v>
      </c>
      <c r="RCQ64" s="857">
        <f t="shared" si="233"/>
        <v>0</v>
      </c>
      <c r="RCR64" s="857">
        <f t="shared" si="233"/>
        <v>0</v>
      </c>
      <c r="RCS64" s="857">
        <f t="shared" si="233"/>
        <v>0</v>
      </c>
      <c r="RCT64" s="857">
        <f t="shared" si="233"/>
        <v>0</v>
      </c>
      <c r="RCU64" s="857">
        <f t="shared" si="233"/>
        <v>0</v>
      </c>
      <c r="RCV64" s="857">
        <f t="shared" si="233"/>
        <v>0</v>
      </c>
      <c r="RCW64" s="857">
        <f t="shared" si="233"/>
        <v>0</v>
      </c>
      <c r="RCX64" s="857">
        <f t="shared" si="233"/>
        <v>0</v>
      </c>
      <c r="RCY64" s="857">
        <f t="shared" si="233"/>
        <v>0</v>
      </c>
      <c r="RCZ64" s="857">
        <f t="shared" si="233"/>
        <v>0</v>
      </c>
      <c r="RDA64" s="857">
        <f t="shared" si="233"/>
        <v>0</v>
      </c>
      <c r="RDB64" s="857">
        <f t="shared" si="233"/>
        <v>0</v>
      </c>
      <c r="RDC64" s="857">
        <f t="shared" si="233"/>
        <v>0</v>
      </c>
      <c r="RDD64" s="857">
        <f t="shared" si="233"/>
        <v>0</v>
      </c>
      <c r="RDE64" s="857">
        <f t="shared" si="233"/>
        <v>0</v>
      </c>
      <c r="RDF64" s="857">
        <f t="shared" si="233"/>
        <v>0</v>
      </c>
      <c r="RDG64" s="857">
        <f t="shared" si="233"/>
        <v>0</v>
      </c>
      <c r="RDH64" s="857">
        <f t="shared" si="233"/>
        <v>0</v>
      </c>
      <c r="RDI64" s="857">
        <f t="shared" si="233"/>
        <v>0</v>
      </c>
      <c r="RDJ64" s="857">
        <f t="shared" si="233"/>
        <v>0</v>
      </c>
      <c r="RDK64" s="857">
        <f t="shared" si="233"/>
        <v>0</v>
      </c>
      <c r="RDL64" s="857">
        <f t="shared" si="233"/>
        <v>0</v>
      </c>
      <c r="RDM64" s="857">
        <f t="shared" si="233"/>
        <v>0</v>
      </c>
      <c r="RDN64" s="857">
        <f t="shared" si="233"/>
        <v>0</v>
      </c>
      <c r="RDO64" s="857">
        <f t="shared" si="233"/>
        <v>0</v>
      </c>
      <c r="RDP64" s="857">
        <f t="shared" si="233"/>
        <v>0</v>
      </c>
      <c r="RDQ64" s="857">
        <f t="shared" si="233"/>
        <v>0</v>
      </c>
      <c r="RDR64" s="857">
        <f t="shared" si="233"/>
        <v>0</v>
      </c>
      <c r="RDS64" s="857">
        <f t="shared" si="233"/>
        <v>0</v>
      </c>
      <c r="RDT64" s="857">
        <f t="shared" si="233"/>
        <v>0</v>
      </c>
      <c r="RDU64" s="857">
        <f t="shared" si="233"/>
        <v>0</v>
      </c>
      <c r="RDV64" s="857">
        <f t="shared" ref="RDV64:RGG64" si="234">(RDV57-RDV59)*$C$64</f>
        <v>0</v>
      </c>
      <c r="RDW64" s="857">
        <f t="shared" si="234"/>
        <v>0</v>
      </c>
      <c r="RDX64" s="857">
        <f t="shared" si="234"/>
        <v>0</v>
      </c>
      <c r="RDY64" s="857">
        <f t="shared" si="234"/>
        <v>0</v>
      </c>
      <c r="RDZ64" s="857">
        <f t="shared" si="234"/>
        <v>0</v>
      </c>
      <c r="REA64" s="857">
        <f t="shared" si="234"/>
        <v>0</v>
      </c>
      <c r="REB64" s="857">
        <f t="shared" si="234"/>
        <v>0</v>
      </c>
      <c r="REC64" s="857">
        <f t="shared" si="234"/>
        <v>0</v>
      </c>
      <c r="RED64" s="857">
        <f t="shared" si="234"/>
        <v>0</v>
      </c>
      <c r="REE64" s="857">
        <f t="shared" si="234"/>
        <v>0</v>
      </c>
      <c r="REF64" s="857">
        <f t="shared" si="234"/>
        <v>0</v>
      </c>
      <c r="REG64" s="857">
        <f t="shared" si="234"/>
        <v>0</v>
      </c>
      <c r="REH64" s="857">
        <f t="shared" si="234"/>
        <v>0</v>
      </c>
      <c r="REI64" s="857">
        <f t="shared" si="234"/>
        <v>0</v>
      </c>
      <c r="REJ64" s="857">
        <f t="shared" si="234"/>
        <v>0</v>
      </c>
      <c r="REK64" s="857">
        <f t="shared" si="234"/>
        <v>0</v>
      </c>
      <c r="REL64" s="857">
        <f t="shared" si="234"/>
        <v>0</v>
      </c>
      <c r="REM64" s="857">
        <f t="shared" si="234"/>
        <v>0</v>
      </c>
      <c r="REN64" s="857">
        <f t="shared" si="234"/>
        <v>0</v>
      </c>
      <c r="REO64" s="857">
        <f t="shared" si="234"/>
        <v>0</v>
      </c>
      <c r="REP64" s="857">
        <f t="shared" si="234"/>
        <v>0</v>
      </c>
      <c r="REQ64" s="857">
        <f t="shared" si="234"/>
        <v>0</v>
      </c>
      <c r="RER64" s="857">
        <f t="shared" si="234"/>
        <v>0</v>
      </c>
      <c r="RES64" s="857">
        <f t="shared" si="234"/>
        <v>0</v>
      </c>
      <c r="RET64" s="857">
        <f t="shared" si="234"/>
        <v>0</v>
      </c>
      <c r="REU64" s="857">
        <f t="shared" si="234"/>
        <v>0</v>
      </c>
      <c r="REV64" s="857">
        <f t="shared" si="234"/>
        <v>0</v>
      </c>
      <c r="REW64" s="857">
        <f t="shared" si="234"/>
        <v>0</v>
      </c>
      <c r="REX64" s="857">
        <f t="shared" si="234"/>
        <v>0</v>
      </c>
      <c r="REY64" s="857">
        <f t="shared" si="234"/>
        <v>0</v>
      </c>
      <c r="REZ64" s="857">
        <f t="shared" si="234"/>
        <v>0</v>
      </c>
      <c r="RFA64" s="857">
        <f t="shared" si="234"/>
        <v>0</v>
      </c>
      <c r="RFB64" s="857">
        <f t="shared" si="234"/>
        <v>0</v>
      </c>
      <c r="RFC64" s="857">
        <f t="shared" si="234"/>
        <v>0</v>
      </c>
      <c r="RFD64" s="857">
        <f t="shared" si="234"/>
        <v>0</v>
      </c>
      <c r="RFE64" s="857">
        <f t="shared" si="234"/>
        <v>0</v>
      </c>
      <c r="RFF64" s="857">
        <f t="shared" si="234"/>
        <v>0</v>
      </c>
      <c r="RFG64" s="857">
        <f t="shared" si="234"/>
        <v>0</v>
      </c>
      <c r="RFH64" s="857">
        <f t="shared" si="234"/>
        <v>0</v>
      </c>
      <c r="RFI64" s="857">
        <f t="shared" si="234"/>
        <v>0</v>
      </c>
      <c r="RFJ64" s="857">
        <f t="shared" si="234"/>
        <v>0</v>
      </c>
      <c r="RFK64" s="857">
        <f t="shared" si="234"/>
        <v>0</v>
      </c>
      <c r="RFL64" s="857">
        <f t="shared" si="234"/>
        <v>0</v>
      </c>
      <c r="RFM64" s="857">
        <f t="shared" si="234"/>
        <v>0</v>
      </c>
      <c r="RFN64" s="857">
        <f t="shared" si="234"/>
        <v>0</v>
      </c>
      <c r="RFO64" s="857">
        <f t="shared" si="234"/>
        <v>0</v>
      </c>
      <c r="RFP64" s="857">
        <f t="shared" si="234"/>
        <v>0</v>
      </c>
      <c r="RFQ64" s="857">
        <f t="shared" si="234"/>
        <v>0</v>
      </c>
      <c r="RFR64" s="857">
        <f t="shared" si="234"/>
        <v>0</v>
      </c>
      <c r="RFS64" s="857">
        <f t="shared" si="234"/>
        <v>0</v>
      </c>
      <c r="RFT64" s="857">
        <f t="shared" si="234"/>
        <v>0</v>
      </c>
      <c r="RFU64" s="857">
        <f t="shared" si="234"/>
        <v>0</v>
      </c>
      <c r="RFV64" s="857">
        <f t="shared" si="234"/>
        <v>0</v>
      </c>
      <c r="RFW64" s="857">
        <f t="shared" si="234"/>
        <v>0</v>
      </c>
      <c r="RFX64" s="857">
        <f t="shared" si="234"/>
        <v>0</v>
      </c>
      <c r="RFY64" s="857">
        <f t="shared" si="234"/>
        <v>0</v>
      </c>
      <c r="RFZ64" s="857">
        <f t="shared" si="234"/>
        <v>0</v>
      </c>
      <c r="RGA64" s="857">
        <f t="shared" si="234"/>
        <v>0</v>
      </c>
      <c r="RGB64" s="857">
        <f t="shared" si="234"/>
        <v>0</v>
      </c>
      <c r="RGC64" s="857">
        <f t="shared" si="234"/>
        <v>0</v>
      </c>
      <c r="RGD64" s="857">
        <f t="shared" si="234"/>
        <v>0</v>
      </c>
      <c r="RGE64" s="857">
        <f t="shared" si="234"/>
        <v>0</v>
      </c>
      <c r="RGF64" s="857">
        <f t="shared" si="234"/>
        <v>0</v>
      </c>
      <c r="RGG64" s="857">
        <f t="shared" si="234"/>
        <v>0</v>
      </c>
      <c r="RGH64" s="857">
        <f t="shared" ref="RGH64:RIS64" si="235">(RGH57-RGH59)*$C$64</f>
        <v>0</v>
      </c>
      <c r="RGI64" s="857">
        <f t="shared" si="235"/>
        <v>0</v>
      </c>
      <c r="RGJ64" s="857">
        <f t="shared" si="235"/>
        <v>0</v>
      </c>
      <c r="RGK64" s="857">
        <f t="shared" si="235"/>
        <v>0</v>
      </c>
      <c r="RGL64" s="857">
        <f t="shared" si="235"/>
        <v>0</v>
      </c>
      <c r="RGM64" s="857">
        <f t="shared" si="235"/>
        <v>0</v>
      </c>
      <c r="RGN64" s="857">
        <f t="shared" si="235"/>
        <v>0</v>
      </c>
      <c r="RGO64" s="857">
        <f t="shared" si="235"/>
        <v>0</v>
      </c>
      <c r="RGP64" s="857">
        <f t="shared" si="235"/>
        <v>0</v>
      </c>
      <c r="RGQ64" s="857">
        <f t="shared" si="235"/>
        <v>0</v>
      </c>
      <c r="RGR64" s="857">
        <f t="shared" si="235"/>
        <v>0</v>
      </c>
      <c r="RGS64" s="857">
        <f t="shared" si="235"/>
        <v>0</v>
      </c>
      <c r="RGT64" s="857">
        <f t="shared" si="235"/>
        <v>0</v>
      </c>
      <c r="RGU64" s="857">
        <f t="shared" si="235"/>
        <v>0</v>
      </c>
      <c r="RGV64" s="857">
        <f t="shared" si="235"/>
        <v>0</v>
      </c>
      <c r="RGW64" s="857">
        <f t="shared" si="235"/>
        <v>0</v>
      </c>
      <c r="RGX64" s="857">
        <f t="shared" si="235"/>
        <v>0</v>
      </c>
      <c r="RGY64" s="857">
        <f t="shared" si="235"/>
        <v>0</v>
      </c>
      <c r="RGZ64" s="857">
        <f t="shared" si="235"/>
        <v>0</v>
      </c>
      <c r="RHA64" s="857">
        <f t="shared" si="235"/>
        <v>0</v>
      </c>
      <c r="RHB64" s="857">
        <f t="shared" si="235"/>
        <v>0</v>
      </c>
      <c r="RHC64" s="857">
        <f t="shared" si="235"/>
        <v>0</v>
      </c>
      <c r="RHD64" s="857">
        <f t="shared" si="235"/>
        <v>0</v>
      </c>
      <c r="RHE64" s="857">
        <f t="shared" si="235"/>
        <v>0</v>
      </c>
      <c r="RHF64" s="857">
        <f t="shared" si="235"/>
        <v>0</v>
      </c>
      <c r="RHG64" s="857">
        <f t="shared" si="235"/>
        <v>0</v>
      </c>
      <c r="RHH64" s="857">
        <f t="shared" si="235"/>
        <v>0</v>
      </c>
      <c r="RHI64" s="857">
        <f t="shared" si="235"/>
        <v>0</v>
      </c>
      <c r="RHJ64" s="857">
        <f t="shared" si="235"/>
        <v>0</v>
      </c>
      <c r="RHK64" s="857">
        <f t="shared" si="235"/>
        <v>0</v>
      </c>
      <c r="RHL64" s="857">
        <f t="shared" si="235"/>
        <v>0</v>
      </c>
      <c r="RHM64" s="857">
        <f t="shared" si="235"/>
        <v>0</v>
      </c>
      <c r="RHN64" s="857">
        <f t="shared" si="235"/>
        <v>0</v>
      </c>
      <c r="RHO64" s="857">
        <f t="shared" si="235"/>
        <v>0</v>
      </c>
      <c r="RHP64" s="857">
        <f t="shared" si="235"/>
        <v>0</v>
      </c>
      <c r="RHQ64" s="857">
        <f t="shared" si="235"/>
        <v>0</v>
      </c>
      <c r="RHR64" s="857">
        <f t="shared" si="235"/>
        <v>0</v>
      </c>
      <c r="RHS64" s="857">
        <f t="shared" si="235"/>
        <v>0</v>
      </c>
      <c r="RHT64" s="857">
        <f t="shared" si="235"/>
        <v>0</v>
      </c>
      <c r="RHU64" s="857">
        <f t="shared" si="235"/>
        <v>0</v>
      </c>
      <c r="RHV64" s="857">
        <f t="shared" si="235"/>
        <v>0</v>
      </c>
      <c r="RHW64" s="857">
        <f t="shared" si="235"/>
        <v>0</v>
      </c>
      <c r="RHX64" s="857">
        <f t="shared" si="235"/>
        <v>0</v>
      </c>
      <c r="RHY64" s="857">
        <f t="shared" si="235"/>
        <v>0</v>
      </c>
      <c r="RHZ64" s="857">
        <f t="shared" si="235"/>
        <v>0</v>
      </c>
      <c r="RIA64" s="857">
        <f t="shared" si="235"/>
        <v>0</v>
      </c>
      <c r="RIB64" s="857">
        <f t="shared" si="235"/>
        <v>0</v>
      </c>
      <c r="RIC64" s="857">
        <f t="shared" si="235"/>
        <v>0</v>
      </c>
      <c r="RID64" s="857">
        <f t="shared" si="235"/>
        <v>0</v>
      </c>
      <c r="RIE64" s="857">
        <f t="shared" si="235"/>
        <v>0</v>
      </c>
      <c r="RIF64" s="857">
        <f t="shared" si="235"/>
        <v>0</v>
      </c>
      <c r="RIG64" s="857">
        <f t="shared" si="235"/>
        <v>0</v>
      </c>
      <c r="RIH64" s="857">
        <f t="shared" si="235"/>
        <v>0</v>
      </c>
      <c r="RII64" s="857">
        <f t="shared" si="235"/>
        <v>0</v>
      </c>
      <c r="RIJ64" s="857">
        <f t="shared" si="235"/>
        <v>0</v>
      </c>
      <c r="RIK64" s="857">
        <f t="shared" si="235"/>
        <v>0</v>
      </c>
      <c r="RIL64" s="857">
        <f t="shared" si="235"/>
        <v>0</v>
      </c>
      <c r="RIM64" s="857">
        <f t="shared" si="235"/>
        <v>0</v>
      </c>
      <c r="RIN64" s="857">
        <f t="shared" si="235"/>
        <v>0</v>
      </c>
      <c r="RIO64" s="857">
        <f t="shared" si="235"/>
        <v>0</v>
      </c>
      <c r="RIP64" s="857">
        <f t="shared" si="235"/>
        <v>0</v>
      </c>
      <c r="RIQ64" s="857">
        <f t="shared" si="235"/>
        <v>0</v>
      </c>
      <c r="RIR64" s="857">
        <f t="shared" si="235"/>
        <v>0</v>
      </c>
      <c r="RIS64" s="857">
        <f t="shared" si="235"/>
        <v>0</v>
      </c>
      <c r="RIT64" s="857">
        <f t="shared" ref="RIT64:RLE64" si="236">(RIT57-RIT59)*$C$64</f>
        <v>0</v>
      </c>
      <c r="RIU64" s="857">
        <f t="shared" si="236"/>
        <v>0</v>
      </c>
      <c r="RIV64" s="857">
        <f t="shared" si="236"/>
        <v>0</v>
      </c>
      <c r="RIW64" s="857">
        <f t="shared" si="236"/>
        <v>0</v>
      </c>
      <c r="RIX64" s="857">
        <f t="shared" si="236"/>
        <v>0</v>
      </c>
      <c r="RIY64" s="857">
        <f t="shared" si="236"/>
        <v>0</v>
      </c>
      <c r="RIZ64" s="857">
        <f t="shared" si="236"/>
        <v>0</v>
      </c>
      <c r="RJA64" s="857">
        <f t="shared" si="236"/>
        <v>0</v>
      </c>
      <c r="RJB64" s="857">
        <f t="shared" si="236"/>
        <v>0</v>
      </c>
      <c r="RJC64" s="857">
        <f t="shared" si="236"/>
        <v>0</v>
      </c>
      <c r="RJD64" s="857">
        <f t="shared" si="236"/>
        <v>0</v>
      </c>
      <c r="RJE64" s="857">
        <f t="shared" si="236"/>
        <v>0</v>
      </c>
      <c r="RJF64" s="857">
        <f t="shared" si="236"/>
        <v>0</v>
      </c>
      <c r="RJG64" s="857">
        <f t="shared" si="236"/>
        <v>0</v>
      </c>
      <c r="RJH64" s="857">
        <f t="shared" si="236"/>
        <v>0</v>
      </c>
      <c r="RJI64" s="857">
        <f t="shared" si="236"/>
        <v>0</v>
      </c>
      <c r="RJJ64" s="857">
        <f t="shared" si="236"/>
        <v>0</v>
      </c>
      <c r="RJK64" s="857">
        <f t="shared" si="236"/>
        <v>0</v>
      </c>
      <c r="RJL64" s="857">
        <f t="shared" si="236"/>
        <v>0</v>
      </c>
      <c r="RJM64" s="857">
        <f t="shared" si="236"/>
        <v>0</v>
      </c>
      <c r="RJN64" s="857">
        <f t="shared" si="236"/>
        <v>0</v>
      </c>
      <c r="RJO64" s="857">
        <f t="shared" si="236"/>
        <v>0</v>
      </c>
      <c r="RJP64" s="857">
        <f t="shared" si="236"/>
        <v>0</v>
      </c>
      <c r="RJQ64" s="857">
        <f t="shared" si="236"/>
        <v>0</v>
      </c>
      <c r="RJR64" s="857">
        <f t="shared" si="236"/>
        <v>0</v>
      </c>
      <c r="RJS64" s="857">
        <f t="shared" si="236"/>
        <v>0</v>
      </c>
      <c r="RJT64" s="857">
        <f t="shared" si="236"/>
        <v>0</v>
      </c>
      <c r="RJU64" s="857">
        <f t="shared" si="236"/>
        <v>0</v>
      </c>
      <c r="RJV64" s="857">
        <f t="shared" si="236"/>
        <v>0</v>
      </c>
      <c r="RJW64" s="857">
        <f t="shared" si="236"/>
        <v>0</v>
      </c>
      <c r="RJX64" s="857">
        <f t="shared" si="236"/>
        <v>0</v>
      </c>
      <c r="RJY64" s="857">
        <f t="shared" si="236"/>
        <v>0</v>
      </c>
      <c r="RJZ64" s="857">
        <f t="shared" si="236"/>
        <v>0</v>
      </c>
      <c r="RKA64" s="857">
        <f t="shared" si="236"/>
        <v>0</v>
      </c>
      <c r="RKB64" s="857">
        <f t="shared" si="236"/>
        <v>0</v>
      </c>
      <c r="RKC64" s="857">
        <f t="shared" si="236"/>
        <v>0</v>
      </c>
      <c r="RKD64" s="857">
        <f t="shared" si="236"/>
        <v>0</v>
      </c>
      <c r="RKE64" s="857">
        <f t="shared" si="236"/>
        <v>0</v>
      </c>
      <c r="RKF64" s="857">
        <f t="shared" si="236"/>
        <v>0</v>
      </c>
      <c r="RKG64" s="857">
        <f t="shared" si="236"/>
        <v>0</v>
      </c>
      <c r="RKH64" s="857">
        <f t="shared" si="236"/>
        <v>0</v>
      </c>
      <c r="RKI64" s="857">
        <f t="shared" si="236"/>
        <v>0</v>
      </c>
      <c r="RKJ64" s="857">
        <f t="shared" si="236"/>
        <v>0</v>
      </c>
      <c r="RKK64" s="857">
        <f t="shared" si="236"/>
        <v>0</v>
      </c>
      <c r="RKL64" s="857">
        <f t="shared" si="236"/>
        <v>0</v>
      </c>
      <c r="RKM64" s="857">
        <f t="shared" si="236"/>
        <v>0</v>
      </c>
      <c r="RKN64" s="857">
        <f t="shared" si="236"/>
        <v>0</v>
      </c>
      <c r="RKO64" s="857">
        <f t="shared" si="236"/>
        <v>0</v>
      </c>
      <c r="RKP64" s="857">
        <f t="shared" si="236"/>
        <v>0</v>
      </c>
      <c r="RKQ64" s="857">
        <f t="shared" si="236"/>
        <v>0</v>
      </c>
      <c r="RKR64" s="857">
        <f t="shared" si="236"/>
        <v>0</v>
      </c>
      <c r="RKS64" s="857">
        <f t="shared" si="236"/>
        <v>0</v>
      </c>
      <c r="RKT64" s="857">
        <f t="shared" si="236"/>
        <v>0</v>
      </c>
      <c r="RKU64" s="857">
        <f t="shared" si="236"/>
        <v>0</v>
      </c>
      <c r="RKV64" s="857">
        <f t="shared" si="236"/>
        <v>0</v>
      </c>
      <c r="RKW64" s="857">
        <f t="shared" si="236"/>
        <v>0</v>
      </c>
      <c r="RKX64" s="857">
        <f t="shared" si="236"/>
        <v>0</v>
      </c>
      <c r="RKY64" s="857">
        <f t="shared" si="236"/>
        <v>0</v>
      </c>
      <c r="RKZ64" s="857">
        <f t="shared" si="236"/>
        <v>0</v>
      </c>
      <c r="RLA64" s="857">
        <f t="shared" si="236"/>
        <v>0</v>
      </c>
      <c r="RLB64" s="857">
        <f t="shared" si="236"/>
        <v>0</v>
      </c>
      <c r="RLC64" s="857">
        <f t="shared" si="236"/>
        <v>0</v>
      </c>
      <c r="RLD64" s="857">
        <f t="shared" si="236"/>
        <v>0</v>
      </c>
      <c r="RLE64" s="857">
        <f t="shared" si="236"/>
        <v>0</v>
      </c>
      <c r="RLF64" s="857">
        <f t="shared" ref="RLF64:RNQ64" si="237">(RLF57-RLF59)*$C$64</f>
        <v>0</v>
      </c>
      <c r="RLG64" s="857">
        <f t="shared" si="237"/>
        <v>0</v>
      </c>
      <c r="RLH64" s="857">
        <f t="shared" si="237"/>
        <v>0</v>
      </c>
      <c r="RLI64" s="857">
        <f t="shared" si="237"/>
        <v>0</v>
      </c>
      <c r="RLJ64" s="857">
        <f t="shared" si="237"/>
        <v>0</v>
      </c>
      <c r="RLK64" s="857">
        <f t="shared" si="237"/>
        <v>0</v>
      </c>
      <c r="RLL64" s="857">
        <f t="shared" si="237"/>
        <v>0</v>
      </c>
      <c r="RLM64" s="857">
        <f t="shared" si="237"/>
        <v>0</v>
      </c>
      <c r="RLN64" s="857">
        <f t="shared" si="237"/>
        <v>0</v>
      </c>
      <c r="RLO64" s="857">
        <f t="shared" si="237"/>
        <v>0</v>
      </c>
      <c r="RLP64" s="857">
        <f t="shared" si="237"/>
        <v>0</v>
      </c>
      <c r="RLQ64" s="857">
        <f t="shared" si="237"/>
        <v>0</v>
      </c>
      <c r="RLR64" s="857">
        <f t="shared" si="237"/>
        <v>0</v>
      </c>
      <c r="RLS64" s="857">
        <f t="shared" si="237"/>
        <v>0</v>
      </c>
      <c r="RLT64" s="857">
        <f t="shared" si="237"/>
        <v>0</v>
      </c>
      <c r="RLU64" s="857">
        <f t="shared" si="237"/>
        <v>0</v>
      </c>
      <c r="RLV64" s="857">
        <f t="shared" si="237"/>
        <v>0</v>
      </c>
      <c r="RLW64" s="857">
        <f t="shared" si="237"/>
        <v>0</v>
      </c>
      <c r="RLX64" s="857">
        <f t="shared" si="237"/>
        <v>0</v>
      </c>
      <c r="RLY64" s="857">
        <f t="shared" si="237"/>
        <v>0</v>
      </c>
      <c r="RLZ64" s="857">
        <f t="shared" si="237"/>
        <v>0</v>
      </c>
      <c r="RMA64" s="857">
        <f t="shared" si="237"/>
        <v>0</v>
      </c>
      <c r="RMB64" s="857">
        <f t="shared" si="237"/>
        <v>0</v>
      </c>
      <c r="RMC64" s="857">
        <f t="shared" si="237"/>
        <v>0</v>
      </c>
      <c r="RMD64" s="857">
        <f t="shared" si="237"/>
        <v>0</v>
      </c>
      <c r="RME64" s="857">
        <f t="shared" si="237"/>
        <v>0</v>
      </c>
      <c r="RMF64" s="857">
        <f t="shared" si="237"/>
        <v>0</v>
      </c>
      <c r="RMG64" s="857">
        <f t="shared" si="237"/>
        <v>0</v>
      </c>
      <c r="RMH64" s="857">
        <f t="shared" si="237"/>
        <v>0</v>
      </c>
      <c r="RMI64" s="857">
        <f t="shared" si="237"/>
        <v>0</v>
      </c>
      <c r="RMJ64" s="857">
        <f t="shared" si="237"/>
        <v>0</v>
      </c>
      <c r="RMK64" s="857">
        <f t="shared" si="237"/>
        <v>0</v>
      </c>
      <c r="RML64" s="857">
        <f t="shared" si="237"/>
        <v>0</v>
      </c>
      <c r="RMM64" s="857">
        <f t="shared" si="237"/>
        <v>0</v>
      </c>
      <c r="RMN64" s="857">
        <f t="shared" si="237"/>
        <v>0</v>
      </c>
      <c r="RMO64" s="857">
        <f t="shared" si="237"/>
        <v>0</v>
      </c>
      <c r="RMP64" s="857">
        <f t="shared" si="237"/>
        <v>0</v>
      </c>
      <c r="RMQ64" s="857">
        <f t="shared" si="237"/>
        <v>0</v>
      </c>
      <c r="RMR64" s="857">
        <f t="shared" si="237"/>
        <v>0</v>
      </c>
      <c r="RMS64" s="857">
        <f t="shared" si="237"/>
        <v>0</v>
      </c>
      <c r="RMT64" s="857">
        <f t="shared" si="237"/>
        <v>0</v>
      </c>
      <c r="RMU64" s="857">
        <f t="shared" si="237"/>
        <v>0</v>
      </c>
      <c r="RMV64" s="857">
        <f t="shared" si="237"/>
        <v>0</v>
      </c>
      <c r="RMW64" s="857">
        <f t="shared" si="237"/>
        <v>0</v>
      </c>
      <c r="RMX64" s="857">
        <f t="shared" si="237"/>
        <v>0</v>
      </c>
      <c r="RMY64" s="857">
        <f t="shared" si="237"/>
        <v>0</v>
      </c>
      <c r="RMZ64" s="857">
        <f t="shared" si="237"/>
        <v>0</v>
      </c>
      <c r="RNA64" s="857">
        <f t="shared" si="237"/>
        <v>0</v>
      </c>
      <c r="RNB64" s="857">
        <f t="shared" si="237"/>
        <v>0</v>
      </c>
      <c r="RNC64" s="857">
        <f t="shared" si="237"/>
        <v>0</v>
      </c>
      <c r="RND64" s="857">
        <f t="shared" si="237"/>
        <v>0</v>
      </c>
      <c r="RNE64" s="857">
        <f t="shared" si="237"/>
        <v>0</v>
      </c>
      <c r="RNF64" s="857">
        <f t="shared" si="237"/>
        <v>0</v>
      </c>
      <c r="RNG64" s="857">
        <f t="shared" si="237"/>
        <v>0</v>
      </c>
      <c r="RNH64" s="857">
        <f t="shared" si="237"/>
        <v>0</v>
      </c>
      <c r="RNI64" s="857">
        <f t="shared" si="237"/>
        <v>0</v>
      </c>
      <c r="RNJ64" s="857">
        <f t="shared" si="237"/>
        <v>0</v>
      </c>
      <c r="RNK64" s="857">
        <f t="shared" si="237"/>
        <v>0</v>
      </c>
      <c r="RNL64" s="857">
        <f t="shared" si="237"/>
        <v>0</v>
      </c>
      <c r="RNM64" s="857">
        <f t="shared" si="237"/>
        <v>0</v>
      </c>
      <c r="RNN64" s="857">
        <f t="shared" si="237"/>
        <v>0</v>
      </c>
      <c r="RNO64" s="857">
        <f t="shared" si="237"/>
        <v>0</v>
      </c>
      <c r="RNP64" s="857">
        <f t="shared" si="237"/>
        <v>0</v>
      </c>
      <c r="RNQ64" s="857">
        <f t="shared" si="237"/>
        <v>0</v>
      </c>
      <c r="RNR64" s="857">
        <f t="shared" ref="RNR64:RQC64" si="238">(RNR57-RNR59)*$C$64</f>
        <v>0</v>
      </c>
      <c r="RNS64" s="857">
        <f t="shared" si="238"/>
        <v>0</v>
      </c>
      <c r="RNT64" s="857">
        <f t="shared" si="238"/>
        <v>0</v>
      </c>
      <c r="RNU64" s="857">
        <f t="shared" si="238"/>
        <v>0</v>
      </c>
      <c r="RNV64" s="857">
        <f t="shared" si="238"/>
        <v>0</v>
      </c>
      <c r="RNW64" s="857">
        <f t="shared" si="238"/>
        <v>0</v>
      </c>
      <c r="RNX64" s="857">
        <f t="shared" si="238"/>
        <v>0</v>
      </c>
      <c r="RNY64" s="857">
        <f t="shared" si="238"/>
        <v>0</v>
      </c>
      <c r="RNZ64" s="857">
        <f t="shared" si="238"/>
        <v>0</v>
      </c>
      <c r="ROA64" s="857">
        <f t="shared" si="238"/>
        <v>0</v>
      </c>
      <c r="ROB64" s="857">
        <f t="shared" si="238"/>
        <v>0</v>
      </c>
      <c r="ROC64" s="857">
        <f t="shared" si="238"/>
        <v>0</v>
      </c>
      <c r="ROD64" s="857">
        <f t="shared" si="238"/>
        <v>0</v>
      </c>
      <c r="ROE64" s="857">
        <f t="shared" si="238"/>
        <v>0</v>
      </c>
      <c r="ROF64" s="857">
        <f t="shared" si="238"/>
        <v>0</v>
      </c>
      <c r="ROG64" s="857">
        <f t="shared" si="238"/>
        <v>0</v>
      </c>
      <c r="ROH64" s="857">
        <f t="shared" si="238"/>
        <v>0</v>
      </c>
      <c r="ROI64" s="857">
        <f t="shared" si="238"/>
        <v>0</v>
      </c>
      <c r="ROJ64" s="857">
        <f t="shared" si="238"/>
        <v>0</v>
      </c>
      <c r="ROK64" s="857">
        <f t="shared" si="238"/>
        <v>0</v>
      </c>
      <c r="ROL64" s="857">
        <f t="shared" si="238"/>
        <v>0</v>
      </c>
      <c r="ROM64" s="857">
        <f t="shared" si="238"/>
        <v>0</v>
      </c>
      <c r="RON64" s="857">
        <f t="shared" si="238"/>
        <v>0</v>
      </c>
      <c r="ROO64" s="857">
        <f t="shared" si="238"/>
        <v>0</v>
      </c>
      <c r="ROP64" s="857">
        <f t="shared" si="238"/>
        <v>0</v>
      </c>
      <c r="ROQ64" s="857">
        <f t="shared" si="238"/>
        <v>0</v>
      </c>
      <c r="ROR64" s="857">
        <f t="shared" si="238"/>
        <v>0</v>
      </c>
      <c r="ROS64" s="857">
        <f t="shared" si="238"/>
        <v>0</v>
      </c>
      <c r="ROT64" s="857">
        <f t="shared" si="238"/>
        <v>0</v>
      </c>
      <c r="ROU64" s="857">
        <f t="shared" si="238"/>
        <v>0</v>
      </c>
      <c r="ROV64" s="857">
        <f t="shared" si="238"/>
        <v>0</v>
      </c>
      <c r="ROW64" s="857">
        <f t="shared" si="238"/>
        <v>0</v>
      </c>
      <c r="ROX64" s="857">
        <f t="shared" si="238"/>
        <v>0</v>
      </c>
      <c r="ROY64" s="857">
        <f t="shared" si="238"/>
        <v>0</v>
      </c>
      <c r="ROZ64" s="857">
        <f t="shared" si="238"/>
        <v>0</v>
      </c>
      <c r="RPA64" s="857">
        <f t="shared" si="238"/>
        <v>0</v>
      </c>
      <c r="RPB64" s="857">
        <f t="shared" si="238"/>
        <v>0</v>
      </c>
      <c r="RPC64" s="857">
        <f t="shared" si="238"/>
        <v>0</v>
      </c>
      <c r="RPD64" s="857">
        <f t="shared" si="238"/>
        <v>0</v>
      </c>
      <c r="RPE64" s="857">
        <f t="shared" si="238"/>
        <v>0</v>
      </c>
      <c r="RPF64" s="857">
        <f t="shared" si="238"/>
        <v>0</v>
      </c>
      <c r="RPG64" s="857">
        <f t="shared" si="238"/>
        <v>0</v>
      </c>
      <c r="RPH64" s="857">
        <f t="shared" si="238"/>
        <v>0</v>
      </c>
      <c r="RPI64" s="857">
        <f t="shared" si="238"/>
        <v>0</v>
      </c>
      <c r="RPJ64" s="857">
        <f t="shared" si="238"/>
        <v>0</v>
      </c>
      <c r="RPK64" s="857">
        <f t="shared" si="238"/>
        <v>0</v>
      </c>
      <c r="RPL64" s="857">
        <f t="shared" si="238"/>
        <v>0</v>
      </c>
      <c r="RPM64" s="857">
        <f t="shared" si="238"/>
        <v>0</v>
      </c>
      <c r="RPN64" s="857">
        <f t="shared" si="238"/>
        <v>0</v>
      </c>
      <c r="RPO64" s="857">
        <f t="shared" si="238"/>
        <v>0</v>
      </c>
      <c r="RPP64" s="857">
        <f t="shared" si="238"/>
        <v>0</v>
      </c>
      <c r="RPQ64" s="857">
        <f t="shared" si="238"/>
        <v>0</v>
      </c>
      <c r="RPR64" s="857">
        <f t="shared" si="238"/>
        <v>0</v>
      </c>
      <c r="RPS64" s="857">
        <f t="shared" si="238"/>
        <v>0</v>
      </c>
      <c r="RPT64" s="857">
        <f t="shared" si="238"/>
        <v>0</v>
      </c>
      <c r="RPU64" s="857">
        <f t="shared" si="238"/>
        <v>0</v>
      </c>
      <c r="RPV64" s="857">
        <f t="shared" si="238"/>
        <v>0</v>
      </c>
      <c r="RPW64" s="857">
        <f t="shared" si="238"/>
        <v>0</v>
      </c>
      <c r="RPX64" s="857">
        <f t="shared" si="238"/>
        <v>0</v>
      </c>
      <c r="RPY64" s="857">
        <f t="shared" si="238"/>
        <v>0</v>
      </c>
      <c r="RPZ64" s="857">
        <f t="shared" si="238"/>
        <v>0</v>
      </c>
      <c r="RQA64" s="857">
        <f t="shared" si="238"/>
        <v>0</v>
      </c>
      <c r="RQB64" s="857">
        <f t="shared" si="238"/>
        <v>0</v>
      </c>
      <c r="RQC64" s="857">
        <f t="shared" si="238"/>
        <v>0</v>
      </c>
      <c r="RQD64" s="857">
        <f t="shared" ref="RQD64:RSO64" si="239">(RQD57-RQD59)*$C$64</f>
        <v>0</v>
      </c>
      <c r="RQE64" s="857">
        <f t="shared" si="239"/>
        <v>0</v>
      </c>
      <c r="RQF64" s="857">
        <f t="shared" si="239"/>
        <v>0</v>
      </c>
      <c r="RQG64" s="857">
        <f t="shared" si="239"/>
        <v>0</v>
      </c>
      <c r="RQH64" s="857">
        <f t="shared" si="239"/>
        <v>0</v>
      </c>
      <c r="RQI64" s="857">
        <f t="shared" si="239"/>
        <v>0</v>
      </c>
      <c r="RQJ64" s="857">
        <f t="shared" si="239"/>
        <v>0</v>
      </c>
      <c r="RQK64" s="857">
        <f t="shared" si="239"/>
        <v>0</v>
      </c>
      <c r="RQL64" s="857">
        <f t="shared" si="239"/>
        <v>0</v>
      </c>
      <c r="RQM64" s="857">
        <f t="shared" si="239"/>
        <v>0</v>
      </c>
      <c r="RQN64" s="857">
        <f t="shared" si="239"/>
        <v>0</v>
      </c>
      <c r="RQO64" s="857">
        <f t="shared" si="239"/>
        <v>0</v>
      </c>
      <c r="RQP64" s="857">
        <f t="shared" si="239"/>
        <v>0</v>
      </c>
      <c r="RQQ64" s="857">
        <f t="shared" si="239"/>
        <v>0</v>
      </c>
      <c r="RQR64" s="857">
        <f t="shared" si="239"/>
        <v>0</v>
      </c>
      <c r="RQS64" s="857">
        <f t="shared" si="239"/>
        <v>0</v>
      </c>
      <c r="RQT64" s="857">
        <f t="shared" si="239"/>
        <v>0</v>
      </c>
      <c r="RQU64" s="857">
        <f t="shared" si="239"/>
        <v>0</v>
      </c>
      <c r="RQV64" s="857">
        <f t="shared" si="239"/>
        <v>0</v>
      </c>
      <c r="RQW64" s="857">
        <f t="shared" si="239"/>
        <v>0</v>
      </c>
      <c r="RQX64" s="857">
        <f t="shared" si="239"/>
        <v>0</v>
      </c>
      <c r="RQY64" s="857">
        <f t="shared" si="239"/>
        <v>0</v>
      </c>
      <c r="RQZ64" s="857">
        <f t="shared" si="239"/>
        <v>0</v>
      </c>
      <c r="RRA64" s="857">
        <f t="shared" si="239"/>
        <v>0</v>
      </c>
      <c r="RRB64" s="857">
        <f t="shared" si="239"/>
        <v>0</v>
      </c>
      <c r="RRC64" s="857">
        <f t="shared" si="239"/>
        <v>0</v>
      </c>
      <c r="RRD64" s="857">
        <f t="shared" si="239"/>
        <v>0</v>
      </c>
      <c r="RRE64" s="857">
        <f t="shared" si="239"/>
        <v>0</v>
      </c>
      <c r="RRF64" s="857">
        <f t="shared" si="239"/>
        <v>0</v>
      </c>
      <c r="RRG64" s="857">
        <f t="shared" si="239"/>
        <v>0</v>
      </c>
      <c r="RRH64" s="857">
        <f t="shared" si="239"/>
        <v>0</v>
      </c>
      <c r="RRI64" s="857">
        <f t="shared" si="239"/>
        <v>0</v>
      </c>
      <c r="RRJ64" s="857">
        <f t="shared" si="239"/>
        <v>0</v>
      </c>
      <c r="RRK64" s="857">
        <f t="shared" si="239"/>
        <v>0</v>
      </c>
      <c r="RRL64" s="857">
        <f t="shared" si="239"/>
        <v>0</v>
      </c>
      <c r="RRM64" s="857">
        <f t="shared" si="239"/>
        <v>0</v>
      </c>
      <c r="RRN64" s="857">
        <f t="shared" si="239"/>
        <v>0</v>
      </c>
      <c r="RRO64" s="857">
        <f t="shared" si="239"/>
        <v>0</v>
      </c>
      <c r="RRP64" s="857">
        <f t="shared" si="239"/>
        <v>0</v>
      </c>
      <c r="RRQ64" s="857">
        <f t="shared" si="239"/>
        <v>0</v>
      </c>
      <c r="RRR64" s="857">
        <f t="shared" si="239"/>
        <v>0</v>
      </c>
      <c r="RRS64" s="857">
        <f t="shared" si="239"/>
        <v>0</v>
      </c>
      <c r="RRT64" s="857">
        <f t="shared" si="239"/>
        <v>0</v>
      </c>
      <c r="RRU64" s="857">
        <f t="shared" si="239"/>
        <v>0</v>
      </c>
      <c r="RRV64" s="857">
        <f t="shared" si="239"/>
        <v>0</v>
      </c>
      <c r="RRW64" s="857">
        <f t="shared" si="239"/>
        <v>0</v>
      </c>
      <c r="RRX64" s="857">
        <f t="shared" si="239"/>
        <v>0</v>
      </c>
      <c r="RRY64" s="857">
        <f t="shared" si="239"/>
        <v>0</v>
      </c>
      <c r="RRZ64" s="857">
        <f t="shared" si="239"/>
        <v>0</v>
      </c>
      <c r="RSA64" s="857">
        <f t="shared" si="239"/>
        <v>0</v>
      </c>
      <c r="RSB64" s="857">
        <f t="shared" si="239"/>
        <v>0</v>
      </c>
      <c r="RSC64" s="857">
        <f t="shared" si="239"/>
        <v>0</v>
      </c>
      <c r="RSD64" s="857">
        <f t="shared" si="239"/>
        <v>0</v>
      </c>
      <c r="RSE64" s="857">
        <f t="shared" si="239"/>
        <v>0</v>
      </c>
      <c r="RSF64" s="857">
        <f t="shared" si="239"/>
        <v>0</v>
      </c>
      <c r="RSG64" s="857">
        <f t="shared" si="239"/>
        <v>0</v>
      </c>
      <c r="RSH64" s="857">
        <f t="shared" si="239"/>
        <v>0</v>
      </c>
      <c r="RSI64" s="857">
        <f t="shared" si="239"/>
        <v>0</v>
      </c>
      <c r="RSJ64" s="857">
        <f t="shared" si="239"/>
        <v>0</v>
      </c>
      <c r="RSK64" s="857">
        <f t="shared" si="239"/>
        <v>0</v>
      </c>
      <c r="RSL64" s="857">
        <f t="shared" si="239"/>
        <v>0</v>
      </c>
      <c r="RSM64" s="857">
        <f t="shared" si="239"/>
        <v>0</v>
      </c>
      <c r="RSN64" s="857">
        <f t="shared" si="239"/>
        <v>0</v>
      </c>
      <c r="RSO64" s="857">
        <f t="shared" si="239"/>
        <v>0</v>
      </c>
      <c r="RSP64" s="857">
        <f t="shared" ref="RSP64:RVA64" si="240">(RSP57-RSP59)*$C$64</f>
        <v>0</v>
      </c>
      <c r="RSQ64" s="857">
        <f t="shared" si="240"/>
        <v>0</v>
      </c>
      <c r="RSR64" s="857">
        <f t="shared" si="240"/>
        <v>0</v>
      </c>
      <c r="RSS64" s="857">
        <f t="shared" si="240"/>
        <v>0</v>
      </c>
      <c r="RST64" s="857">
        <f t="shared" si="240"/>
        <v>0</v>
      </c>
      <c r="RSU64" s="857">
        <f t="shared" si="240"/>
        <v>0</v>
      </c>
      <c r="RSV64" s="857">
        <f t="shared" si="240"/>
        <v>0</v>
      </c>
      <c r="RSW64" s="857">
        <f t="shared" si="240"/>
        <v>0</v>
      </c>
      <c r="RSX64" s="857">
        <f t="shared" si="240"/>
        <v>0</v>
      </c>
      <c r="RSY64" s="857">
        <f t="shared" si="240"/>
        <v>0</v>
      </c>
      <c r="RSZ64" s="857">
        <f t="shared" si="240"/>
        <v>0</v>
      </c>
      <c r="RTA64" s="857">
        <f t="shared" si="240"/>
        <v>0</v>
      </c>
      <c r="RTB64" s="857">
        <f t="shared" si="240"/>
        <v>0</v>
      </c>
      <c r="RTC64" s="857">
        <f t="shared" si="240"/>
        <v>0</v>
      </c>
      <c r="RTD64" s="857">
        <f t="shared" si="240"/>
        <v>0</v>
      </c>
      <c r="RTE64" s="857">
        <f t="shared" si="240"/>
        <v>0</v>
      </c>
      <c r="RTF64" s="857">
        <f t="shared" si="240"/>
        <v>0</v>
      </c>
      <c r="RTG64" s="857">
        <f t="shared" si="240"/>
        <v>0</v>
      </c>
      <c r="RTH64" s="857">
        <f t="shared" si="240"/>
        <v>0</v>
      </c>
      <c r="RTI64" s="857">
        <f t="shared" si="240"/>
        <v>0</v>
      </c>
      <c r="RTJ64" s="857">
        <f t="shared" si="240"/>
        <v>0</v>
      </c>
      <c r="RTK64" s="857">
        <f t="shared" si="240"/>
        <v>0</v>
      </c>
      <c r="RTL64" s="857">
        <f t="shared" si="240"/>
        <v>0</v>
      </c>
      <c r="RTM64" s="857">
        <f t="shared" si="240"/>
        <v>0</v>
      </c>
      <c r="RTN64" s="857">
        <f t="shared" si="240"/>
        <v>0</v>
      </c>
      <c r="RTO64" s="857">
        <f t="shared" si="240"/>
        <v>0</v>
      </c>
      <c r="RTP64" s="857">
        <f t="shared" si="240"/>
        <v>0</v>
      </c>
      <c r="RTQ64" s="857">
        <f t="shared" si="240"/>
        <v>0</v>
      </c>
      <c r="RTR64" s="857">
        <f t="shared" si="240"/>
        <v>0</v>
      </c>
      <c r="RTS64" s="857">
        <f t="shared" si="240"/>
        <v>0</v>
      </c>
      <c r="RTT64" s="857">
        <f t="shared" si="240"/>
        <v>0</v>
      </c>
      <c r="RTU64" s="857">
        <f t="shared" si="240"/>
        <v>0</v>
      </c>
      <c r="RTV64" s="857">
        <f t="shared" si="240"/>
        <v>0</v>
      </c>
      <c r="RTW64" s="857">
        <f t="shared" si="240"/>
        <v>0</v>
      </c>
      <c r="RTX64" s="857">
        <f t="shared" si="240"/>
        <v>0</v>
      </c>
      <c r="RTY64" s="857">
        <f t="shared" si="240"/>
        <v>0</v>
      </c>
      <c r="RTZ64" s="857">
        <f t="shared" si="240"/>
        <v>0</v>
      </c>
      <c r="RUA64" s="857">
        <f t="shared" si="240"/>
        <v>0</v>
      </c>
      <c r="RUB64" s="857">
        <f t="shared" si="240"/>
        <v>0</v>
      </c>
      <c r="RUC64" s="857">
        <f t="shared" si="240"/>
        <v>0</v>
      </c>
      <c r="RUD64" s="857">
        <f t="shared" si="240"/>
        <v>0</v>
      </c>
      <c r="RUE64" s="857">
        <f t="shared" si="240"/>
        <v>0</v>
      </c>
      <c r="RUF64" s="857">
        <f t="shared" si="240"/>
        <v>0</v>
      </c>
      <c r="RUG64" s="857">
        <f t="shared" si="240"/>
        <v>0</v>
      </c>
      <c r="RUH64" s="857">
        <f t="shared" si="240"/>
        <v>0</v>
      </c>
      <c r="RUI64" s="857">
        <f t="shared" si="240"/>
        <v>0</v>
      </c>
      <c r="RUJ64" s="857">
        <f t="shared" si="240"/>
        <v>0</v>
      </c>
      <c r="RUK64" s="857">
        <f t="shared" si="240"/>
        <v>0</v>
      </c>
      <c r="RUL64" s="857">
        <f t="shared" si="240"/>
        <v>0</v>
      </c>
      <c r="RUM64" s="857">
        <f t="shared" si="240"/>
        <v>0</v>
      </c>
      <c r="RUN64" s="857">
        <f t="shared" si="240"/>
        <v>0</v>
      </c>
      <c r="RUO64" s="857">
        <f t="shared" si="240"/>
        <v>0</v>
      </c>
      <c r="RUP64" s="857">
        <f t="shared" si="240"/>
        <v>0</v>
      </c>
      <c r="RUQ64" s="857">
        <f t="shared" si="240"/>
        <v>0</v>
      </c>
      <c r="RUR64" s="857">
        <f t="shared" si="240"/>
        <v>0</v>
      </c>
      <c r="RUS64" s="857">
        <f t="shared" si="240"/>
        <v>0</v>
      </c>
      <c r="RUT64" s="857">
        <f t="shared" si="240"/>
        <v>0</v>
      </c>
      <c r="RUU64" s="857">
        <f t="shared" si="240"/>
        <v>0</v>
      </c>
      <c r="RUV64" s="857">
        <f t="shared" si="240"/>
        <v>0</v>
      </c>
      <c r="RUW64" s="857">
        <f t="shared" si="240"/>
        <v>0</v>
      </c>
      <c r="RUX64" s="857">
        <f t="shared" si="240"/>
        <v>0</v>
      </c>
      <c r="RUY64" s="857">
        <f t="shared" si="240"/>
        <v>0</v>
      </c>
      <c r="RUZ64" s="857">
        <f t="shared" si="240"/>
        <v>0</v>
      </c>
      <c r="RVA64" s="857">
        <f t="shared" si="240"/>
        <v>0</v>
      </c>
      <c r="RVB64" s="857">
        <f t="shared" ref="RVB64:RXM64" si="241">(RVB57-RVB59)*$C$64</f>
        <v>0</v>
      </c>
      <c r="RVC64" s="857">
        <f t="shared" si="241"/>
        <v>0</v>
      </c>
      <c r="RVD64" s="857">
        <f t="shared" si="241"/>
        <v>0</v>
      </c>
      <c r="RVE64" s="857">
        <f t="shared" si="241"/>
        <v>0</v>
      </c>
      <c r="RVF64" s="857">
        <f t="shared" si="241"/>
        <v>0</v>
      </c>
      <c r="RVG64" s="857">
        <f t="shared" si="241"/>
        <v>0</v>
      </c>
      <c r="RVH64" s="857">
        <f t="shared" si="241"/>
        <v>0</v>
      </c>
      <c r="RVI64" s="857">
        <f t="shared" si="241"/>
        <v>0</v>
      </c>
      <c r="RVJ64" s="857">
        <f t="shared" si="241"/>
        <v>0</v>
      </c>
      <c r="RVK64" s="857">
        <f t="shared" si="241"/>
        <v>0</v>
      </c>
      <c r="RVL64" s="857">
        <f t="shared" si="241"/>
        <v>0</v>
      </c>
      <c r="RVM64" s="857">
        <f t="shared" si="241"/>
        <v>0</v>
      </c>
      <c r="RVN64" s="857">
        <f t="shared" si="241"/>
        <v>0</v>
      </c>
      <c r="RVO64" s="857">
        <f t="shared" si="241"/>
        <v>0</v>
      </c>
      <c r="RVP64" s="857">
        <f t="shared" si="241"/>
        <v>0</v>
      </c>
      <c r="RVQ64" s="857">
        <f t="shared" si="241"/>
        <v>0</v>
      </c>
      <c r="RVR64" s="857">
        <f t="shared" si="241"/>
        <v>0</v>
      </c>
      <c r="RVS64" s="857">
        <f t="shared" si="241"/>
        <v>0</v>
      </c>
      <c r="RVT64" s="857">
        <f t="shared" si="241"/>
        <v>0</v>
      </c>
      <c r="RVU64" s="857">
        <f t="shared" si="241"/>
        <v>0</v>
      </c>
      <c r="RVV64" s="857">
        <f t="shared" si="241"/>
        <v>0</v>
      </c>
      <c r="RVW64" s="857">
        <f t="shared" si="241"/>
        <v>0</v>
      </c>
      <c r="RVX64" s="857">
        <f t="shared" si="241"/>
        <v>0</v>
      </c>
      <c r="RVY64" s="857">
        <f t="shared" si="241"/>
        <v>0</v>
      </c>
      <c r="RVZ64" s="857">
        <f t="shared" si="241"/>
        <v>0</v>
      </c>
      <c r="RWA64" s="857">
        <f t="shared" si="241"/>
        <v>0</v>
      </c>
      <c r="RWB64" s="857">
        <f t="shared" si="241"/>
        <v>0</v>
      </c>
      <c r="RWC64" s="857">
        <f t="shared" si="241"/>
        <v>0</v>
      </c>
      <c r="RWD64" s="857">
        <f t="shared" si="241"/>
        <v>0</v>
      </c>
      <c r="RWE64" s="857">
        <f t="shared" si="241"/>
        <v>0</v>
      </c>
      <c r="RWF64" s="857">
        <f t="shared" si="241"/>
        <v>0</v>
      </c>
      <c r="RWG64" s="857">
        <f t="shared" si="241"/>
        <v>0</v>
      </c>
      <c r="RWH64" s="857">
        <f t="shared" si="241"/>
        <v>0</v>
      </c>
      <c r="RWI64" s="857">
        <f t="shared" si="241"/>
        <v>0</v>
      </c>
      <c r="RWJ64" s="857">
        <f t="shared" si="241"/>
        <v>0</v>
      </c>
      <c r="RWK64" s="857">
        <f t="shared" si="241"/>
        <v>0</v>
      </c>
      <c r="RWL64" s="857">
        <f t="shared" si="241"/>
        <v>0</v>
      </c>
      <c r="RWM64" s="857">
        <f t="shared" si="241"/>
        <v>0</v>
      </c>
      <c r="RWN64" s="857">
        <f t="shared" si="241"/>
        <v>0</v>
      </c>
      <c r="RWO64" s="857">
        <f t="shared" si="241"/>
        <v>0</v>
      </c>
      <c r="RWP64" s="857">
        <f t="shared" si="241"/>
        <v>0</v>
      </c>
      <c r="RWQ64" s="857">
        <f t="shared" si="241"/>
        <v>0</v>
      </c>
      <c r="RWR64" s="857">
        <f t="shared" si="241"/>
        <v>0</v>
      </c>
      <c r="RWS64" s="857">
        <f t="shared" si="241"/>
        <v>0</v>
      </c>
      <c r="RWT64" s="857">
        <f t="shared" si="241"/>
        <v>0</v>
      </c>
      <c r="RWU64" s="857">
        <f t="shared" si="241"/>
        <v>0</v>
      </c>
      <c r="RWV64" s="857">
        <f t="shared" si="241"/>
        <v>0</v>
      </c>
      <c r="RWW64" s="857">
        <f t="shared" si="241"/>
        <v>0</v>
      </c>
      <c r="RWX64" s="857">
        <f t="shared" si="241"/>
        <v>0</v>
      </c>
      <c r="RWY64" s="857">
        <f t="shared" si="241"/>
        <v>0</v>
      </c>
      <c r="RWZ64" s="857">
        <f t="shared" si="241"/>
        <v>0</v>
      </c>
      <c r="RXA64" s="857">
        <f t="shared" si="241"/>
        <v>0</v>
      </c>
      <c r="RXB64" s="857">
        <f t="shared" si="241"/>
        <v>0</v>
      </c>
      <c r="RXC64" s="857">
        <f t="shared" si="241"/>
        <v>0</v>
      </c>
      <c r="RXD64" s="857">
        <f t="shared" si="241"/>
        <v>0</v>
      </c>
      <c r="RXE64" s="857">
        <f t="shared" si="241"/>
        <v>0</v>
      </c>
      <c r="RXF64" s="857">
        <f t="shared" si="241"/>
        <v>0</v>
      </c>
      <c r="RXG64" s="857">
        <f t="shared" si="241"/>
        <v>0</v>
      </c>
      <c r="RXH64" s="857">
        <f t="shared" si="241"/>
        <v>0</v>
      </c>
      <c r="RXI64" s="857">
        <f t="shared" si="241"/>
        <v>0</v>
      </c>
      <c r="RXJ64" s="857">
        <f t="shared" si="241"/>
        <v>0</v>
      </c>
      <c r="RXK64" s="857">
        <f t="shared" si="241"/>
        <v>0</v>
      </c>
      <c r="RXL64" s="857">
        <f t="shared" si="241"/>
        <v>0</v>
      </c>
      <c r="RXM64" s="857">
        <f t="shared" si="241"/>
        <v>0</v>
      </c>
      <c r="RXN64" s="857">
        <f t="shared" ref="RXN64:RZY64" si="242">(RXN57-RXN59)*$C$64</f>
        <v>0</v>
      </c>
      <c r="RXO64" s="857">
        <f t="shared" si="242"/>
        <v>0</v>
      </c>
      <c r="RXP64" s="857">
        <f t="shared" si="242"/>
        <v>0</v>
      </c>
      <c r="RXQ64" s="857">
        <f t="shared" si="242"/>
        <v>0</v>
      </c>
      <c r="RXR64" s="857">
        <f t="shared" si="242"/>
        <v>0</v>
      </c>
      <c r="RXS64" s="857">
        <f t="shared" si="242"/>
        <v>0</v>
      </c>
      <c r="RXT64" s="857">
        <f t="shared" si="242"/>
        <v>0</v>
      </c>
      <c r="RXU64" s="857">
        <f t="shared" si="242"/>
        <v>0</v>
      </c>
      <c r="RXV64" s="857">
        <f t="shared" si="242"/>
        <v>0</v>
      </c>
      <c r="RXW64" s="857">
        <f t="shared" si="242"/>
        <v>0</v>
      </c>
      <c r="RXX64" s="857">
        <f t="shared" si="242"/>
        <v>0</v>
      </c>
      <c r="RXY64" s="857">
        <f t="shared" si="242"/>
        <v>0</v>
      </c>
      <c r="RXZ64" s="857">
        <f t="shared" si="242"/>
        <v>0</v>
      </c>
      <c r="RYA64" s="857">
        <f t="shared" si="242"/>
        <v>0</v>
      </c>
      <c r="RYB64" s="857">
        <f t="shared" si="242"/>
        <v>0</v>
      </c>
      <c r="RYC64" s="857">
        <f t="shared" si="242"/>
        <v>0</v>
      </c>
      <c r="RYD64" s="857">
        <f t="shared" si="242"/>
        <v>0</v>
      </c>
      <c r="RYE64" s="857">
        <f t="shared" si="242"/>
        <v>0</v>
      </c>
      <c r="RYF64" s="857">
        <f t="shared" si="242"/>
        <v>0</v>
      </c>
      <c r="RYG64" s="857">
        <f t="shared" si="242"/>
        <v>0</v>
      </c>
      <c r="RYH64" s="857">
        <f t="shared" si="242"/>
        <v>0</v>
      </c>
      <c r="RYI64" s="857">
        <f t="shared" si="242"/>
        <v>0</v>
      </c>
      <c r="RYJ64" s="857">
        <f t="shared" si="242"/>
        <v>0</v>
      </c>
      <c r="RYK64" s="857">
        <f t="shared" si="242"/>
        <v>0</v>
      </c>
      <c r="RYL64" s="857">
        <f t="shared" si="242"/>
        <v>0</v>
      </c>
      <c r="RYM64" s="857">
        <f t="shared" si="242"/>
        <v>0</v>
      </c>
      <c r="RYN64" s="857">
        <f t="shared" si="242"/>
        <v>0</v>
      </c>
      <c r="RYO64" s="857">
        <f t="shared" si="242"/>
        <v>0</v>
      </c>
      <c r="RYP64" s="857">
        <f t="shared" si="242"/>
        <v>0</v>
      </c>
      <c r="RYQ64" s="857">
        <f t="shared" si="242"/>
        <v>0</v>
      </c>
      <c r="RYR64" s="857">
        <f t="shared" si="242"/>
        <v>0</v>
      </c>
      <c r="RYS64" s="857">
        <f t="shared" si="242"/>
        <v>0</v>
      </c>
      <c r="RYT64" s="857">
        <f t="shared" si="242"/>
        <v>0</v>
      </c>
      <c r="RYU64" s="857">
        <f t="shared" si="242"/>
        <v>0</v>
      </c>
      <c r="RYV64" s="857">
        <f t="shared" si="242"/>
        <v>0</v>
      </c>
      <c r="RYW64" s="857">
        <f t="shared" si="242"/>
        <v>0</v>
      </c>
      <c r="RYX64" s="857">
        <f t="shared" si="242"/>
        <v>0</v>
      </c>
      <c r="RYY64" s="857">
        <f t="shared" si="242"/>
        <v>0</v>
      </c>
      <c r="RYZ64" s="857">
        <f t="shared" si="242"/>
        <v>0</v>
      </c>
      <c r="RZA64" s="857">
        <f t="shared" si="242"/>
        <v>0</v>
      </c>
      <c r="RZB64" s="857">
        <f t="shared" si="242"/>
        <v>0</v>
      </c>
      <c r="RZC64" s="857">
        <f t="shared" si="242"/>
        <v>0</v>
      </c>
      <c r="RZD64" s="857">
        <f t="shared" si="242"/>
        <v>0</v>
      </c>
      <c r="RZE64" s="857">
        <f t="shared" si="242"/>
        <v>0</v>
      </c>
      <c r="RZF64" s="857">
        <f t="shared" si="242"/>
        <v>0</v>
      </c>
      <c r="RZG64" s="857">
        <f t="shared" si="242"/>
        <v>0</v>
      </c>
      <c r="RZH64" s="857">
        <f t="shared" si="242"/>
        <v>0</v>
      </c>
      <c r="RZI64" s="857">
        <f t="shared" si="242"/>
        <v>0</v>
      </c>
      <c r="RZJ64" s="857">
        <f t="shared" si="242"/>
        <v>0</v>
      </c>
      <c r="RZK64" s="857">
        <f t="shared" si="242"/>
        <v>0</v>
      </c>
      <c r="RZL64" s="857">
        <f t="shared" si="242"/>
        <v>0</v>
      </c>
      <c r="RZM64" s="857">
        <f t="shared" si="242"/>
        <v>0</v>
      </c>
      <c r="RZN64" s="857">
        <f t="shared" si="242"/>
        <v>0</v>
      </c>
      <c r="RZO64" s="857">
        <f t="shared" si="242"/>
        <v>0</v>
      </c>
      <c r="RZP64" s="857">
        <f t="shared" si="242"/>
        <v>0</v>
      </c>
      <c r="RZQ64" s="857">
        <f t="shared" si="242"/>
        <v>0</v>
      </c>
      <c r="RZR64" s="857">
        <f t="shared" si="242"/>
        <v>0</v>
      </c>
      <c r="RZS64" s="857">
        <f t="shared" si="242"/>
        <v>0</v>
      </c>
      <c r="RZT64" s="857">
        <f t="shared" si="242"/>
        <v>0</v>
      </c>
      <c r="RZU64" s="857">
        <f t="shared" si="242"/>
        <v>0</v>
      </c>
      <c r="RZV64" s="857">
        <f t="shared" si="242"/>
        <v>0</v>
      </c>
      <c r="RZW64" s="857">
        <f t="shared" si="242"/>
        <v>0</v>
      </c>
      <c r="RZX64" s="857">
        <f t="shared" si="242"/>
        <v>0</v>
      </c>
      <c r="RZY64" s="857">
        <f t="shared" si="242"/>
        <v>0</v>
      </c>
      <c r="RZZ64" s="857">
        <f t="shared" ref="RZZ64:SCK64" si="243">(RZZ57-RZZ59)*$C$64</f>
        <v>0</v>
      </c>
      <c r="SAA64" s="857">
        <f t="shared" si="243"/>
        <v>0</v>
      </c>
      <c r="SAB64" s="857">
        <f t="shared" si="243"/>
        <v>0</v>
      </c>
      <c r="SAC64" s="857">
        <f t="shared" si="243"/>
        <v>0</v>
      </c>
      <c r="SAD64" s="857">
        <f t="shared" si="243"/>
        <v>0</v>
      </c>
      <c r="SAE64" s="857">
        <f t="shared" si="243"/>
        <v>0</v>
      </c>
      <c r="SAF64" s="857">
        <f t="shared" si="243"/>
        <v>0</v>
      </c>
      <c r="SAG64" s="857">
        <f t="shared" si="243"/>
        <v>0</v>
      </c>
      <c r="SAH64" s="857">
        <f t="shared" si="243"/>
        <v>0</v>
      </c>
      <c r="SAI64" s="857">
        <f t="shared" si="243"/>
        <v>0</v>
      </c>
      <c r="SAJ64" s="857">
        <f t="shared" si="243"/>
        <v>0</v>
      </c>
      <c r="SAK64" s="857">
        <f t="shared" si="243"/>
        <v>0</v>
      </c>
      <c r="SAL64" s="857">
        <f t="shared" si="243"/>
        <v>0</v>
      </c>
      <c r="SAM64" s="857">
        <f t="shared" si="243"/>
        <v>0</v>
      </c>
      <c r="SAN64" s="857">
        <f t="shared" si="243"/>
        <v>0</v>
      </c>
      <c r="SAO64" s="857">
        <f t="shared" si="243"/>
        <v>0</v>
      </c>
      <c r="SAP64" s="857">
        <f t="shared" si="243"/>
        <v>0</v>
      </c>
      <c r="SAQ64" s="857">
        <f t="shared" si="243"/>
        <v>0</v>
      </c>
      <c r="SAR64" s="857">
        <f t="shared" si="243"/>
        <v>0</v>
      </c>
      <c r="SAS64" s="857">
        <f t="shared" si="243"/>
        <v>0</v>
      </c>
      <c r="SAT64" s="857">
        <f t="shared" si="243"/>
        <v>0</v>
      </c>
      <c r="SAU64" s="857">
        <f t="shared" si="243"/>
        <v>0</v>
      </c>
      <c r="SAV64" s="857">
        <f t="shared" si="243"/>
        <v>0</v>
      </c>
      <c r="SAW64" s="857">
        <f t="shared" si="243"/>
        <v>0</v>
      </c>
      <c r="SAX64" s="857">
        <f t="shared" si="243"/>
        <v>0</v>
      </c>
      <c r="SAY64" s="857">
        <f t="shared" si="243"/>
        <v>0</v>
      </c>
      <c r="SAZ64" s="857">
        <f t="shared" si="243"/>
        <v>0</v>
      </c>
      <c r="SBA64" s="857">
        <f t="shared" si="243"/>
        <v>0</v>
      </c>
      <c r="SBB64" s="857">
        <f t="shared" si="243"/>
        <v>0</v>
      </c>
      <c r="SBC64" s="857">
        <f t="shared" si="243"/>
        <v>0</v>
      </c>
      <c r="SBD64" s="857">
        <f t="shared" si="243"/>
        <v>0</v>
      </c>
      <c r="SBE64" s="857">
        <f t="shared" si="243"/>
        <v>0</v>
      </c>
      <c r="SBF64" s="857">
        <f t="shared" si="243"/>
        <v>0</v>
      </c>
      <c r="SBG64" s="857">
        <f t="shared" si="243"/>
        <v>0</v>
      </c>
      <c r="SBH64" s="857">
        <f t="shared" si="243"/>
        <v>0</v>
      </c>
      <c r="SBI64" s="857">
        <f t="shared" si="243"/>
        <v>0</v>
      </c>
      <c r="SBJ64" s="857">
        <f t="shared" si="243"/>
        <v>0</v>
      </c>
      <c r="SBK64" s="857">
        <f t="shared" si="243"/>
        <v>0</v>
      </c>
      <c r="SBL64" s="857">
        <f t="shared" si="243"/>
        <v>0</v>
      </c>
      <c r="SBM64" s="857">
        <f t="shared" si="243"/>
        <v>0</v>
      </c>
      <c r="SBN64" s="857">
        <f t="shared" si="243"/>
        <v>0</v>
      </c>
      <c r="SBO64" s="857">
        <f t="shared" si="243"/>
        <v>0</v>
      </c>
      <c r="SBP64" s="857">
        <f t="shared" si="243"/>
        <v>0</v>
      </c>
      <c r="SBQ64" s="857">
        <f t="shared" si="243"/>
        <v>0</v>
      </c>
      <c r="SBR64" s="857">
        <f t="shared" si="243"/>
        <v>0</v>
      </c>
      <c r="SBS64" s="857">
        <f t="shared" si="243"/>
        <v>0</v>
      </c>
      <c r="SBT64" s="857">
        <f t="shared" si="243"/>
        <v>0</v>
      </c>
      <c r="SBU64" s="857">
        <f t="shared" si="243"/>
        <v>0</v>
      </c>
      <c r="SBV64" s="857">
        <f t="shared" si="243"/>
        <v>0</v>
      </c>
      <c r="SBW64" s="857">
        <f t="shared" si="243"/>
        <v>0</v>
      </c>
      <c r="SBX64" s="857">
        <f t="shared" si="243"/>
        <v>0</v>
      </c>
      <c r="SBY64" s="857">
        <f t="shared" si="243"/>
        <v>0</v>
      </c>
      <c r="SBZ64" s="857">
        <f t="shared" si="243"/>
        <v>0</v>
      </c>
      <c r="SCA64" s="857">
        <f t="shared" si="243"/>
        <v>0</v>
      </c>
      <c r="SCB64" s="857">
        <f t="shared" si="243"/>
        <v>0</v>
      </c>
      <c r="SCC64" s="857">
        <f t="shared" si="243"/>
        <v>0</v>
      </c>
      <c r="SCD64" s="857">
        <f t="shared" si="243"/>
        <v>0</v>
      </c>
      <c r="SCE64" s="857">
        <f t="shared" si="243"/>
        <v>0</v>
      </c>
      <c r="SCF64" s="857">
        <f t="shared" si="243"/>
        <v>0</v>
      </c>
      <c r="SCG64" s="857">
        <f t="shared" si="243"/>
        <v>0</v>
      </c>
      <c r="SCH64" s="857">
        <f t="shared" si="243"/>
        <v>0</v>
      </c>
      <c r="SCI64" s="857">
        <f t="shared" si="243"/>
        <v>0</v>
      </c>
      <c r="SCJ64" s="857">
        <f t="shared" si="243"/>
        <v>0</v>
      </c>
      <c r="SCK64" s="857">
        <f t="shared" si="243"/>
        <v>0</v>
      </c>
      <c r="SCL64" s="857">
        <f t="shared" ref="SCL64:SEW64" si="244">(SCL57-SCL59)*$C$64</f>
        <v>0</v>
      </c>
      <c r="SCM64" s="857">
        <f t="shared" si="244"/>
        <v>0</v>
      </c>
      <c r="SCN64" s="857">
        <f t="shared" si="244"/>
        <v>0</v>
      </c>
      <c r="SCO64" s="857">
        <f t="shared" si="244"/>
        <v>0</v>
      </c>
      <c r="SCP64" s="857">
        <f t="shared" si="244"/>
        <v>0</v>
      </c>
      <c r="SCQ64" s="857">
        <f t="shared" si="244"/>
        <v>0</v>
      </c>
      <c r="SCR64" s="857">
        <f t="shared" si="244"/>
        <v>0</v>
      </c>
      <c r="SCS64" s="857">
        <f t="shared" si="244"/>
        <v>0</v>
      </c>
      <c r="SCT64" s="857">
        <f t="shared" si="244"/>
        <v>0</v>
      </c>
      <c r="SCU64" s="857">
        <f t="shared" si="244"/>
        <v>0</v>
      </c>
      <c r="SCV64" s="857">
        <f t="shared" si="244"/>
        <v>0</v>
      </c>
      <c r="SCW64" s="857">
        <f t="shared" si="244"/>
        <v>0</v>
      </c>
      <c r="SCX64" s="857">
        <f t="shared" si="244"/>
        <v>0</v>
      </c>
      <c r="SCY64" s="857">
        <f t="shared" si="244"/>
        <v>0</v>
      </c>
      <c r="SCZ64" s="857">
        <f t="shared" si="244"/>
        <v>0</v>
      </c>
      <c r="SDA64" s="857">
        <f t="shared" si="244"/>
        <v>0</v>
      </c>
      <c r="SDB64" s="857">
        <f t="shared" si="244"/>
        <v>0</v>
      </c>
      <c r="SDC64" s="857">
        <f t="shared" si="244"/>
        <v>0</v>
      </c>
      <c r="SDD64" s="857">
        <f t="shared" si="244"/>
        <v>0</v>
      </c>
      <c r="SDE64" s="857">
        <f t="shared" si="244"/>
        <v>0</v>
      </c>
      <c r="SDF64" s="857">
        <f t="shared" si="244"/>
        <v>0</v>
      </c>
      <c r="SDG64" s="857">
        <f t="shared" si="244"/>
        <v>0</v>
      </c>
      <c r="SDH64" s="857">
        <f t="shared" si="244"/>
        <v>0</v>
      </c>
      <c r="SDI64" s="857">
        <f t="shared" si="244"/>
        <v>0</v>
      </c>
      <c r="SDJ64" s="857">
        <f t="shared" si="244"/>
        <v>0</v>
      </c>
      <c r="SDK64" s="857">
        <f t="shared" si="244"/>
        <v>0</v>
      </c>
      <c r="SDL64" s="857">
        <f t="shared" si="244"/>
        <v>0</v>
      </c>
      <c r="SDM64" s="857">
        <f t="shared" si="244"/>
        <v>0</v>
      </c>
      <c r="SDN64" s="857">
        <f t="shared" si="244"/>
        <v>0</v>
      </c>
      <c r="SDO64" s="857">
        <f t="shared" si="244"/>
        <v>0</v>
      </c>
      <c r="SDP64" s="857">
        <f t="shared" si="244"/>
        <v>0</v>
      </c>
      <c r="SDQ64" s="857">
        <f t="shared" si="244"/>
        <v>0</v>
      </c>
      <c r="SDR64" s="857">
        <f t="shared" si="244"/>
        <v>0</v>
      </c>
      <c r="SDS64" s="857">
        <f t="shared" si="244"/>
        <v>0</v>
      </c>
      <c r="SDT64" s="857">
        <f t="shared" si="244"/>
        <v>0</v>
      </c>
      <c r="SDU64" s="857">
        <f t="shared" si="244"/>
        <v>0</v>
      </c>
      <c r="SDV64" s="857">
        <f t="shared" si="244"/>
        <v>0</v>
      </c>
      <c r="SDW64" s="857">
        <f t="shared" si="244"/>
        <v>0</v>
      </c>
      <c r="SDX64" s="857">
        <f t="shared" si="244"/>
        <v>0</v>
      </c>
      <c r="SDY64" s="857">
        <f t="shared" si="244"/>
        <v>0</v>
      </c>
      <c r="SDZ64" s="857">
        <f t="shared" si="244"/>
        <v>0</v>
      </c>
      <c r="SEA64" s="857">
        <f t="shared" si="244"/>
        <v>0</v>
      </c>
      <c r="SEB64" s="857">
        <f t="shared" si="244"/>
        <v>0</v>
      </c>
      <c r="SEC64" s="857">
        <f t="shared" si="244"/>
        <v>0</v>
      </c>
      <c r="SED64" s="857">
        <f t="shared" si="244"/>
        <v>0</v>
      </c>
      <c r="SEE64" s="857">
        <f t="shared" si="244"/>
        <v>0</v>
      </c>
      <c r="SEF64" s="857">
        <f t="shared" si="244"/>
        <v>0</v>
      </c>
      <c r="SEG64" s="857">
        <f t="shared" si="244"/>
        <v>0</v>
      </c>
      <c r="SEH64" s="857">
        <f t="shared" si="244"/>
        <v>0</v>
      </c>
      <c r="SEI64" s="857">
        <f t="shared" si="244"/>
        <v>0</v>
      </c>
      <c r="SEJ64" s="857">
        <f t="shared" si="244"/>
        <v>0</v>
      </c>
      <c r="SEK64" s="857">
        <f t="shared" si="244"/>
        <v>0</v>
      </c>
      <c r="SEL64" s="857">
        <f t="shared" si="244"/>
        <v>0</v>
      </c>
      <c r="SEM64" s="857">
        <f t="shared" si="244"/>
        <v>0</v>
      </c>
      <c r="SEN64" s="857">
        <f t="shared" si="244"/>
        <v>0</v>
      </c>
      <c r="SEO64" s="857">
        <f t="shared" si="244"/>
        <v>0</v>
      </c>
      <c r="SEP64" s="857">
        <f t="shared" si="244"/>
        <v>0</v>
      </c>
      <c r="SEQ64" s="857">
        <f t="shared" si="244"/>
        <v>0</v>
      </c>
      <c r="SER64" s="857">
        <f t="shared" si="244"/>
        <v>0</v>
      </c>
      <c r="SES64" s="857">
        <f t="shared" si="244"/>
        <v>0</v>
      </c>
      <c r="SET64" s="857">
        <f t="shared" si="244"/>
        <v>0</v>
      </c>
      <c r="SEU64" s="857">
        <f t="shared" si="244"/>
        <v>0</v>
      </c>
      <c r="SEV64" s="857">
        <f t="shared" si="244"/>
        <v>0</v>
      </c>
      <c r="SEW64" s="857">
        <f t="shared" si="244"/>
        <v>0</v>
      </c>
      <c r="SEX64" s="857">
        <f t="shared" ref="SEX64:SHI64" si="245">(SEX57-SEX59)*$C$64</f>
        <v>0</v>
      </c>
      <c r="SEY64" s="857">
        <f t="shared" si="245"/>
        <v>0</v>
      </c>
      <c r="SEZ64" s="857">
        <f t="shared" si="245"/>
        <v>0</v>
      </c>
      <c r="SFA64" s="857">
        <f t="shared" si="245"/>
        <v>0</v>
      </c>
      <c r="SFB64" s="857">
        <f t="shared" si="245"/>
        <v>0</v>
      </c>
      <c r="SFC64" s="857">
        <f t="shared" si="245"/>
        <v>0</v>
      </c>
      <c r="SFD64" s="857">
        <f t="shared" si="245"/>
        <v>0</v>
      </c>
      <c r="SFE64" s="857">
        <f t="shared" si="245"/>
        <v>0</v>
      </c>
      <c r="SFF64" s="857">
        <f t="shared" si="245"/>
        <v>0</v>
      </c>
      <c r="SFG64" s="857">
        <f t="shared" si="245"/>
        <v>0</v>
      </c>
      <c r="SFH64" s="857">
        <f t="shared" si="245"/>
        <v>0</v>
      </c>
      <c r="SFI64" s="857">
        <f t="shared" si="245"/>
        <v>0</v>
      </c>
      <c r="SFJ64" s="857">
        <f t="shared" si="245"/>
        <v>0</v>
      </c>
      <c r="SFK64" s="857">
        <f t="shared" si="245"/>
        <v>0</v>
      </c>
      <c r="SFL64" s="857">
        <f t="shared" si="245"/>
        <v>0</v>
      </c>
      <c r="SFM64" s="857">
        <f t="shared" si="245"/>
        <v>0</v>
      </c>
      <c r="SFN64" s="857">
        <f t="shared" si="245"/>
        <v>0</v>
      </c>
      <c r="SFO64" s="857">
        <f t="shared" si="245"/>
        <v>0</v>
      </c>
      <c r="SFP64" s="857">
        <f t="shared" si="245"/>
        <v>0</v>
      </c>
      <c r="SFQ64" s="857">
        <f t="shared" si="245"/>
        <v>0</v>
      </c>
      <c r="SFR64" s="857">
        <f t="shared" si="245"/>
        <v>0</v>
      </c>
      <c r="SFS64" s="857">
        <f t="shared" si="245"/>
        <v>0</v>
      </c>
      <c r="SFT64" s="857">
        <f t="shared" si="245"/>
        <v>0</v>
      </c>
      <c r="SFU64" s="857">
        <f t="shared" si="245"/>
        <v>0</v>
      </c>
      <c r="SFV64" s="857">
        <f t="shared" si="245"/>
        <v>0</v>
      </c>
      <c r="SFW64" s="857">
        <f t="shared" si="245"/>
        <v>0</v>
      </c>
      <c r="SFX64" s="857">
        <f t="shared" si="245"/>
        <v>0</v>
      </c>
      <c r="SFY64" s="857">
        <f t="shared" si="245"/>
        <v>0</v>
      </c>
      <c r="SFZ64" s="857">
        <f t="shared" si="245"/>
        <v>0</v>
      </c>
      <c r="SGA64" s="857">
        <f t="shared" si="245"/>
        <v>0</v>
      </c>
      <c r="SGB64" s="857">
        <f t="shared" si="245"/>
        <v>0</v>
      </c>
      <c r="SGC64" s="857">
        <f t="shared" si="245"/>
        <v>0</v>
      </c>
      <c r="SGD64" s="857">
        <f t="shared" si="245"/>
        <v>0</v>
      </c>
      <c r="SGE64" s="857">
        <f t="shared" si="245"/>
        <v>0</v>
      </c>
      <c r="SGF64" s="857">
        <f t="shared" si="245"/>
        <v>0</v>
      </c>
      <c r="SGG64" s="857">
        <f t="shared" si="245"/>
        <v>0</v>
      </c>
      <c r="SGH64" s="857">
        <f t="shared" si="245"/>
        <v>0</v>
      </c>
      <c r="SGI64" s="857">
        <f t="shared" si="245"/>
        <v>0</v>
      </c>
      <c r="SGJ64" s="857">
        <f t="shared" si="245"/>
        <v>0</v>
      </c>
      <c r="SGK64" s="857">
        <f t="shared" si="245"/>
        <v>0</v>
      </c>
      <c r="SGL64" s="857">
        <f t="shared" si="245"/>
        <v>0</v>
      </c>
      <c r="SGM64" s="857">
        <f t="shared" si="245"/>
        <v>0</v>
      </c>
      <c r="SGN64" s="857">
        <f t="shared" si="245"/>
        <v>0</v>
      </c>
      <c r="SGO64" s="857">
        <f t="shared" si="245"/>
        <v>0</v>
      </c>
      <c r="SGP64" s="857">
        <f t="shared" si="245"/>
        <v>0</v>
      </c>
      <c r="SGQ64" s="857">
        <f t="shared" si="245"/>
        <v>0</v>
      </c>
      <c r="SGR64" s="857">
        <f t="shared" si="245"/>
        <v>0</v>
      </c>
      <c r="SGS64" s="857">
        <f t="shared" si="245"/>
        <v>0</v>
      </c>
      <c r="SGT64" s="857">
        <f t="shared" si="245"/>
        <v>0</v>
      </c>
      <c r="SGU64" s="857">
        <f t="shared" si="245"/>
        <v>0</v>
      </c>
      <c r="SGV64" s="857">
        <f t="shared" si="245"/>
        <v>0</v>
      </c>
      <c r="SGW64" s="857">
        <f t="shared" si="245"/>
        <v>0</v>
      </c>
      <c r="SGX64" s="857">
        <f t="shared" si="245"/>
        <v>0</v>
      </c>
      <c r="SGY64" s="857">
        <f t="shared" si="245"/>
        <v>0</v>
      </c>
      <c r="SGZ64" s="857">
        <f t="shared" si="245"/>
        <v>0</v>
      </c>
      <c r="SHA64" s="857">
        <f t="shared" si="245"/>
        <v>0</v>
      </c>
      <c r="SHB64" s="857">
        <f t="shared" si="245"/>
        <v>0</v>
      </c>
      <c r="SHC64" s="857">
        <f t="shared" si="245"/>
        <v>0</v>
      </c>
      <c r="SHD64" s="857">
        <f t="shared" si="245"/>
        <v>0</v>
      </c>
      <c r="SHE64" s="857">
        <f t="shared" si="245"/>
        <v>0</v>
      </c>
      <c r="SHF64" s="857">
        <f t="shared" si="245"/>
        <v>0</v>
      </c>
      <c r="SHG64" s="857">
        <f t="shared" si="245"/>
        <v>0</v>
      </c>
      <c r="SHH64" s="857">
        <f t="shared" si="245"/>
        <v>0</v>
      </c>
      <c r="SHI64" s="857">
        <f t="shared" si="245"/>
        <v>0</v>
      </c>
      <c r="SHJ64" s="857">
        <f t="shared" ref="SHJ64:SJU64" si="246">(SHJ57-SHJ59)*$C$64</f>
        <v>0</v>
      </c>
      <c r="SHK64" s="857">
        <f t="shared" si="246"/>
        <v>0</v>
      </c>
      <c r="SHL64" s="857">
        <f t="shared" si="246"/>
        <v>0</v>
      </c>
      <c r="SHM64" s="857">
        <f t="shared" si="246"/>
        <v>0</v>
      </c>
      <c r="SHN64" s="857">
        <f t="shared" si="246"/>
        <v>0</v>
      </c>
      <c r="SHO64" s="857">
        <f t="shared" si="246"/>
        <v>0</v>
      </c>
      <c r="SHP64" s="857">
        <f t="shared" si="246"/>
        <v>0</v>
      </c>
      <c r="SHQ64" s="857">
        <f t="shared" si="246"/>
        <v>0</v>
      </c>
      <c r="SHR64" s="857">
        <f t="shared" si="246"/>
        <v>0</v>
      </c>
      <c r="SHS64" s="857">
        <f t="shared" si="246"/>
        <v>0</v>
      </c>
      <c r="SHT64" s="857">
        <f t="shared" si="246"/>
        <v>0</v>
      </c>
      <c r="SHU64" s="857">
        <f t="shared" si="246"/>
        <v>0</v>
      </c>
      <c r="SHV64" s="857">
        <f t="shared" si="246"/>
        <v>0</v>
      </c>
      <c r="SHW64" s="857">
        <f t="shared" si="246"/>
        <v>0</v>
      </c>
      <c r="SHX64" s="857">
        <f t="shared" si="246"/>
        <v>0</v>
      </c>
      <c r="SHY64" s="857">
        <f t="shared" si="246"/>
        <v>0</v>
      </c>
      <c r="SHZ64" s="857">
        <f t="shared" si="246"/>
        <v>0</v>
      </c>
      <c r="SIA64" s="857">
        <f t="shared" si="246"/>
        <v>0</v>
      </c>
      <c r="SIB64" s="857">
        <f t="shared" si="246"/>
        <v>0</v>
      </c>
      <c r="SIC64" s="857">
        <f t="shared" si="246"/>
        <v>0</v>
      </c>
      <c r="SID64" s="857">
        <f t="shared" si="246"/>
        <v>0</v>
      </c>
      <c r="SIE64" s="857">
        <f t="shared" si="246"/>
        <v>0</v>
      </c>
      <c r="SIF64" s="857">
        <f t="shared" si="246"/>
        <v>0</v>
      </c>
      <c r="SIG64" s="857">
        <f t="shared" si="246"/>
        <v>0</v>
      </c>
      <c r="SIH64" s="857">
        <f t="shared" si="246"/>
        <v>0</v>
      </c>
      <c r="SII64" s="857">
        <f t="shared" si="246"/>
        <v>0</v>
      </c>
      <c r="SIJ64" s="857">
        <f t="shared" si="246"/>
        <v>0</v>
      </c>
      <c r="SIK64" s="857">
        <f t="shared" si="246"/>
        <v>0</v>
      </c>
      <c r="SIL64" s="857">
        <f t="shared" si="246"/>
        <v>0</v>
      </c>
      <c r="SIM64" s="857">
        <f t="shared" si="246"/>
        <v>0</v>
      </c>
      <c r="SIN64" s="857">
        <f t="shared" si="246"/>
        <v>0</v>
      </c>
      <c r="SIO64" s="857">
        <f t="shared" si="246"/>
        <v>0</v>
      </c>
      <c r="SIP64" s="857">
        <f t="shared" si="246"/>
        <v>0</v>
      </c>
      <c r="SIQ64" s="857">
        <f t="shared" si="246"/>
        <v>0</v>
      </c>
      <c r="SIR64" s="857">
        <f t="shared" si="246"/>
        <v>0</v>
      </c>
      <c r="SIS64" s="857">
        <f t="shared" si="246"/>
        <v>0</v>
      </c>
      <c r="SIT64" s="857">
        <f t="shared" si="246"/>
        <v>0</v>
      </c>
      <c r="SIU64" s="857">
        <f t="shared" si="246"/>
        <v>0</v>
      </c>
      <c r="SIV64" s="857">
        <f t="shared" si="246"/>
        <v>0</v>
      </c>
      <c r="SIW64" s="857">
        <f t="shared" si="246"/>
        <v>0</v>
      </c>
      <c r="SIX64" s="857">
        <f t="shared" si="246"/>
        <v>0</v>
      </c>
      <c r="SIY64" s="857">
        <f t="shared" si="246"/>
        <v>0</v>
      </c>
      <c r="SIZ64" s="857">
        <f t="shared" si="246"/>
        <v>0</v>
      </c>
      <c r="SJA64" s="857">
        <f t="shared" si="246"/>
        <v>0</v>
      </c>
      <c r="SJB64" s="857">
        <f t="shared" si="246"/>
        <v>0</v>
      </c>
      <c r="SJC64" s="857">
        <f t="shared" si="246"/>
        <v>0</v>
      </c>
      <c r="SJD64" s="857">
        <f t="shared" si="246"/>
        <v>0</v>
      </c>
      <c r="SJE64" s="857">
        <f t="shared" si="246"/>
        <v>0</v>
      </c>
      <c r="SJF64" s="857">
        <f t="shared" si="246"/>
        <v>0</v>
      </c>
      <c r="SJG64" s="857">
        <f t="shared" si="246"/>
        <v>0</v>
      </c>
      <c r="SJH64" s="857">
        <f t="shared" si="246"/>
        <v>0</v>
      </c>
      <c r="SJI64" s="857">
        <f t="shared" si="246"/>
        <v>0</v>
      </c>
      <c r="SJJ64" s="857">
        <f t="shared" si="246"/>
        <v>0</v>
      </c>
      <c r="SJK64" s="857">
        <f t="shared" si="246"/>
        <v>0</v>
      </c>
      <c r="SJL64" s="857">
        <f t="shared" si="246"/>
        <v>0</v>
      </c>
      <c r="SJM64" s="857">
        <f t="shared" si="246"/>
        <v>0</v>
      </c>
      <c r="SJN64" s="857">
        <f t="shared" si="246"/>
        <v>0</v>
      </c>
      <c r="SJO64" s="857">
        <f t="shared" si="246"/>
        <v>0</v>
      </c>
      <c r="SJP64" s="857">
        <f t="shared" si="246"/>
        <v>0</v>
      </c>
      <c r="SJQ64" s="857">
        <f t="shared" si="246"/>
        <v>0</v>
      </c>
      <c r="SJR64" s="857">
        <f t="shared" si="246"/>
        <v>0</v>
      </c>
      <c r="SJS64" s="857">
        <f t="shared" si="246"/>
        <v>0</v>
      </c>
      <c r="SJT64" s="857">
        <f t="shared" si="246"/>
        <v>0</v>
      </c>
      <c r="SJU64" s="857">
        <f t="shared" si="246"/>
        <v>0</v>
      </c>
      <c r="SJV64" s="857">
        <f t="shared" ref="SJV64:SMG64" si="247">(SJV57-SJV59)*$C$64</f>
        <v>0</v>
      </c>
      <c r="SJW64" s="857">
        <f t="shared" si="247"/>
        <v>0</v>
      </c>
      <c r="SJX64" s="857">
        <f t="shared" si="247"/>
        <v>0</v>
      </c>
      <c r="SJY64" s="857">
        <f t="shared" si="247"/>
        <v>0</v>
      </c>
      <c r="SJZ64" s="857">
        <f t="shared" si="247"/>
        <v>0</v>
      </c>
      <c r="SKA64" s="857">
        <f t="shared" si="247"/>
        <v>0</v>
      </c>
      <c r="SKB64" s="857">
        <f t="shared" si="247"/>
        <v>0</v>
      </c>
      <c r="SKC64" s="857">
        <f t="shared" si="247"/>
        <v>0</v>
      </c>
      <c r="SKD64" s="857">
        <f t="shared" si="247"/>
        <v>0</v>
      </c>
      <c r="SKE64" s="857">
        <f t="shared" si="247"/>
        <v>0</v>
      </c>
      <c r="SKF64" s="857">
        <f t="shared" si="247"/>
        <v>0</v>
      </c>
      <c r="SKG64" s="857">
        <f t="shared" si="247"/>
        <v>0</v>
      </c>
      <c r="SKH64" s="857">
        <f t="shared" si="247"/>
        <v>0</v>
      </c>
      <c r="SKI64" s="857">
        <f t="shared" si="247"/>
        <v>0</v>
      </c>
      <c r="SKJ64" s="857">
        <f t="shared" si="247"/>
        <v>0</v>
      </c>
      <c r="SKK64" s="857">
        <f t="shared" si="247"/>
        <v>0</v>
      </c>
      <c r="SKL64" s="857">
        <f t="shared" si="247"/>
        <v>0</v>
      </c>
      <c r="SKM64" s="857">
        <f t="shared" si="247"/>
        <v>0</v>
      </c>
      <c r="SKN64" s="857">
        <f t="shared" si="247"/>
        <v>0</v>
      </c>
      <c r="SKO64" s="857">
        <f t="shared" si="247"/>
        <v>0</v>
      </c>
      <c r="SKP64" s="857">
        <f t="shared" si="247"/>
        <v>0</v>
      </c>
      <c r="SKQ64" s="857">
        <f t="shared" si="247"/>
        <v>0</v>
      </c>
      <c r="SKR64" s="857">
        <f t="shared" si="247"/>
        <v>0</v>
      </c>
      <c r="SKS64" s="857">
        <f t="shared" si="247"/>
        <v>0</v>
      </c>
      <c r="SKT64" s="857">
        <f t="shared" si="247"/>
        <v>0</v>
      </c>
      <c r="SKU64" s="857">
        <f t="shared" si="247"/>
        <v>0</v>
      </c>
      <c r="SKV64" s="857">
        <f t="shared" si="247"/>
        <v>0</v>
      </c>
      <c r="SKW64" s="857">
        <f t="shared" si="247"/>
        <v>0</v>
      </c>
      <c r="SKX64" s="857">
        <f t="shared" si="247"/>
        <v>0</v>
      </c>
      <c r="SKY64" s="857">
        <f t="shared" si="247"/>
        <v>0</v>
      </c>
      <c r="SKZ64" s="857">
        <f t="shared" si="247"/>
        <v>0</v>
      </c>
      <c r="SLA64" s="857">
        <f t="shared" si="247"/>
        <v>0</v>
      </c>
      <c r="SLB64" s="857">
        <f t="shared" si="247"/>
        <v>0</v>
      </c>
      <c r="SLC64" s="857">
        <f t="shared" si="247"/>
        <v>0</v>
      </c>
      <c r="SLD64" s="857">
        <f t="shared" si="247"/>
        <v>0</v>
      </c>
      <c r="SLE64" s="857">
        <f t="shared" si="247"/>
        <v>0</v>
      </c>
      <c r="SLF64" s="857">
        <f t="shared" si="247"/>
        <v>0</v>
      </c>
      <c r="SLG64" s="857">
        <f t="shared" si="247"/>
        <v>0</v>
      </c>
      <c r="SLH64" s="857">
        <f t="shared" si="247"/>
        <v>0</v>
      </c>
      <c r="SLI64" s="857">
        <f t="shared" si="247"/>
        <v>0</v>
      </c>
      <c r="SLJ64" s="857">
        <f t="shared" si="247"/>
        <v>0</v>
      </c>
      <c r="SLK64" s="857">
        <f t="shared" si="247"/>
        <v>0</v>
      </c>
      <c r="SLL64" s="857">
        <f t="shared" si="247"/>
        <v>0</v>
      </c>
      <c r="SLM64" s="857">
        <f t="shared" si="247"/>
        <v>0</v>
      </c>
      <c r="SLN64" s="857">
        <f t="shared" si="247"/>
        <v>0</v>
      </c>
      <c r="SLO64" s="857">
        <f t="shared" si="247"/>
        <v>0</v>
      </c>
      <c r="SLP64" s="857">
        <f t="shared" si="247"/>
        <v>0</v>
      </c>
      <c r="SLQ64" s="857">
        <f t="shared" si="247"/>
        <v>0</v>
      </c>
      <c r="SLR64" s="857">
        <f t="shared" si="247"/>
        <v>0</v>
      </c>
      <c r="SLS64" s="857">
        <f t="shared" si="247"/>
        <v>0</v>
      </c>
      <c r="SLT64" s="857">
        <f t="shared" si="247"/>
        <v>0</v>
      </c>
      <c r="SLU64" s="857">
        <f t="shared" si="247"/>
        <v>0</v>
      </c>
      <c r="SLV64" s="857">
        <f t="shared" si="247"/>
        <v>0</v>
      </c>
      <c r="SLW64" s="857">
        <f t="shared" si="247"/>
        <v>0</v>
      </c>
      <c r="SLX64" s="857">
        <f t="shared" si="247"/>
        <v>0</v>
      </c>
      <c r="SLY64" s="857">
        <f t="shared" si="247"/>
        <v>0</v>
      </c>
      <c r="SLZ64" s="857">
        <f t="shared" si="247"/>
        <v>0</v>
      </c>
      <c r="SMA64" s="857">
        <f t="shared" si="247"/>
        <v>0</v>
      </c>
      <c r="SMB64" s="857">
        <f t="shared" si="247"/>
        <v>0</v>
      </c>
      <c r="SMC64" s="857">
        <f t="shared" si="247"/>
        <v>0</v>
      </c>
      <c r="SMD64" s="857">
        <f t="shared" si="247"/>
        <v>0</v>
      </c>
      <c r="SME64" s="857">
        <f t="shared" si="247"/>
        <v>0</v>
      </c>
      <c r="SMF64" s="857">
        <f t="shared" si="247"/>
        <v>0</v>
      </c>
      <c r="SMG64" s="857">
        <f t="shared" si="247"/>
        <v>0</v>
      </c>
      <c r="SMH64" s="857">
        <f t="shared" ref="SMH64:SOS64" si="248">(SMH57-SMH59)*$C$64</f>
        <v>0</v>
      </c>
      <c r="SMI64" s="857">
        <f t="shared" si="248"/>
        <v>0</v>
      </c>
      <c r="SMJ64" s="857">
        <f t="shared" si="248"/>
        <v>0</v>
      </c>
      <c r="SMK64" s="857">
        <f t="shared" si="248"/>
        <v>0</v>
      </c>
      <c r="SML64" s="857">
        <f t="shared" si="248"/>
        <v>0</v>
      </c>
      <c r="SMM64" s="857">
        <f t="shared" si="248"/>
        <v>0</v>
      </c>
      <c r="SMN64" s="857">
        <f t="shared" si="248"/>
        <v>0</v>
      </c>
      <c r="SMO64" s="857">
        <f t="shared" si="248"/>
        <v>0</v>
      </c>
      <c r="SMP64" s="857">
        <f t="shared" si="248"/>
        <v>0</v>
      </c>
      <c r="SMQ64" s="857">
        <f t="shared" si="248"/>
        <v>0</v>
      </c>
      <c r="SMR64" s="857">
        <f t="shared" si="248"/>
        <v>0</v>
      </c>
      <c r="SMS64" s="857">
        <f t="shared" si="248"/>
        <v>0</v>
      </c>
      <c r="SMT64" s="857">
        <f t="shared" si="248"/>
        <v>0</v>
      </c>
      <c r="SMU64" s="857">
        <f t="shared" si="248"/>
        <v>0</v>
      </c>
      <c r="SMV64" s="857">
        <f t="shared" si="248"/>
        <v>0</v>
      </c>
      <c r="SMW64" s="857">
        <f t="shared" si="248"/>
        <v>0</v>
      </c>
      <c r="SMX64" s="857">
        <f t="shared" si="248"/>
        <v>0</v>
      </c>
      <c r="SMY64" s="857">
        <f t="shared" si="248"/>
        <v>0</v>
      </c>
      <c r="SMZ64" s="857">
        <f t="shared" si="248"/>
        <v>0</v>
      </c>
      <c r="SNA64" s="857">
        <f t="shared" si="248"/>
        <v>0</v>
      </c>
      <c r="SNB64" s="857">
        <f t="shared" si="248"/>
        <v>0</v>
      </c>
      <c r="SNC64" s="857">
        <f t="shared" si="248"/>
        <v>0</v>
      </c>
      <c r="SND64" s="857">
        <f t="shared" si="248"/>
        <v>0</v>
      </c>
      <c r="SNE64" s="857">
        <f t="shared" si="248"/>
        <v>0</v>
      </c>
      <c r="SNF64" s="857">
        <f t="shared" si="248"/>
        <v>0</v>
      </c>
      <c r="SNG64" s="857">
        <f t="shared" si="248"/>
        <v>0</v>
      </c>
      <c r="SNH64" s="857">
        <f t="shared" si="248"/>
        <v>0</v>
      </c>
      <c r="SNI64" s="857">
        <f t="shared" si="248"/>
        <v>0</v>
      </c>
      <c r="SNJ64" s="857">
        <f t="shared" si="248"/>
        <v>0</v>
      </c>
      <c r="SNK64" s="857">
        <f t="shared" si="248"/>
        <v>0</v>
      </c>
      <c r="SNL64" s="857">
        <f t="shared" si="248"/>
        <v>0</v>
      </c>
      <c r="SNM64" s="857">
        <f t="shared" si="248"/>
        <v>0</v>
      </c>
      <c r="SNN64" s="857">
        <f t="shared" si="248"/>
        <v>0</v>
      </c>
      <c r="SNO64" s="857">
        <f t="shared" si="248"/>
        <v>0</v>
      </c>
      <c r="SNP64" s="857">
        <f t="shared" si="248"/>
        <v>0</v>
      </c>
      <c r="SNQ64" s="857">
        <f t="shared" si="248"/>
        <v>0</v>
      </c>
      <c r="SNR64" s="857">
        <f t="shared" si="248"/>
        <v>0</v>
      </c>
      <c r="SNS64" s="857">
        <f t="shared" si="248"/>
        <v>0</v>
      </c>
      <c r="SNT64" s="857">
        <f t="shared" si="248"/>
        <v>0</v>
      </c>
      <c r="SNU64" s="857">
        <f t="shared" si="248"/>
        <v>0</v>
      </c>
      <c r="SNV64" s="857">
        <f t="shared" si="248"/>
        <v>0</v>
      </c>
      <c r="SNW64" s="857">
        <f t="shared" si="248"/>
        <v>0</v>
      </c>
      <c r="SNX64" s="857">
        <f t="shared" si="248"/>
        <v>0</v>
      </c>
      <c r="SNY64" s="857">
        <f t="shared" si="248"/>
        <v>0</v>
      </c>
      <c r="SNZ64" s="857">
        <f t="shared" si="248"/>
        <v>0</v>
      </c>
      <c r="SOA64" s="857">
        <f t="shared" si="248"/>
        <v>0</v>
      </c>
      <c r="SOB64" s="857">
        <f t="shared" si="248"/>
        <v>0</v>
      </c>
      <c r="SOC64" s="857">
        <f t="shared" si="248"/>
        <v>0</v>
      </c>
      <c r="SOD64" s="857">
        <f t="shared" si="248"/>
        <v>0</v>
      </c>
      <c r="SOE64" s="857">
        <f t="shared" si="248"/>
        <v>0</v>
      </c>
      <c r="SOF64" s="857">
        <f t="shared" si="248"/>
        <v>0</v>
      </c>
      <c r="SOG64" s="857">
        <f t="shared" si="248"/>
        <v>0</v>
      </c>
      <c r="SOH64" s="857">
        <f t="shared" si="248"/>
        <v>0</v>
      </c>
      <c r="SOI64" s="857">
        <f t="shared" si="248"/>
        <v>0</v>
      </c>
      <c r="SOJ64" s="857">
        <f t="shared" si="248"/>
        <v>0</v>
      </c>
      <c r="SOK64" s="857">
        <f t="shared" si="248"/>
        <v>0</v>
      </c>
      <c r="SOL64" s="857">
        <f t="shared" si="248"/>
        <v>0</v>
      </c>
      <c r="SOM64" s="857">
        <f t="shared" si="248"/>
        <v>0</v>
      </c>
      <c r="SON64" s="857">
        <f t="shared" si="248"/>
        <v>0</v>
      </c>
      <c r="SOO64" s="857">
        <f t="shared" si="248"/>
        <v>0</v>
      </c>
      <c r="SOP64" s="857">
        <f t="shared" si="248"/>
        <v>0</v>
      </c>
      <c r="SOQ64" s="857">
        <f t="shared" si="248"/>
        <v>0</v>
      </c>
      <c r="SOR64" s="857">
        <f t="shared" si="248"/>
        <v>0</v>
      </c>
      <c r="SOS64" s="857">
        <f t="shared" si="248"/>
        <v>0</v>
      </c>
      <c r="SOT64" s="857">
        <f t="shared" ref="SOT64:SRE64" si="249">(SOT57-SOT59)*$C$64</f>
        <v>0</v>
      </c>
      <c r="SOU64" s="857">
        <f t="shared" si="249"/>
        <v>0</v>
      </c>
      <c r="SOV64" s="857">
        <f t="shared" si="249"/>
        <v>0</v>
      </c>
      <c r="SOW64" s="857">
        <f t="shared" si="249"/>
        <v>0</v>
      </c>
      <c r="SOX64" s="857">
        <f t="shared" si="249"/>
        <v>0</v>
      </c>
      <c r="SOY64" s="857">
        <f t="shared" si="249"/>
        <v>0</v>
      </c>
      <c r="SOZ64" s="857">
        <f t="shared" si="249"/>
        <v>0</v>
      </c>
      <c r="SPA64" s="857">
        <f t="shared" si="249"/>
        <v>0</v>
      </c>
      <c r="SPB64" s="857">
        <f t="shared" si="249"/>
        <v>0</v>
      </c>
      <c r="SPC64" s="857">
        <f t="shared" si="249"/>
        <v>0</v>
      </c>
      <c r="SPD64" s="857">
        <f t="shared" si="249"/>
        <v>0</v>
      </c>
      <c r="SPE64" s="857">
        <f t="shared" si="249"/>
        <v>0</v>
      </c>
      <c r="SPF64" s="857">
        <f t="shared" si="249"/>
        <v>0</v>
      </c>
      <c r="SPG64" s="857">
        <f t="shared" si="249"/>
        <v>0</v>
      </c>
      <c r="SPH64" s="857">
        <f t="shared" si="249"/>
        <v>0</v>
      </c>
      <c r="SPI64" s="857">
        <f t="shared" si="249"/>
        <v>0</v>
      </c>
      <c r="SPJ64" s="857">
        <f t="shared" si="249"/>
        <v>0</v>
      </c>
      <c r="SPK64" s="857">
        <f t="shared" si="249"/>
        <v>0</v>
      </c>
      <c r="SPL64" s="857">
        <f t="shared" si="249"/>
        <v>0</v>
      </c>
      <c r="SPM64" s="857">
        <f t="shared" si="249"/>
        <v>0</v>
      </c>
      <c r="SPN64" s="857">
        <f t="shared" si="249"/>
        <v>0</v>
      </c>
      <c r="SPO64" s="857">
        <f t="shared" si="249"/>
        <v>0</v>
      </c>
      <c r="SPP64" s="857">
        <f t="shared" si="249"/>
        <v>0</v>
      </c>
      <c r="SPQ64" s="857">
        <f t="shared" si="249"/>
        <v>0</v>
      </c>
      <c r="SPR64" s="857">
        <f t="shared" si="249"/>
        <v>0</v>
      </c>
      <c r="SPS64" s="857">
        <f t="shared" si="249"/>
        <v>0</v>
      </c>
      <c r="SPT64" s="857">
        <f t="shared" si="249"/>
        <v>0</v>
      </c>
      <c r="SPU64" s="857">
        <f t="shared" si="249"/>
        <v>0</v>
      </c>
      <c r="SPV64" s="857">
        <f t="shared" si="249"/>
        <v>0</v>
      </c>
      <c r="SPW64" s="857">
        <f t="shared" si="249"/>
        <v>0</v>
      </c>
      <c r="SPX64" s="857">
        <f t="shared" si="249"/>
        <v>0</v>
      </c>
      <c r="SPY64" s="857">
        <f t="shared" si="249"/>
        <v>0</v>
      </c>
      <c r="SPZ64" s="857">
        <f t="shared" si="249"/>
        <v>0</v>
      </c>
      <c r="SQA64" s="857">
        <f t="shared" si="249"/>
        <v>0</v>
      </c>
      <c r="SQB64" s="857">
        <f t="shared" si="249"/>
        <v>0</v>
      </c>
      <c r="SQC64" s="857">
        <f t="shared" si="249"/>
        <v>0</v>
      </c>
      <c r="SQD64" s="857">
        <f t="shared" si="249"/>
        <v>0</v>
      </c>
      <c r="SQE64" s="857">
        <f t="shared" si="249"/>
        <v>0</v>
      </c>
      <c r="SQF64" s="857">
        <f t="shared" si="249"/>
        <v>0</v>
      </c>
      <c r="SQG64" s="857">
        <f t="shared" si="249"/>
        <v>0</v>
      </c>
      <c r="SQH64" s="857">
        <f t="shared" si="249"/>
        <v>0</v>
      </c>
      <c r="SQI64" s="857">
        <f t="shared" si="249"/>
        <v>0</v>
      </c>
      <c r="SQJ64" s="857">
        <f t="shared" si="249"/>
        <v>0</v>
      </c>
      <c r="SQK64" s="857">
        <f t="shared" si="249"/>
        <v>0</v>
      </c>
      <c r="SQL64" s="857">
        <f t="shared" si="249"/>
        <v>0</v>
      </c>
      <c r="SQM64" s="857">
        <f t="shared" si="249"/>
        <v>0</v>
      </c>
      <c r="SQN64" s="857">
        <f t="shared" si="249"/>
        <v>0</v>
      </c>
      <c r="SQO64" s="857">
        <f t="shared" si="249"/>
        <v>0</v>
      </c>
      <c r="SQP64" s="857">
        <f t="shared" si="249"/>
        <v>0</v>
      </c>
      <c r="SQQ64" s="857">
        <f t="shared" si="249"/>
        <v>0</v>
      </c>
      <c r="SQR64" s="857">
        <f t="shared" si="249"/>
        <v>0</v>
      </c>
      <c r="SQS64" s="857">
        <f t="shared" si="249"/>
        <v>0</v>
      </c>
      <c r="SQT64" s="857">
        <f t="shared" si="249"/>
        <v>0</v>
      </c>
      <c r="SQU64" s="857">
        <f t="shared" si="249"/>
        <v>0</v>
      </c>
      <c r="SQV64" s="857">
        <f t="shared" si="249"/>
        <v>0</v>
      </c>
      <c r="SQW64" s="857">
        <f t="shared" si="249"/>
        <v>0</v>
      </c>
      <c r="SQX64" s="857">
        <f t="shared" si="249"/>
        <v>0</v>
      </c>
      <c r="SQY64" s="857">
        <f t="shared" si="249"/>
        <v>0</v>
      </c>
      <c r="SQZ64" s="857">
        <f t="shared" si="249"/>
        <v>0</v>
      </c>
      <c r="SRA64" s="857">
        <f t="shared" si="249"/>
        <v>0</v>
      </c>
      <c r="SRB64" s="857">
        <f t="shared" si="249"/>
        <v>0</v>
      </c>
      <c r="SRC64" s="857">
        <f t="shared" si="249"/>
        <v>0</v>
      </c>
      <c r="SRD64" s="857">
        <f t="shared" si="249"/>
        <v>0</v>
      </c>
      <c r="SRE64" s="857">
        <f t="shared" si="249"/>
        <v>0</v>
      </c>
      <c r="SRF64" s="857">
        <f t="shared" ref="SRF64:STQ64" si="250">(SRF57-SRF59)*$C$64</f>
        <v>0</v>
      </c>
      <c r="SRG64" s="857">
        <f t="shared" si="250"/>
        <v>0</v>
      </c>
      <c r="SRH64" s="857">
        <f t="shared" si="250"/>
        <v>0</v>
      </c>
      <c r="SRI64" s="857">
        <f t="shared" si="250"/>
        <v>0</v>
      </c>
      <c r="SRJ64" s="857">
        <f t="shared" si="250"/>
        <v>0</v>
      </c>
      <c r="SRK64" s="857">
        <f t="shared" si="250"/>
        <v>0</v>
      </c>
      <c r="SRL64" s="857">
        <f t="shared" si="250"/>
        <v>0</v>
      </c>
      <c r="SRM64" s="857">
        <f t="shared" si="250"/>
        <v>0</v>
      </c>
      <c r="SRN64" s="857">
        <f t="shared" si="250"/>
        <v>0</v>
      </c>
      <c r="SRO64" s="857">
        <f t="shared" si="250"/>
        <v>0</v>
      </c>
      <c r="SRP64" s="857">
        <f t="shared" si="250"/>
        <v>0</v>
      </c>
      <c r="SRQ64" s="857">
        <f t="shared" si="250"/>
        <v>0</v>
      </c>
      <c r="SRR64" s="857">
        <f t="shared" si="250"/>
        <v>0</v>
      </c>
      <c r="SRS64" s="857">
        <f t="shared" si="250"/>
        <v>0</v>
      </c>
      <c r="SRT64" s="857">
        <f t="shared" si="250"/>
        <v>0</v>
      </c>
      <c r="SRU64" s="857">
        <f t="shared" si="250"/>
        <v>0</v>
      </c>
      <c r="SRV64" s="857">
        <f t="shared" si="250"/>
        <v>0</v>
      </c>
      <c r="SRW64" s="857">
        <f t="shared" si="250"/>
        <v>0</v>
      </c>
      <c r="SRX64" s="857">
        <f t="shared" si="250"/>
        <v>0</v>
      </c>
      <c r="SRY64" s="857">
        <f t="shared" si="250"/>
        <v>0</v>
      </c>
      <c r="SRZ64" s="857">
        <f t="shared" si="250"/>
        <v>0</v>
      </c>
      <c r="SSA64" s="857">
        <f t="shared" si="250"/>
        <v>0</v>
      </c>
      <c r="SSB64" s="857">
        <f t="shared" si="250"/>
        <v>0</v>
      </c>
      <c r="SSC64" s="857">
        <f t="shared" si="250"/>
        <v>0</v>
      </c>
      <c r="SSD64" s="857">
        <f t="shared" si="250"/>
        <v>0</v>
      </c>
      <c r="SSE64" s="857">
        <f t="shared" si="250"/>
        <v>0</v>
      </c>
      <c r="SSF64" s="857">
        <f t="shared" si="250"/>
        <v>0</v>
      </c>
      <c r="SSG64" s="857">
        <f t="shared" si="250"/>
        <v>0</v>
      </c>
      <c r="SSH64" s="857">
        <f t="shared" si="250"/>
        <v>0</v>
      </c>
      <c r="SSI64" s="857">
        <f t="shared" si="250"/>
        <v>0</v>
      </c>
      <c r="SSJ64" s="857">
        <f t="shared" si="250"/>
        <v>0</v>
      </c>
      <c r="SSK64" s="857">
        <f t="shared" si="250"/>
        <v>0</v>
      </c>
      <c r="SSL64" s="857">
        <f t="shared" si="250"/>
        <v>0</v>
      </c>
      <c r="SSM64" s="857">
        <f t="shared" si="250"/>
        <v>0</v>
      </c>
      <c r="SSN64" s="857">
        <f t="shared" si="250"/>
        <v>0</v>
      </c>
      <c r="SSO64" s="857">
        <f t="shared" si="250"/>
        <v>0</v>
      </c>
      <c r="SSP64" s="857">
        <f t="shared" si="250"/>
        <v>0</v>
      </c>
      <c r="SSQ64" s="857">
        <f t="shared" si="250"/>
        <v>0</v>
      </c>
      <c r="SSR64" s="857">
        <f t="shared" si="250"/>
        <v>0</v>
      </c>
      <c r="SSS64" s="857">
        <f t="shared" si="250"/>
        <v>0</v>
      </c>
      <c r="SST64" s="857">
        <f t="shared" si="250"/>
        <v>0</v>
      </c>
      <c r="SSU64" s="857">
        <f t="shared" si="250"/>
        <v>0</v>
      </c>
      <c r="SSV64" s="857">
        <f t="shared" si="250"/>
        <v>0</v>
      </c>
      <c r="SSW64" s="857">
        <f t="shared" si="250"/>
        <v>0</v>
      </c>
      <c r="SSX64" s="857">
        <f t="shared" si="250"/>
        <v>0</v>
      </c>
      <c r="SSY64" s="857">
        <f t="shared" si="250"/>
        <v>0</v>
      </c>
      <c r="SSZ64" s="857">
        <f t="shared" si="250"/>
        <v>0</v>
      </c>
      <c r="STA64" s="857">
        <f t="shared" si="250"/>
        <v>0</v>
      </c>
      <c r="STB64" s="857">
        <f t="shared" si="250"/>
        <v>0</v>
      </c>
      <c r="STC64" s="857">
        <f t="shared" si="250"/>
        <v>0</v>
      </c>
      <c r="STD64" s="857">
        <f t="shared" si="250"/>
        <v>0</v>
      </c>
      <c r="STE64" s="857">
        <f t="shared" si="250"/>
        <v>0</v>
      </c>
      <c r="STF64" s="857">
        <f t="shared" si="250"/>
        <v>0</v>
      </c>
      <c r="STG64" s="857">
        <f t="shared" si="250"/>
        <v>0</v>
      </c>
      <c r="STH64" s="857">
        <f t="shared" si="250"/>
        <v>0</v>
      </c>
      <c r="STI64" s="857">
        <f t="shared" si="250"/>
        <v>0</v>
      </c>
      <c r="STJ64" s="857">
        <f t="shared" si="250"/>
        <v>0</v>
      </c>
      <c r="STK64" s="857">
        <f t="shared" si="250"/>
        <v>0</v>
      </c>
      <c r="STL64" s="857">
        <f t="shared" si="250"/>
        <v>0</v>
      </c>
      <c r="STM64" s="857">
        <f t="shared" si="250"/>
        <v>0</v>
      </c>
      <c r="STN64" s="857">
        <f t="shared" si="250"/>
        <v>0</v>
      </c>
      <c r="STO64" s="857">
        <f t="shared" si="250"/>
        <v>0</v>
      </c>
      <c r="STP64" s="857">
        <f t="shared" si="250"/>
        <v>0</v>
      </c>
      <c r="STQ64" s="857">
        <f t="shared" si="250"/>
        <v>0</v>
      </c>
      <c r="STR64" s="857">
        <f t="shared" ref="STR64:SWC64" si="251">(STR57-STR59)*$C$64</f>
        <v>0</v>
      </c>
      <c r="STS64" s="857">
        <f t="shared" si="251"/>
        <v>0</v>
      </c>
      <c r="STT64" s="857">
        <f t="shared" si="251"/>
        <v>0</v>
      </c>
      <c r="STU64" s="857">
        <f t="shared" si="251"/>
        <v>0</v>
      </c>
      <c r="STV64" s="857">
        <f t="shared" si="251"/>
        <v>0</v>
      </c>
      <c r="STW64" s="857">
        <f t="shared" si="251"/>
        <v>0</v>
      </c>
      <c r="STX64" s="857">
        <f t="shared" si="251"/>
        <v>0</v>
      </c>
      <c r="STY64" s="857">
        <f t="shared" si="251"/>
        <v>0</v>
      </c>
      <c r="STZ64" s="857">
        <f t="shared" si="251"/>
        <v>0</v>
      </c>
      <c r="SUA64" s="857">
        <f t="shared" si="251"/>
        <v>0</v>
      </c>
      <c r="SUB64" s="857">
        <f t="shared" si="251"/>
        <v>0</v>
      </c>
      <c r="SUC64" s="857">
        <f t="shared" si="251"/>
        <v>0</v>
      </c>
      <c r="SUD64" s="857">
        <f t="shared" si="251"/>
        <v>0</v>
      </c>
      <c r="SUE64" s="857">
        <f t="shared" si="251"/>
        <v>0</v>
      </c>
      <c r="SUF64" s="857">
        <f t="shared" si="251"/>
        <v>0</v>
      </c>
      <c r="SUG64" s="857">
        <f t="shared" si="251"/>
        <v>0</v>
      </c>
      <c r="SUH64" s="857">
        <f t="shared" si="251"/>
        <v>0</v>
      </c>
      <c r="SUI64" s="857">
        <f t="shared" si="251"/>
        <v>0</v>
      </c>
      <c r="SUJ64" s="857">
        <f t="shared" si="251"/>
        <v>0</v>
      </c>
      <c r="SUK64" s="857">
        <f t="shared" si="251"/>
        <v>0</v>
      </c>
      <c r="SUL64" s="857">
        <f t="shared" si="251"/>
        <v>0</v>
      </c>
      <c r="SUM64" s="857">
        <f t="shared" si="251"/>
        <v>0</v>
      </c>
      <c r="SUN64" s="857">
        <f t="shared" si="251"/>
        <v>0</v>
      </c>
      <c r="SUO64" s="857">
        <f t="shared" si="251"/>
        <v>0</v>
      </c>
      <c r="SUP64" s="857">
        <f t="shared" si="251"/>
        <v>0</v>
      </c>
      <c r="SUQ64" s="857">
        <f t="shared" si="251"/>
        <v>0</v>
      </c>
      <c r="SUR64" s="857">
        <f t="shared" si="251"/>
        <v>0</v>
      </c>
      <c r="SUS64" s="857">
        <f t="shared" si="251"/>
        <v>0</v>
      </c>
      <c r="SUT64" s="857">
        <f t="shared" si="251"/>
        <v>0</v>
      </c>
      <c r="SUU64" s="857">
        <f t="shared" si="251"/>
        <v>0</v>
      </c>
      <c r="SUV64" s="857">
        <f t="shared" si="251"/>
        <v>0</v>
      </c>
      <c r="SUW64" s="857">
        <f t="shared" si="251"/>
        <v>0</v>
      </c>
      <c r="SUX64" s="857">
        <f t="shared" si="251"/>
        <v>0</v>
      </c>
      <c r="SUY64" s="857">
        <f t="shared" si="251"/>
        <v>0</v>
      </c>
      <c r="SUZ64" s="857">
        <f t="shared" si="251"/>
        <v>0</v>
      </c>
      <c r="SVA64" s="857">
        <f t="shared" si="251"/>
        <v>0</v>
      </c>
      <c r="SVB64" s="857">
        <f t="shared" si="251"/>
        <v>0</v>
      </c>
      <c r="SVC64" s="857">
        <f t="shared" si="251"/>
        <v>0</v>
      </c>
      <c r="SVD64" s="857">
        <f t="shared" si="251"/>
        <v>0</v>
      </c>
      <c r="SVE64" s="857">
        <f t="shared" si="251"/>
        <v>0</v>
      </c>
      <c r="SVF64" s="857">
        <f t="shared" si="251"/>
        <v>0</v>
      </c>
      <c r="SVG64" s="857">
        <f t="shared" si="251"/>
        <v>0</v>
      </c>
      <c r="SVH64" s="857">
        <f t="shared" si="251"/>
        <v>0</v>
      </c>
      <c r="SVI64" s="857">
        <f t="shared" si="251"/>
        <v>0</v>
      </c>
      <c r="SVJ64" s="857">
        <f t="shared" si="251"/>
        <v>0</v>
      </c>
      <c r="SVK64" s="857">
        <f t="shared" si="251"/>
        <v>0</v>
      </c>
      <c r="SVL64" s="857">
        <f t="shared" si="251"/>
        <v>0</v>
      </c>
      <c r="SVM64" s="857">
        <f t="shared" si="251"/>
        <v>0</v>
      </c>
      <c r="SVN64" s="857">
        <f t="shared" si="251"/>
        <v>0</v>
      </c>
      <c r="SVO64" s="857">
        <f t="shared" si="251"/>
        <v>0</v>
      </c>
      <c r="SVP64" s="857">
        <f t="shared" si="251"/>
        <v>0</v>
      </c>
      <c r="SVQ64" s="857">
        <f t="shared" si="251"/>
        <v>0</v>
      </c>
      <c r="SVR64" s="857">
        <f t="shared" si="251"/>
        <v>0</v>
      </c>
      <c r="SVS64" s="857">
        <f t="shared" si="251"/>
        <v>0</v>
      </c>
      <c r="SVT64" s="857">
        <f t="shared" si="251"/>
        <v>0</v>
      </c>
      <c r="SVU64" s="857">
        <f t="shared" si="251"/>
        <v>0</v>
      </c>
      <c r="SVV64" s="857">
        <f t="shared" si="251"/>
        <v>0</v>
      </c>
      <c r="SVW64" s="857">
        <f t="shared" si="251"/>
        <v>0</v>
      </c>
      <c r="SVX64" s="857">
        <f t="shared" si="251"/>
        <v>0</v>
      </c>
      <c r="SVY64" s="857">
        <f t="shared" si="251"/>
        <v>0</v>
      </c>
      <c r="SVZ64" s="857">
        <f t="shared" si="251"/>
        <v>0</v>
      </c>
      <c r="SWA64" s="857">
        <f t="shared" si="251"/>
        <v>0</v>
      </c>
      <c r="SWB64" s="857">
        <f t="shared" si="251"/>
        <v>0</v>
      </c>
      <c r="SWC64" s="857">
        <f t="shared" si="251"/>
        <v>0</v>
      </c>
      <c r="SWD64" s="857">
        <f t="shared" ref="SWD64:SYO64" si="252">(SWD57-SWD59)*$C$64</f>
        <v>0</v>
      </c>
      <c r="SWE64" s="857">
        <f t="shared" si="252"/>
        <v>0</v>
      </c>
      <c r="SWF64" s="857">
        <f t="shared" si="252"/>
        <v>0</v>
      </c>
      <c r="SWG64" s="857">
        <f t="shared" si="252"/>
        <v>0</v>
      </c>
      <c r="SWH64" s="857">
        <f t="shared" si="252"/>
        <v>0</v>
      </c>
      <c r="SWI64" s="857">
        <f t="shared" si="252"/>
        <v>0</v>
      </c>
      <c r="SWJ64" s="857">
        <f t="shared" si="252"/>
        <v>0</v>
      </c>
      <c r="SWK64" s="857">
        <f t="shared" si="252"/>
        <v>0</v>
      </c>
      <c r="SWL64" s="857">
        <f t="shared" si="252"/>
        <v>0</v>
      </c>
      <c r="SWM64" s="857">
        <f t="shared" si="252"/>
        <v>0</v>
      </c>
      <c r="SWN64" s="857">
        <f t="shared" si="252"/>
        <v>0</v>
      </c>
      <c r="SWO64" s="857">
        <f t="shared" si="252"/>
        <v>0</v>
      </c>
      <c r="SWP64" s="857">
        <f t="shared" si="252"/>
        <v>0</v>
      </c>
      <c r="SWQ64" s="857">
        <f t="shared" si="252"/>
        <v>0</v>
      </c>
      <c r="SWR64" s="857">
        <f t="shared" si="252"/>
        <v>0</v>
      </c>
      <c r="SWS64" s="857">
        <f t="shared" si="252"/>
        <v>0</v>
      </c>
      <c r="SWT64" s="857">
        <f t="shared" si="252"/>
        <v>0</v>
      </c>
      <c r="SWU64" s="857">
        <f t="shared" si="252"/>
        <v>0</v>
      </c>
      <c r="SWV64" s="857">
        <f t="shared" si="252"/>
        <v>0</v>
      </c>
      <c r="SWW64" s="857">
        <f t="shared" si="252"/>
        <v>0</v>
      </c>
      <c r="SWX64" s="857">
        <f t="shared" si="252"/>
        <v>0</v>
      </c>
      <c r="SWY64" s="857">
        <f t="shared" si="252"/>
        <v>0</v>
      </c>
      <c r="SWZ64" s="857">
        <f t="shared" si="252"/>
        <v>0</v>
      </c>
      <c r="SXA64" s="857">
        <f t="shared" si="252"/>
        <v>0</v>
      </c>
      <c r="SXB64" s="857">
        <f t="shared" si="252"/>
        <v>0</v>
      </c>
      <c r="SXC64" s="857">
        <f t="shared" si="252"/>
        <v>0</v>
      </c>
      <c r="SXD64" s="857">
        <f t="shared" si="252"/>
        <v>0</v>
      </c>
      <c r="SXE64" s="857">
        <f t="shared" si="252"/>
        <v>0</v>
      </c>
      <c r="SXF64" s="857">
        <f t="shared" si="252"/>
        <v>0</v>
      </c>
      <c r="SXG64" s="857">
        <f t="shared" si="252"/>
        <v>0</v>
      </c>
      <c r="SXH64" s="857">
        <f t="shared" si="252"/>
        <v>0</v>
      </c>
      <c r="SXI64" s="857">
        <f t="shared" si="252"/>
        <v>0</v>
      </c>
      <c r="SXJ64" s="857">
        <f t="shared" si="252"/>
        <v>0</v>
      </c>
      <c r="SXK64" s="857">
        <f t="shared" si="252"/>
        <v>0</v>
      </c>
      <c r="SXL64" s="857">
        <f t="shared" si="252"/>
        <v>0</v>
      </c>
      <c r="SXM64" s="857">
        <f t="shared" si="252"/>
        <v>0</v>
      </c>
      <c r="SXN64" s="857">
        <f t="shared" si="252"/>
        <v>0</v>
      </c>
      <c r="SXO64" s="857">
        <f t="shared" si="252"/>
        <v>0</v>
      </c>
      <c r="SXP64" s="857">
        <f t="shared" si="252"/>
        <v>0</v>
      </c>
      <c r="SXQ64" s="857">
        <f t="shared" si="252"/>
        <v>0</v>
      </c>
      <c r="SXR64" s="857">
        <f t="shared" si="252"/>
        <v>0</v>
      </c>
      <c r="SXS64" s="857">
        <f t="shared" si="252"/>
        <v>0</v>
      </c>
      <c r="SXT64" s="857">
        <f t="shared" si="252"/>
        <v>0</v>
      </c>
      <c r="SXU64" s="857">
        <f t="shared" si="252"/>
        <v>0</v>
      </c>
      <c r="SXV64" s="857">
        <f t="shared" si="252"/>
        <v>0</v>
      </c>
      <c r="SXW64" s="857">
        <f t="shared" si="252"/>
        <v>0</v>
      </c>
      <c r="SXX64" s="857">
        <f t="shared" si="252"/>
        <v>0</v>
      </c>
      <c r="SXY64" s="857">
        <f t="shared" si="252"/>
        <v>0</v>
      </c>
      <c r="SXZ64" s="857">
        <f t="shared" si="252"/>
        <v>0</v>
      </c>
      <c r="SYA64" s="857">
        <f t="shared" si="252"/>
        <v>0</v>
      </c>
      <c r="SYB64" s="857">
        <f t="shared" si="252"/>
        <v>0</v>
      </c>
      <c r="SYC64" s="857">
        <f t="shared" si="252"/>
        <v>0</v>
      </c>
      <c r="SYD64" s="857">
        <f t="shared" si="252"/>
        <v>0</v>
      </c>
      <c r="SYE64" s="857">
        <f t="shared" si="252"/>
        <v>0</v>
      </c>
      <c r="SYF64" s="857">
        <f t="shared" si="252"/>
        <v>0</v>
      </c>
      <c r="SYG64" s="857">
        <f t="shared" si="252"/>
        <v>0</v>
      </c>
      <c r="SYH64" s="857">
        <f t="shared" si="252"/>
        <v>0</v>
      </c>
      <c r="SYI64" s="857">
        <f t="shared" si="252"/>
        <v>0</v>
      </c>
      <c r="SYJ64" s="857">
        <f t="shared" si="252"/>
        <v>0</v>
      </c>
      <c r="SYK64" s="857">
        <f t="shared" si="252"/>
        <v>0</v>
      </c>
      <c r="SYL64" s="857">
        <f t="shared" si="252"/>
        <v>0</v>
      </c>
      <c r="SYM64" s="857">
        <f t="shared" si="252"/>
        <v>0</v>
      </c>
      <c r="SYN64" s="857">
        <f t="shared" si="252"/>
        <v>0</v>
      </c>
      <c r="SYO64" s="857">
        <f t="shared" si="252"/>
        <v>0</v>
      </c>
      <c r="SYP64" s="857">
        <f t="shared" ref="SYP64:TBA64" si="253">(SYP57-SYP59)*$C$64</f>
        <v>0</v>
      </c>
      <c r="SYQ64" s="857">
        <f t="shared" si="253"/>
        <v>0</v>
      </c>
      <c r="SYR64" s="857">
        <f t="shared" si="253"/>
        <v>0</v>
      </c>
      <c r="SYS64" s="857">
        <f t="shared" si="253"/>
        <v>0</v>
      </c>
      <c r="SYT64" s="857">
        <f t="shared" si="253"/>
        <v>0</v>
      </c>
      <c r="SYU64" s="857">
        <f t="shared" si="253"/>
        <v>0</v>
      </c>
      <c r="SYV64" s="857">
        <f t="shared" si="253"/>
        <v>0</v>
      </c>
      <c r="SYW64" s="857">
        <f t="shared" si="253"/>
        <v>0</v>
      </c>
      <c r="SYX64" s="857">
        <f t="shared" si="253"/>
        <v>0</v>
      </c>
      <c r="SYY64" s="857">
        <f t="shared" si="253"/>
        <v>0</v>
      </c>
      <c r="SYZ64" s="857">
        <f t="shared" si="253"/>
        <v>0</v>
      </c>
      <c r="SZA64" s="857">
        <f t="shared" si="253"/>
        <v>0</v>
      </c>
      <c r="SZB64" s="857">
        <f t="shared" si="253"/>
        <v>0</v>
      </c>
      <c r="SZC64" s="857">
        <f t="shared" si="253"/>
        <v>0</v>
      </c>
      <c r="SZD64" s="857">
        <f t="shared" si="253"/>
        <v>0</v>
      </c>
      <c r="SZE64" s="857">
        <f t="shared" si="253"/>
        <v>0</v>
      </c>
      <c r="SZF64" s="857">
        <f t="shared" si="253"/>
        <v>0</v>
      </c>
      <c r="SZG64" s="857">
        <f t="shared" si="253"/>
        <v>0</v>
      </c>
      <c r="SZH64" s="857">
        <f t="shared" si="253"/>
        <v>0</v>
      </c>
      <c r="SZI64" s="857">
        <f t="shared" si="253"/>
        <v>0</v>
      </c>
      <c r="SZJ64" s="857">
        <f t="shared" si="253"/>
        <v>0</v>
      </c>
      <c r="SZK64" s="857">
        <f t="shared" si="253"/>
        <v>0</v>
      </c>
      <c r="SZL64" s="857">
        <f t="shared" si="253"/>
        <v>0</v>
      </c>
      <c r="SZM64" s="857">
        <f t="shared" si="253"/>
        <v>0</v>
      </c>
      <c r="SZN64" s="857">
        <f t="shared" si="253"/>
        <v>0</v>
      </c>
      <c r="SZO64" s="857">
        <f t="shared" si="253"/>
        <v>0</v>
      </c>
      <c r="SZP64" s="857">
        <f t="shared" si="253"/>
        <v>0</v>
      </c>
      <c r="SZQ64" s="857">
        <f t="shared" si="253"/>
        <v>0</v>
      </c>
      <c r="SZR64" s="857">
        <f t="shared" si="253"/>
        <v>0</v>
      </c>
      <c r="SZS64" s="857">
        <f t="shared" si="253"/>
        <v>0</v>
      </c>
      <c r="SZT64" s="857">
        <f t="shared" si="253"/>
        <v>0</v>
      </c>
      <c r="SZU64" s="857">
        <f t="shared" si="253"/>
        <v>0</v>
      </c>
      <c r="SZV64" s="857">
        <f t="shared" si="253"/>
        <v>0</v>
      </c>
      <c r="SZW64" s="857">
        <f t="shared" si="253"/>
        <v>0</v>
      </c>
      <c r="SZX64" s="857">
        <f t="shared" si="253"/>
        <v>0</v>
      </c>
      <c r="SZY64" s="857">
        <f t="shared" si="253"/>
        <v>0</v>
      </c>
      <c r="SZZ64" s="857">
        <f t="shared" si="253"/>
        <v>0</v>
      </c>
      <c r="TAA64" s="857">
        <f t="shared" si="253"/>
        <v>0</v>
      </c>
      <c r="TAB64" s="857">
        <f t="shared" si="253"/>
        <v>0</v>
      </c>
      <c r="TAC64" s="857">
        <f t="shared" si="253"/>
        <v>0</v>
      </c>
      <c r="TAD64" s="857">
        <f t="shared" si="253"/>
        <v>0</v>
      </c>
      <c r="TAE64" s="857">
        <f t="shared" si="253"/>
        <v>0</v>
      </c>
      <c r="TAF64" s="857">
        <f t="shared" si="253"/>
        <v>0</v>
      </c>
      <c r="TAG64" s="857">
        <f t="shared" si="253"/>
        <v>0</v>
      </c>
      <c r="TAH64" s="857">
        <f t="shared" si="253"/>
        <v>0</v>
      </c>
      <c r="TAI64" s="857">
        <f t="shared" si="253"/>
        <v>0</v>
      </c>
      <c r="TAJ64" s="857">
        <f t="shared" si="253"/>
        <v>0</v>
      </c>
      <c r="TAK64" s="857">
        <f t="shared" si="253"/>
        <v>0</v>
      </c>
      <c r="TAL64" s="857">
        <f t="shared" si="253"/>
        <v>0</v>
      </c>
      <c r="TAM64" s="857">
        <f t="shared" si="253"/>
        <v>0</v>
      </c>
      <c r="TAN64" s="857">
        <f t="shared" si="253"/>
        <v>0</v>
      </c>
      <c r="TAO64" s="857">
        <f t="shared" si="253"/>
        <v>0</v>
      </c>
      <c r="TAP64" s="857">
        <f t="shared" si="253"/>
        <v>0</v>
      </c>
      <c r="TAQ64" s="857">
        <f t="shared" si="253"/>
        <v>0</v>
      </c>
      <c r="TAR64" s="857">
        <f t="shared" si="253"/>
        <v>0</v>
      </c>
      <c r="TAS64" s="857">
        <f t="shared" si="253"/>
        <v>0</v>
      </c>
      <c r="TAT64" s="857">
        <f t="shared" si="253"/>
        <v>0</v>
      </c>
      <c r="TAU64" s="857">
        <f t="shared" si="253"/>
        <v>0</v>
      </c>
      <c r="TAV64" s="857">
        <f t="shared" si="253"/>
        <v>0</v>
      </c>
      <c r="TAW64" s="857">
        <f t="shared" si="253"/>
        <v>0</v>
      </c>
      <c r="TAX64" s="857">
        <f t="shared" si="253"/>
        <v>0</v>
      </c>
      <c r="TAY64" s="857">
        <f t="shared" si="253"/>
        <v>0</v>
      </c>
      <c r="TAZ64" s="857">
        <f t="shared" si="253"/>
        <v>0</v>
      </c>
      <c r="TBA64" s="857">
        <f t="shared" si="253"/>
        <v>0</v>
      </c>
      <c r="TBB64" s="857">
        <f t="shared" ref="TBB64:TDM64" si="254">(TBB57-TBB59)*$C$64</f>
        <v>0</v>
      </c>
      <c r="TBC64" s="857">
        <f t="shared" si="254"/>
        <v>0</v>
      </c>
      <c r="TBD64" s="857">
        <f t="shared" si="254"/>
        <v>0</v>
      </c>
      <c r="TBE64" s="857">
        <f t="shared" si="254"/>
        <v>0</v>
      </c>
      <c r="TBF64" s="857">
        <f t="shared" si="254"/>
        <v>0</v>
      </c>
      <c r="TBG64" s="857">
        <f t="shared" si="254"/>
        <v>0</v>
      </c>
      <c r="TBH64" s="857">
        <f t="shared" si="254"/>
        <v>0</v>
      </c>
      <c r="TBI64" s="857">
        <f t="shared" si="254"/>
        <v>0</v>
      </c>
      <c r="TBJ64" s="857">
        <f t="shared" si="254"/>
        <v>0</v>
      </c>
      <c r="TBK64" s="857">
        <f t="shared" si="254"/>
        <v>0</v>
      </c>
      <c r="TBL64" s="857">
        <f t="shared" si="254"/>
        <v>0</v>
      </c>
      <c r="TBM64" s="857">
        <f t="shared" si="254"/>
        <v>0</v>
      </c>
      <c r="TBN64" s="857">
        <f t="shared" si="254"/>
        <v>0</v>
      </c>
      <c r="TBO64" s="857">
        <f t="shared" si="254"/>
        <v>0</v>
      </c>
      <c r="TBP64" s="857">
        <f t="shared" si="254"/>
        <v>0</v>
      </c>
      <c r="TBQ64" s="857">
        <f t="shared" si="254"/>
        <v>0</v>
      </c>
      <c r="TBR64" s="857">
        <f t="shared" si="254"/>
        <v>0</v>
      </c>
      <c r="TBS64" s="857">
        <f t="shared" si="254"/>
        <v>0</v>
      </c>
      <c r="TBT64" s="857">
        <f t="shared" si="254"/>
        <v>0</v>
      </c>
      <c r="TBU64" s="857">
        <f t="shared" si="254"/>
        <v>0</v>
      </c>
      <c r="TBV64" s="857">
        <f t="shared" si="254"/>
        <v>0</v>
      </c>
      <c r="TBW64" s="857">
        <f t="shared" si="254"/>
        <v>0</v>
      </c>
      <c r="TBX64" s="857">
        <f t="shared" si="254"/>
        <v>0</v>
      </c>
      <c r="TBY64" s="857">
        <f t="shared" si="254"/>
        <v>0</v>
      </c>
      <c r="TBZ64" s="857">
        <f t="shared" si="254"/>
        <v>0</v>
      </c>
      <c r="TCA64" s="857">
        <f t="shared" si="254"/>
        <v>0</v>
      </c>
      <c r="TCB64" s="857">
        <f t="shared" si="254"/>
        <v>0</v>
      </c>
      <c r="TCC64" s="857">
        <f t="shared" si="254"/>
        <v>0</v>
      </c>
      <c r="TCD64" s="857">
        <f t="shared" si="254"/>
        <v>0</v>
      </c>
      <c r="TCE64" s="857">
        <f t="shared" si="254"/>
        <v>0</v>
      </c>
      <c r="TCF64" s="857">
        <f t="shared" si="254"/>
        <v>0</v>
      </c>
      <c r="TCG64" s="857">
        <f t="shared" si="254"/>
        <v>0</v>
      </c>
      <c r="TCH64" s="857">
        <f t="shared" si="254"/>
        <v>0</v>
      </c>
      <c r="TCI64" s="857">
        <f t="shared" si="254"/>
        <v>0</v>
      </c>
      <c r="TCJ64" s="857">
        <f t="shared" si="254"/>
        <v>0</v>
      </c>
      <c r="TCK64" s="857">
        <f t="shared" si="254"/>
        <v>0</v>
      </c>
      <c r="TCL64" s="857">
        <f t="shared" si="254"/>
        <v>0</v>
      </c>
      <c r="TCM64" s="857">
        <f t="shared" si="254"/>
        <v>0</v>
      </c>
      <c r="TCN64" s="857">
        <f t="shared" si="254"/>
        <v>0</v>
      </c>
      <c r="TCO64" s="857">
        <f t="shared" si="254"/>
        <v>0</v>
      </c>
      <c r="TCP64" s="857">
        <f t="shared" si="254"/>
        <v>0</v>
      </c>
      <c r="TCQ64" s="857">
        <f t="shared" si="254"/>
        <v>0</v>
      </c>
      <c r="TCR64" s="857">
        <f t="shared" si="254"/>
        <v>0</v>
      </c>
      <c r="TCS64" s="857">
        <f t="shared" si="254"/>
        <v>0</v>
      </c>
      <c r="TCT64" s="857">
        <f t="shared" si="254"/>
        <v>0</v>
      </c>
      <c r="TCU64" s="857">
        <f t="shared" si="254"/>
        <v>0</v>
      </c>
      <c r="TCV64" s="857">
        <f t="shared" si="254"/>
        <v>0</v>
      </c>
      <c r="TCW64" s="857">
        <f t="shared" si="254"/>
        <v>0</v>
      </c>
      <c r="TCX64" s="857">
        <f t="shared" si="254"/>
        <v>0</v>
      </c>
      <c r="TCY64" s="857">
        <f t="shared" si="254"/>
        <v>0</v>
      </c>
      <c r="TCZ64" s="857">
        <f t="shared" si="254"/>
        <v>0</v>
      </c>
      <c r="TDA64" s="857">
        <f t="shared" si="254"/>
        <v>0</v>
      </c>
      <c r="TDB64" s="857">
        <f t="shared" si="254"/>
        <v>0</v>
      </c>
      <c r="TDC64" s="857">
        <f t="shared" si="254"/>
        <v>0</v>
      </c>
      <c r="TDD64" s="857">
        <f t="shared" si="254"/>
        <v>0</v>
      </c>
      <c r="TDE64" s="857">
        <f t="shared" si="254"/>
        <v>0</v>
      </c>
      <c r="TDF64" s="857">
        <f t="shared" si="254"/>
        <v>0</v>
      </c>
      <c r="TDG64" s="857">
        <f t="shared" si="254"/>
        <v>0</v>
      </c>
      <c r="TDH64" s="857">
        <f t="shared" si="254"/>
        <v>0</v>
      </c>
      <c r="TDI64" s="857">
        <f t="shared" si="254"/>
        <v>0</v>
      </c>
      <c r="TDJ64" s="857">
        <f t="shared" si="254"/>
        <v>0</v>
      </c>
      <c r="TDK64" s="857">
        <f t="shared" si="254"/>
        <v>0</v>
      </c>
      <c r="TDL64" s="857">
        <f t="shared" si="254"/>
        <v>0</v>
      </c>
      <c r="TDM64" s="857">
        <f t="shared" si="254"/>
        <v>0</v>
      </c>
      <c r="TDN64" s="857">
        <f t="shared" ref="TDN64:TFY64" si="255">(TDN57-TDN59)*$C$64</f>
        <v>0</v>
      </c>
      <c r="TDO64" s="857">
        <f t="shared" si="255"/>
        <v>0</v>
      </c>
      <c r="TDP64" s="857">
        <f t="shared" si="255"/>
        <v>0</v>
      </c>
      <c r="TDQ64" s="857">
        <f t="shared" si="255"/>
        <v>0</v>
      </c>
      <c r="TDR64" s="857">
        <f t="shared" si="255"/>
        <v>0</v>
      </c>
      <c r="TDS64" s="857">
        <f t="shared" si="255"/>
        <v>0</v>
      </c>
      <c r="TDT64" s="857">
        <f t="shared" si="255"/>
        <v>0</v>
      </c>
      <c r="TDU64" s="857">
        <f t="shared" si="255"/>
        <v>0</v>
      </c>
      <c r="TDV64" s="857">
        <f t="shared" si="255"/>
        <v>0</v>
      </c>
      <c r="TDW64" s="857">
        <f t="shared" si="255"/>
        <v>0</v>
      </c>
      <c r="TDX64" s="857">
        <f t="shared" si="255"/>
        <v>0</v>
      </c>
      <c r="TDY64" s="857">
        <f t="shared" si="255"/>
        <v>0</v>
      </c>
      <c r="TDZ64" s="857">
        <f t="shared" si="255"/>
        <v>0</v>
      </c>
      <c r="TEA64" s="857">
        <f t="shared" si="255"/>
        <v>0</v>
      </c>
      <c r="TEB64" s="857">
        <f t="shared" si="255"/>
        <v>0</v>
      </c>
      <c r="TEC64" s="857">
        <f t="shared" si="255"/>
        <v>0</v>
      </c>
      <c r="TED64" s="857">
        <f t="shared" si="255"/>
        <v>0</v>
      </c>
      <c r="TEE64" s="857">
        <f t="shared" si="255"/>
        <v>0</v>
      </c>
      <c r="TEF64" s="857">
        <f t="shared" si="255"/>
        <v>0</v>
      </c>
      <c r="TEG64" s="857">
        <f t="shared" si="255"/>
        <v>0</v>
      </c>
      <c r="TEH64" s="857">
        <f t="shared" si="255"/>
        <v>0</v>
      </c>
      <c r="TEI64" s="857">
        <f t="shared" si="255"/>
        <v>0</v>
      </c>
      <c r="TEJ64" s="857">
        <f t="shared" si="255"/>
        <v>0</v>
      </c>
      <c r="TEK64" s="857">
        <f t="shared" si="255"/>
        <v>0</v>
      </c>
      <c r="TEL64" s="857">
        <f t="shared" si="255"/>
        <v>0</v>
      </c>
      <c r="TEM64" s="857">
        <f t="shared" si="255"/>
        <v>0</v>
      </c>
      <c r="TEN64" s="857">
        <f t="shared" si="255"/>
        <v>0</v>
      </c>
      <c r="TEO64" s="857">
        <f t="shared" si="255"/>
        <v>0</v>
      </c>
      <c r="TEP64" s="857">
        <f t="shared" si="255"/>
        <v>0</v>
      </c>
      <c r="TEQ64" s="857">
        <f t="shared" si="255"/>
        <v>0</v>
      </c>
      <c r="TER64" s="857">
        <f t="shared" si="255"/>
        <v>0</v>
      </c>
      <c r="TES64" s="857">
        <f t="shared" si="255"/>
        <v>0</v>
      </c>
      <c r="TET64" s="857">
        <f t="shared" si="255"/>
        <v>0</v>
      </c>
      <c r="TEU64" s="857">
        <f t="shared" si="255"/>
        <v>0</v>
      </c>
      <c r="TEV64" s="857">
        <f t="shared" si="255"/>
        <v>0</v>
      </c>
      <c r="TEW64" s="857">
        <f t="shared" si="255"/>
        <v>0</v>
      </c>
      <c r="TEX64" s="857">
        <f t="shared" si="255"/>
        <v>0</v>
      </c>
      <c r="TEY64" s="857">
        <f t="shared" si="255"/>
        <v>0</v>
      </c>
      <c r="TEZ64" s="857">
        <f t="shared" si="255"/>
        <v>0</v>
      </c>
      <c r="TFA64" s="857">
        <f t="shared" si="255"/>
        <v>0</v>
      </c>
      <c r="TFB64" s="857">
        <f t="shared" si="255"/>
        <v>0</v>
      </c>
      <c r="TFC64" s="857">
        <f t="shared" si="255"/>
        <v>0</v>
      </c>
      <c r="TFD64" s="857">
        <f t="shared" si="255"/>
        <v>0</v>
      </c>
      <c r="TFE64" s="857">
        <f t="shared" si="255"/>
        <v>0</v>
      </c>
      <c r="TFF64" s="857">
        <f t="shared" si="255"/>
        <v>0</v>
      </c>
      <c r="TFG64" s="857">
        <f t="shared" si="255"/>
        <v>0</v>
      </c>
      <c r="TFH64" s="857">
        <f t="shared" si="255"/>
        <v>0</v>
      </c>
      <c r="TFI64" s="857">
        <f t="shared" si="255"/>
        <v>0</v>
      </c>
      <c r="TFJ64" s="857">
        <f t="shared" si="255"/>
        <v>0</v>
      </c>
      <c r="TFK64" s="857">
        <f t="shared" si="255"/>
        <v>0</v>
      </c>
      <c r="TFL64" s="857">
        <f t="shared" si="255"/>
        <v>0</v>
      </c>
      <c r="TFM64" s="857">
        <f t="shared" si="255"/>
        <v>0</v>
      </c>
      <c r="TFN64" s="857">
        <f t="shared" si="255"/>
        <v>0</v>
      </c>
      <c r="TFO64" s="857">
        <f t="shared" si="255"/>
        <v>0</v>
      </c>
      <c r="TFP64" s="857">
        <f t="shared" si="255"/>
        <v>0</v>
      </c>
      <c r="TFQ64" s="857">
        <f t="shared" si="255"/>
        <v>0</v>
      </c>
      <c r="TFR64" s="857">
        <f t="shared" si="255"/>
        <v>0</v>
      </c>
      <c r="TFS64" s="857">
        <f t="shared" si="255"/>
        <v>0</v>
      </c>
      <c r="TFT64" s="857">
        <f t="shared" si="255"/>
        <v>0</v>
      </c>
      <c r="TFU64" s="857">
        <f t="shared" si="255"/>
        <v>0</v>
      </c>
      <c r="TFV64" s="857">
        <f t="shared" si="255"/>
        <v>0</v>
      </c>
      <c r="TFW64" s="857">
        <f t="shared" si="255"/>
        <v>0</v>
      </c>
      <c r="TFX64" s="857">
        <f t="shared" si="255"/>
        <v>0</v>
      </c>
      <c r="TFY64" s="857">
        <f t="shared" si="255"/>
        <v>0</v>
      </c>
      <c r="TFZ64" s="857">
        <f t="shared" ref="TFZ64:TIK64" si="256">(TFZ57-TFZ59)*$C$64</f>
        <v>0</v>
      </c>
      <c r="TGA64" s="857">
        <f t="shared" si="256"/>
        <v>0</v>
      </c>
      <c r="TGB64" s="857">
        <f t="shared" si="256"/>
        <v>0</v>
      </c>
      <c r="TGC64" s="857">
        <f t="shared" si="256"/>
        <v>0</v>
      </c>
      <c r="TGD64" s="857">
        <f t="shared" si="256"/>
        <v>0</v>
      </c>
      <c r="TGE64" s="857">
        <f t="shared" si="256"/>
        <v>0</v>
      </c>
      <c r="TGF64" s="857">
        <f t="shared" si="256"/>
        <v>0</v>
      </c>
      <c r="TGG64" s="857">
        <f t="shared" si="256"/>
        <v>0</v>
      </c>
      <c r="TGH64" s="857">
        <f t="shared" si="256"/>
        <v>0</v>
      </c>
      <c r="TGI64" s="857">
        <f t="shared" si="256"/>
        <v>0</v>
      </c>
      <c r="TGJ64" s="857">
        <f t="shared" si="256"/>
        <v>0</v>
      </c>
      <c r="TGK64" s="857">
        <f t="shared" si="256"/>
        <v>0</v>
      </c>
      <c r="TGL64" s="857">
        <f t="shared" si="256"/>
        <v>0</v>
      </c>
      <c r="TGM64" s="857">
        <f t="shared" si="256"/>
        <v>0</v>
      </c>
      <c r="TGN64" s="857">
        <f t="shared" si="256"/>
        <v>0</v>
      </c>
      <c r="TGO64" s="857">
        <f t="shared" si="256"/>
        <v>0</v>
      </c>
      <c r="TGP64" s="857">
        <f t="shared" si="256"/>
        <v>0</v>
      </c>
      <c r="TGQ64" s="857">
        <f t="shared" si="256"/>
        <v>0</v>
      </c>
      <c r="TGR64" s="857">
        <f t="shared" si="256"/>
        <v>0</v>
      </c>
      <c r="TGS64" s="857">
        <f t="shared" si="256"/>
        <v>0</v>
      </c>
      <c r="TGT64" s="857">
        <f t="shared" si="256"/>
        <v>0</v>
      </c>
      <c r="TGU64" s="857">
        <f t="shared" si="256"/>
        <v>0</v>
      </c>
      <c r="TGV64" s="857">
        <f t="shared" si="256"/>
        <v>0</v>
      </c>
      <c r="TGW64" s="857">
        <f t="shared" si="256"/>
        <v>0</v>
      </c>
      <c r="TGX64" s="857">
        <f t="shared" si="256"/>
        <v>0</v>
      </c>
      <c r="TGY64" s="857">
        <f t="shared" si="256"/>
        <v>0</v>
      </c>
      <c r="TGZ64" s="857">
        <f t="shared" si="256"/>
        <v>0</v>
      </c>
      <c r="THA64" s="857">
        <f t="shared" si="256"/>
        <v>0</v>
      </c>
      <c r="THB64" s="857">
        <f t="shared" si="256"/>
        <v>0</v>
      </c>
      <c r="THC64" s="857">
        <f t="shared" si="256"/>
        <v>0</v>
      </c>
      <c r="THD64" s="857">
        <f t="shared" si="256"/>
        <v>0</v>
      </c>
      <c r="THE64" s="857">
        <f t="shared" si="256"/>
        <v>0</v>
      </c>
      <c r="THF64" s="857">
        <f t="shared" si="256"/>
        <v>0</v>
      </c>
      <c r="THG64" s="857">
        <f t="shared" si="256"/>
        <v>0</v>
      </c>
      <c r="THH64" s="857">
        <f t="shared" si="256"/>
        <v>0</v>
      </c>
      <c r="THI64" s="857">
        <f t="shared" si="256"/>
        <v>0</v>
      </c>
      <c r="THJ64" s="857">
        <f t="shared" si="256"/>
        <v>0</v>
      </c>
      <c r="THK64" s="857">
        <f t="shared" si="256"/>
        <v>0</v>
      </c>
      <c r="THL64" s="857">
        <f t="shared" si="256"/>
        <v>0</v>
      </c>
      <c r="THM64" s="857">
        <f t="shared" si="256"/>
        <v>0</v>
      </c>
      <c r="THN64" s="857">
        <f t="shared" si="256"/>
        <v>0</v>
      </c>
      <c r="THO64" s="857">
        <f t="shared" si="256"/>
        <v>0</v>
      </c>
      <c r="THP64" s="857">
        <f t="shared" si="256"/>
        <v>0</v>
      </c>
      <c r="THQ64" s="857">
        <f t="shared" si="256"/>
        <v>0</v>
      </c>
      <c r="THR64" s="857">
        <f t="shared" si="256"/>
        <v>0</v>
      </c>
      <c r="THS64" s="857">
        <f t="shared" si="256"/>
        <v>0</v>
      </c>
      <c r="THT64" s="857">
        <f t="shared" si="256"/>
        <v>0</v>
      </c>
      <c r="THU64" s="857">
        <f t="shared" si="256"/>
        <v>0</v>
      </c>
      <c r="THV64" s="857">
        <f t="shared" si="256"/>
        <v>0</v>
      </c>
      <c r="THW64" s="857">
        <f t="shared" si="256"/>
        <v>0</v>
      </c>
      <c r="THX64" s="857">
        <f t="shared" si="256"/>
        <v>0</v>
      </c>
      <c r="THY64" s="857">
        <f t="shared" si="256"/>
        <v>0</v>
      </c>
      <c r="THZ64" s="857">
        <f t="shared" si="256"/>
        <v>0</v>
      </c>
      <c r="TIA64" s="857">
        <f t="shared" si="256"/>
        <v>0</v>
      </c>
      <c r="TIB64" s="857">
        <f t="shared" si="256"/>
        <v>0</v>
      </c>
      <c r="TIC64" s="857">
        <f t="shared" si="256"/>
        <v>0</v>
      </c>
      <c r="TID64" s="857">
        <f t="shared" si="256"/>
        <v>0</v>
      </c>
      <c r="TIE64" s="857">
        <f t="shared" si="256"/>
        <v>0</v>
      </c>
      <c r="TIF64" s="857">
        <f t="shared" si="256"/>
        <v>0</v>
      </c>
      <c r="TIG64" s="857">
        <f t="shared" si="256"/>
        <v>0</v>
      </c>
      <c r="TIH64" s="857">
        <f t="shared" si="256"/>
        <v>0</v>
      </c>
      <c r="TII64" s="857">
        <f t="shared" si="256"/>
        <v>0</v>
      </c>
      <c r="TIJ64" s="857">
        <f t="shared" si="256"/>
        <v>0</v>
      </c>
      <c r="TIK64" s="857">
        <f t="shared" si="256"/>
        <v>0</v>
      </c>
      <c r="TIL64" s="857">
        <f t="shared" ref="TIL64:TKW64" si="257">(TIL57-TIL59)*$C$64</f>
        <v>0</v>
      </c>
      <c r="TIM64" s="857">
        <f t="shared" si="257"/>
        <v>0</v>
      </c>
      <c r="TIN64" s="857">
        <f t="shared" si="257"/>
        <v>0</v>
      </c>
      <c r="TIO64" s="857">
        <f t="shared" si="257"/>
        <v>0</v>
      </c>
      <c r="TIP64" s="857">
        <f t="shared" si="257"/>
        <v>0</v>
      </c>
      <c r="TIQ64" s="857">
        <f t="shared" si="257"/>
        <v>0</v>
      </c>
      <c r="TIR64" s="857">
        <f t="shared" si="257"/>
        <v>0</v>
      </c>
      <c r="TIS64" s="857">
        <f t="shared" si="257"/>
        <v>0</v>
      </c>
      <c r="TIT64" s="857">
        <f t="shared" si="257"/>
        <v>0</v>
      </c>
      <c r="TIU64" s="857">
        <f t="shared" si="257"/>
        <v>0</v>
      </c>
      <c r="TIV64" s="857">
        <f t="shared" si="257"/>
        <v>0</v>
      </c>
      <c r="TIW64" s="857">
        <f t="shared" si="257"/>
        <v>0</v>
      </c>
      <c r="TIX64" s="857">
        <f t="shared" si="257"/>
        <v>0</v>
      </c>
      <c r="TIY64" s="857">
        <f t="shared" si="257"/>
        <v>0</v>
      </c>
      <c r="TIZ64" s="857">
        <f t="shared" si="257"/>
        <v>0</v>
      </c>
      <c r="TJA64" s="857">
        <f t="shared" si="257"/>
        <v>0</v>
      </c>
      <c r="TJB64" s="857">
        <f t="shared" si="257"/>
        <v>0</v>
      </c>
      <c r="TJC64" s="857">
        <f t="shared" si="257"/>
        <v>0</v>
      </c>
      <c r="TJD64" s="857">
        <f t="shared" si="257"/>
        <v>0</v>
      </c>
      <c r="TJE64" s="857">
        <f t="shared" si="257"/>
        <v>0</v>
      </c>
      <c r="TJF64" s="857">
        <f t="shared" si="257"/>
        <v>0</v>
      </c>
      <c r="TJG64" s="857">
        <f t="shared" si="257"/>
        <v>0</v>
      </c>
      <c r="TJH64" s="857">
        <f t="shared" si="257"/>
        <v>0</v>
      </c>
      <c r="TJI64" s="857">
        <f t="shared" si="257"/>
        <v>0</v>
      </c>
      <c r="TJJ64" s="857">
        <f t="shared" si="257"/>
        <v>0</v>
      </c>
      <c r="TJK64" s="857">
        <f t="shared" si="257"/>
        <v>0</v>
      </c>
      <c r="TJL64" s="857">
        <f t="shared" si="257"/>
        <v>0</v>
      </c>
      <c r="TJM64" s="857">
        <f t="shared" si="257"/>
        <v>0</v>
      </c>
      <c r="TJN64" s="857">
        <f t="shared" si="257"/>
        <v>0</v>
      </c>
      <c r="TJO64" s="857">
        <f t="shared" si="257"/>
        <v>0</v>
      </c>
      <c r="TJP64" s="857">
        <f t="shared" si="257"/>
        <v>0</v>
      </c>
      <c r="TJQ64" s="857">
        <f t="shared" si="257"/>
        <v>0</v>
      </c>
      <c r="TJR64" s="857">
        <f t="shared" si="257"/>
        <v>0</v>
      </c>
      <c r="TJS64" s="857">
        <f t="shared" si="257"/>
        <v>0</v>
      </c>
      <c r="TJT64" s="857">
        <f t="shared" si="257"/>
        <v>0</v>
      </c>
      <c r="TJU64" s="857">
        <f t="shared" si="257"/>
        <v>0</v>
      </c>
      <c r="TJV64" s="857">
        <f t="shared" si="257"/>
        <v>0</v>
      </c>
      <c r="TJW64" s="857">
        <f t="shared" si="257"/>
        <v>0</v>
      </c>
      <c r="TJX64" s="857">
        <f t="shared" si="257"/>
        <v>0</v>
      </c>
      <c r="TJY64" s="857">
        <f t="shared" si="257"/>
        <v>0</v>
      </c>
      <c r="TJZ64" s="857">
        <f t="shared" si="257"/>
        <v>0</v>
      </c>
      <c r="TKA64" s="857">
        <f t="shared" si="257"/>
        <v>0</v>
      </c>
      <c r="TKB64" s="857">
        <f t="shared" si="257"/>
        <v>0</v>
      </c>
      <c r="TKC64" s="857">
        <f t="shared" si="257"/>
        <v>0</v>
      </c>
      <c r="TKD64" s="857">
        <f t="shared" si="257"/>
        <v>0</v>
      </c>
      <c r="TKE64" s="857">
        <f t="shared" si="257"/>
        <v>0</v>
      </c>
      <c r="TKF64" s="857">
        <f t="shared" si="257"/>
        <v>0</v>
      </c>
      <c r="TKG64" s="857">
        <f t="shared" si="257"/>
        <v>0</v>
      </c>
      <c r="TKH64" s="857">
        <f t="shared" si="257"/>
        <v>0</v>
      </c>
      <c r="TKI64" s="857">
        <f t="shared" si="257"/>
        <v>0</v>
      </c>
      <c r="TKJ64" s="857">
        <f t="shared" si="257"/>
        <v>0</v>
      </c>
      <c r="TKK64" s="857">
        <f t="shared" si="257"/>
        <v>0</v>
      </c>
      <c r="TKL64" s="857">
        <f t="shared" si="257"/>
        <v>0</v>
      </c>
      <c r="TKM64" s="857">
        <f t="shared" si="257"/>
        <v>0</v>
      </c>
      <c r="TKN64" s="857">
        <f t="shared" si="257"/>
        <v>0</v>
      </c>
      <c r="TKO64" s="857">
        <f t="shared" si="257"/>
        <v>0</v>
      </c>
      <c r="TKP64" s="857">
        <f t="shared" si="257"/>
        <v>0</v>
      </c>
      <c r="TKQ64" s="857">
        <f t="shared" si="257"/>
        <v>0</v>
      </c>
      <c r="TKR64" s="857">
        <f t="shared" si="257"/>
        <v>0</v>
      </c>
      <c r="TKS64" s="857">
        <f t="shared" si="257"/>
        <v>0</v>
      </c>
      <c r="TKT64" s="857">
        <f t="shared" si="257"/>
        <v>0</v>
      </c>
      <c r="TKU64" s="857">
        <f t="shared" si="257"/>
        <v>0</v>
      </c>
      <c r="TKV64" s="857">
        <f t="shared" si="257"/>
        <v>0</v>
      </c>
      <c r="TKW64" s="857">
        <f t="shared" si="257"/>
        <v>0</v>
      </c>
      <c r="TKX64" s="857">
        <f t="shared" ref="TKX64:TNI64" si="258">(TKX57-TKX59)*$C$64</f>
        <v>0</v>
      </c>
      <c r="TKY64" s="857">
        <f t="shared" si="258"/>
        <v>0</v>
      </c>
      <c r="TKZ64" s="857">
        <f t="shared" si="258"/>
        <v>0</v>
      </c>
      <c r="TLA64" s="857">
        <f t="shared" si="258"/>
        <v>0</v>
      </c>
      <c r="TLB64" s="857">
        <f t="shared" si="258"/>
        <v>0</v>
      </c>
      <c r="TLC64" s="857">
        <f t="shared" si="258"/>
        <v>0</v>
      </c>
      <c r="TLD64" s="857">
        <f t="shared" si="258"/>
        <v>0</v>
      </c>
      <c r="TLE64" s="857">
        <f t="shared" si="258"/>
        <v>0</v>
      </c>
      <c r="TLF64" s="857">
        <f t="shared" si="258"/>
        <v>0</v>
      </c>
      <c r="TLG64" s="857">
        <f t="shared" si="258"/>
        <v>0</v>
      </c>
      <c r="TLH64" s="857">
        <f t="shared" si="258"/>
        <v>0</v>
      </c>
      <c r="TLI64" s="857">
        <f t="shared" si="258"/>
        <v>0</v>
      </c>
      <c r="TLJ64" s="857">
        <f t="shared" si="258"/>
        <v>0</v>
      </c>
      <c r="TLK64" s="857">
        <f t="shared" si="258"/>
        <v>0</v>
      </c>
      <c r="TLL64" s="857">
        <f t="shared" si="258"/>
        <v>0</v>
      </c>
      <c r="TLM64" s="857">
        <f t="shared" si="258"/>
        <v>0</v>
      </c>
      <c r="TLN64" s="857">
        <f t="shared" si="258"/>
        <v>0</v>
      </c>
      <c r="TLO64" s="857">
        <f t="shared" si="258"/>
        <v>0</v>
      </c>
      <c r="TLP64" s="857">
        <f t="shared" si="258"/>
        <v>0</v>
      </c>
      <c r="TLQ64" s="857">
        <f t="shared" si="258"/>
        <v>0</v>
      </c>
      <c r="TLR64" s="857">
        <f t="shared" si="258"/>
        <v>0</v>
      </c>
      <c r="TLS64" s="857">
        <f t="shared" si="258"/>
        <v>0</v>
      </c>
      <c r="TLT64" s="857">
        <f t="shared" si="258"/>
        <v>0</v>
      </c>
      <c r="TLU64" s="857">
        <f t="shared" si="258"/>
        <v>0</v>
      </c>
      <c r="TLV64" s="857">
        <f t="shared" si="258"/>
        <v>0</v>
      </c>
      <c r="TLW64" s="857">
        <f t="shared" si="258"/>
        <v>0</v>
      </c>
      <c r="TLX64" s="857">
        <f t="shared" si="258"/>
        <v>0</v>
      </c>
      <c r="TLY64" s="857">
        <f t="shared" si="258"/>
        <v>0</v>
      </c>
      <c r="TLZ64" s="857">
        <f t="shared" si="258"/>
        <v>0</v>
      </c>
      <c r="TMA64" s="857">
        <f t="shared" si="258"/>
        <v>0</v>
      </c>
      <c r="TMB64" s="857">
        <f t="shared" si="258"/>
        <v>0</v>
      </c>
      <c r="TMC64" s="857">
        <f t="shared" si="258"/>
        <v>0</v>
      </c>
      <c r="TMD64" s="857">
        <f t="shared" si="258"/>
        <v>0</v>
      </c>
      <c r="TME64" s="857">
        <f t="shared" si="258"/>
        <v>0</v>
      </c>
      <c r="TMF64" s="857">
        <f t="shared" si="258"/>
        <v>0</v>
      </c>
      <c r="TMG64" s="857">
        <f t="shared" si="258"/>
        <v>0</v>
      </c>
      <c r="TMH64" s="857">
        <f t="shared" si="258"/>
        <v>0</v>
      </c>
      <c r="TMI64" s="857">
        <f t="shared" si="258"/>
        <v>0</v>
      </c>
      <c r="TMJ64" s="857">
        <f t="shared" si="258"/>
        <v>0</v>
      </c>
      <c r="TMK64" s="857">
        <f t="shared" si="258"/>
        <v>0</v>
      </c>
      <c r="TML64" s="857">
        <f t="shared" si="258"/>
        <v>0</v>
      </c>
      <c r="TMM64" s="857">
        <f t="shared" si="258"/>
        <v>0</v>
      </c>
      <c r="TMN64" s="857">
        <f t="shared" si="258"/>
        <v>0</v>
      </c>
      <c r="TMO64" s="857">
        <f t="shared" si="258"/>
        <v>0</v>
      </c>
      <c r="TMP64" s="857">
        <f t="shared" si="258"/>
        <v>0</v>
      </c>
      <c r="TMQ64" s="857">
        <f t="shared" si="258"/>
        <v>0</v>
      </c>
      <c r="TMR64" s="857">
        <f t="shared" si="258"/>
        <v>0</v>
      </c>
      <c r="TMS64" s="857">
        <f t="shared" si="258"/>
        <v>0</v>
      </c>
      <c r="TMT64" s="857">
        <f t="shared" si="258"/>
        <v>0</v>
      </c>
      <c r="TMU64" s="857">
        <f t="shared" si="258"/>
        <v>0</v>
      </c>
      <c r="TMV64" s="857">
        <f t="shared" si="258"/>
        <v>0</v>
      </c>
      <c r="TMW64" s="857">
        <f t="shared" si="258"/>
        <v>0</v>
      </c>
      <c r="TMX64" s="857">
        <f t="shared" si="258"/>
        <v>0</v>
      </c>
      <c r="TMY64" s="857">
        <f t="shared" si="258"/>
        <v>0</v>
      </c>
      <c r="TMZ64" s="857">
        <f t="shared" si="258"/>
        <v>0</v>
      </c>
      <c r="TNA64" s="857">
        <f t="shared" si="258"/>
        <v>0</v>
      </c>
      <c r="TNB64" s="857">
        <f t="shared" si="258"/>
        <v>0</v>
      </c>
      <c r="TNC64" s="857">
        <f t="shared" si="258"/>
        <v>0</v>
      </c>
      <c r="TND64" s="857">
        <f t="shared" si="258"/>
        <v>0</v>
      </c>
      <c r="TNE64" s="857">
        <f t="shared" si="258"/>
        <v>0</v>
      </c>
      <c r="TNF64" s="857">
        <f t="shared" si="258"/>
        <v>0</v>
      </c>
      <c r="TNG64" s="857">
        <f t="shared" si="258"/>
        <v>0</v>
      </c>
      <c r="TNH64" s="857">
        <f t="shared" si="258"/>
        <v>0</v>
      </c>
      <c r="TNI64" s="857">
        <f t="shared" si="258"/>
        <v>0</v>
      </c>
      <c r="TNJ64" s="857">
        <f t="shared" ref="TNJ64:TPU64" si="259">(TNJ57-TNJ59)*$C$64</f>
        <v>0</v>
      </c>
      <c r="TNK64" s="857">
        <f t="shared" si="259"/>
        <v>0</v>
      </c>
      <c r="TNL64" s="857">
        <f t="shared" si="259"/>
        <v>0</v>
      </c>
      <c r="TNM64" s="857">
        <f t="shared" si="259"/>
        <v>0</v>
      </c>
      <c r="TNN64" s="857">
        <f t="shared" si="259"/>
        <v>0</v>
      </c>
      <c r="TNO64" s="857">
        <f t="shared" si="259"/>
        <v>0</v>
      </c>
      <c r="TNP64" s="857">
        <f t="shared" si="259"/>
        <v>0</v>
      </c>
      <c r="TNQ64" s="857">
        <f t="shared" si="259"/>
        <v>0</v>
      </c>
      <c r="TNR64" s="857">
        <f t="shared" si="259"/>
        <v>0</v>
      </c>
      <c r="TNS64" s="857">
        <f t="shared" si="259"/>
        <v>0</v>
      </c>
      <c r="TNT64" s="857">
        <f t="shared" si="259"/>
        <v>0</v>
      </c>
      <c r="TNU64" s="857">
        <f t="shared" si="259"/>
        <v>0</v>
      </c>
      <c r="TNV64" s="857">
        <f t="shared" si="259"/>
        <v>0</v>
      </c>
      <c r="TNW64" s="857">
        <f t="shared" si="259"/>
        <v>0</v>
      </c>
      <c r="TNX64" s="857">
        <f t="shared" si="259"/>
        <v>0</v>
      </c>
      <c r="TNY64" s="857">
        <f t="shared" si="259"/>
        <v>0</v>
      </c>
      <c r="TNZ64" s="857">
        <f t="shared" si="259"/>
        <v>0</v>
      </c>
      <c r="TOA64" s="857">
        <f t="shared" si="259"/>
        <v>0</v>
      </c>
      <c r="TOB64" s="857">
        <f t="shared" si="259"/>
        <v>0</v>
      </c>
      <c r="TOC64" s="857">
        <f t="shared" si="259"/>
        <v>0</v>
      </c>
      <c r="TOD64" s="857">
        <f t="shared" si="259"/>
        <v>0</v>
      </c>
      <c r="TOE64" s="857">
        <f t="shared" si="259"/>
        <v>0</v>
      </c>
      <c r="TOF64" s="857">
        <f t="shared" si="259"/>
        <v>0</v>
      </c>
      <c r="TOG64" s="857">
        <f t="shared" si="259"/>
        <v>0</v>
      </c>
      <c r="TOH64" s="857">
        <f t="shared" si="259"/>
        <v>0</v>
      </c>
      <c r="TOI64" s="857">
        <f t="shared" si="259"/>
        <v>0</v>
      </c>
      <c r="TOJ64" s="857">
        <f t="shared" si="259"/>
        <v>0</v>
      </c>
      <c r="TOK64" s="857">
        <f t="shared" si="259"/>
        <v>0</v>
      </c>
      <c r="TOL64" s="857">
        <f t="shared" si="259"/>
        <v>0</v>
      </c>
      <c r="TOM64" s="857">
        <f t="shared" si="259"/>
        <v>0</v>
      </c>
      <c r="TON64" s="857">
        <f t="shared" si="259"/>
        <v>0</v>
      </c>
      <c r="TOO64" s="857">
        <f t="shared" si="259"/>
        <v>0</v>
      </c>
      <c r="TOP64" s="857">
        <f t="shared" si="259"/>
        <v>0</v>
      </c>
      <c r="TOQ64" s="857">
        <f t="shared" si="259"/>
        <v>0</v>
      </c>
      <c r="TOR64" s="857">
        <f t="shared" si="259"/>
        <v>0</v>
      </c>
      <c r="TOS64" s="857">
        <f t="shared" si="259"/>
        <v>0</v>
      </c>
      <c r="TOT64" s="857">
        <f t="shared" si="259"/>
        <v>0</v>
      </c>
      <c r="TOU64" s="857">
        <f t="shared" si="259"/>
        <v>0</v>
      </c>
      <c r="TOV64" s="857">
        <f t="shared" si="259"/>
        <v>0</v>
      </c>
      <c r="TOW64" s="857">
        <f t="shared" si="259"/>
        <v>0</v>
      </c>
      <c r="TOX64" s="857">
        <f t="shared" si="259"/>
        <v>0</v>
      </c>
      <c r="TOY64" s="857">
        <f t="shared" si="259"/>
        <v>0</v>
      </c>
      <c r="TOZ64" s="857">
        <f t="shared" si="259"/>
        <v>0</v>
      </c>
      <c r="TPA64" s="857">
        <f t="shared" si="259"/>
        <v>0</v>
      </c>
      <c r="TPB64" s="857">
        <f t="shared" si="259"/>
        <v>0</v>
      </c>
      <c r="TPC64" s="857">
        <f t="shared" si="259"/>
        <v>0</v>
      </c>
      <c r="TPD64" s="857">
        <f t="shared" si="259"/>
        <v>0</v>
      </c>
      <c r="TPE64" s="857">
        <f t="shared" si="259"/>
        <v>0</v>
      </c>
      <c r="TPF64" s="857">
        <f t="shared" si="259"/>
        <v>0</v>
      </c>
      <c r="TPG64" s="857">
        <f t="shared" si="259"/>
        <v>0</v>
      </c>
      <c r="TPH64" s="857">
        <f t="shared" si="259"/>
        <v>0</v>
      </c>
      <c r="TPI64" s="857">
        <f t="shared" si="259"/>
        <v>0</v>
      </c>
      <c r="TPJ64" s="857">
        <f t="shared" si="259"/>
        <v>0</v>
      </c>
      <c r="TPK64" s="857">
        <f t="shared" si="259"/>
        <v>0</v>
      </c>
      <c r="TPL64" s="857">
        <f t="shared" si="259"/>
        <v>0</v>
      </c>
      <c r="TPM64" s="857">
        <f t="shared" si="259"/>
        <v>0</v>
      </c>
      <c r="TPN64" s="857">
        <f t="shared" si="259"/>
        <v>0</v>
      </c>
      <c r="TPO64" s="857">
        <f t="shared" si="259"/>
        <v>0</v>
      </c>
      <c r="TPP64" s="857">
        <f t="shared" si="259"/>
        <v>0</v>
      </c>
      <c r="TPQ64" s="857">
        <f t="shared" si="259"/>
        <v>0</v>
      </c>
      <c r="TPR64" s="857">
        <f t="shared" si="259"/>
        <v>0</v>
      </c>
      <c r="TPS64" s="857">
        <f t="shared" si="259"/>
        <v>0</v>
      </c>
      <c r="TPT64" s="857">
        <f t="shared" si="259"/>
        <v>0</v>
      </c>
      <c r="TPU64" s="857">
        <f t="shared" si="259"/>
        <v>0</v>
      </c>
      <c r="TPV64" s="857">
        <f t="shared" ref="TPV64:TSG64" si="260">(TPV57-TPV59)*$C$64</f>
        <v>0</v>
      </c>
      <c r="TPW64" s="857">
        <f t="shared" si="260"/>
        <v>0</v>
      </c>
      <c r="TPX64" s="857">
        <f t="shared" si="260"/>
        <v>0</v>
      </c>
      <c r="TPY64" s="857">
        <f t="shared" si="260"/>
        <v>0</v>
      </c>
      <c r="TPZ64" s="857">
        <f t="shared" si="260"/>
        <v>0</v>
      </c>
      <c r="TQA64" s="857">
        <f t="shared" si="260"/>
        <v>0</v>
      </c>
      <c r="TQB64" s="857">
        <f t="shared" si="260"/>
        <v>0</v>
      </c>
      <c r="TQC64" s="857">
        <f t="shared" si="260"/>
        <v>0</v>
      </c>
      <c r="TQD64" s="857">
        <f t="shared" si="260"/>
        <v>0</v>
      </c>
      <c r="TQE64" s="857">
        <f t="shared" si="260"/>
        <v>0</v>
      </c>
      <c r="TQF64" s="857">
        <f t="shared" si="260"/>
        <v>0</v>
      </c>
      <c r="TQG64" s="857">
        <f t="shared" si="260"/>
        <v>0</v>
      </c>
      <c r="TQH64" s="857">
        <f t="shared" si="260"/>
        <v>0</v>
      </c>
      <c r="TQI64" s="857">
        <f t="shared" si="260"/>
        <v>0</v>
      </c>
      <c r="TQJ64" s="857">
        <f t="shared" si="260"/>
        <v>0</v>
      </c>
      <c r="TQK64" s="857">
        <f t="shared" si="260"/>
        <v>0</v>
      </c>
      <c r="TQL64" s="857">
        <f t="shared" si="260"/>
        <v>0</v>
      </c>
      <c r="TQM64" s="857">
        <f t="shared" si="260"/>
        <v>0</v>
      </c>
      <c r="TQN64" s="857">
        <f t="shared" si="260"/>
        <v>0</v>
      </c>
      <c r="TQO64" s="857">
        <f t="shared" si="260"/>
        <v>0</v>
      </c>
      <c r="TQP64" s="857">
        <f t="shared" si="260"/>
        <v>0</v>
      </c>
      <c r="TQQ64" s="857">
        <f t="shared" si="260"/>
        <v>0</v>
      </c>
      <c r="TQR64" s="857">
        <f t="shared" si="260"/>
        <v>0</v>
      </c>
      <c r="TQS64" s="857">
        <f t="shared" si="260"/>
        <v>0</v>
      </c>
      <c r="TQT64" s="857">
        <f t="shared" si="260"/>
        <v>0</v>
      </c>
      <c r="TQU64" s="857">
        <f t="shared" si="260"/>
        <v>0</v>
      </c>
      <c r="TQV64" s="857">
        <f t="shared" si="260"/>
        <v>0</v>
      </c>
      <c r="TQW64" s="857">
        <f t="shared" si="260"/>
        <v>0</v>
      </c>
      <c r="TQX64" s="857">
        <f t="shared" si="260"/>
        <v>0</v>
      </c>
      <c r="TQY64" s="857">
        <f t="shared" si="260"/>
        <v>0</v>
      </c>
      <c r="TQZ64" s="857">
        <f t="shared" si="260"/>
        <v>0</v>
      </c>
      <c r="TRA64" s="857">
        <f t="shared" si="260"/>
        <v>0</v>
      </c>
      <c r="TRB64" s="857">
        <f t="shared" si="260"/>
        <v>0</v>
      </c>
      <c r="TRC64" s="857">
        <f t="shared" si="260"/>
        <v>0</v>
      </c>
      <c r="TRD64" s="857">
        <f t="shared" si="260"/>
        <v>0</v>
      </c>
      <c r="TRE64" s="857">
        <f t="shared" si="260"/>
        <v>0</v>
      </c>
      <c r="TRF64" s="857">
        <f t="shared" si="260"/>
        <v>0</v>
      </c>
      <c r="TRG64" s="857">
        <f t="shared" si="260"/>
        <v>0</v>
      </c>
      <c r="TRH64" s="857">
        <f t="shared" si="260"/>
        <v>0</v>
      </c>
      <c r="TRI64" s="857">
        <f t="shared" si="260"/>
        <v>0</v>
      </c>
      <c r="TRJ64" s="857">
        <f t="shared" si="260"/>
        <v>0</v>
      </c>
      <c r="TRK64" s="857">
        <f t="shared" si="260"/>
        <v>0</v>
      </c>
      <c r="TRL64" s="857">
        <f t="shared" si="260"/>
        <v>0</v>
      </c>
      <c r="TRM64" s="857">
        <f t="shared" si="260"/>
        <v>0</v>
      </c>
      <c r="TRN64" s="857">
        <f t="shared" si="260"/>
        <v>0</v>
      </c>
      <c r="TRO64" s="857">
        <f t="shared" si="260"/>
        <v>0</v>
      </c>
      <c r="TRP64" s="857">
        <f t="shared" si="260"/>
        <v>0</v>
      </c>
      <c r="TRQ64" s="857">
        <f t="shared" si="260"/>
        <v>0</v>
      </c>
      <c r="TRR64" s="857">
        <f t="shared" si="260"/>
        <v>0</v>
      </c>
      <c r="TRS64" s="857">
        <f t="shared" si="260"/>
        <v>0</v>
      </c>
      <c r="TRT64" s="857">
        <f t="shared" si="260"/>
        <v>0</v>
      </c>
      <c r="TRU64" s="857">
        <f t="shared" si="260"/>
        <v>0</v>
      </c>
      <c r="TRV64" s="857">
        <f t="shared" si="260"/>
        <v>0</v>
      </c>
      <c r="TRW64" s="857">
        <f t="shared" si="260"/>
        <v>0</v>
      </c>
      <c r="TRX64" s="857">
        <f t="shared" si="260"/>
        <v>0</v>
      </c>
      <c r="TRY64" s="857">
        <f t="shared" si="260"/>
        <v>0</v>
      </c>
      <c r="TRZ64" s="857">
        <f t="shared" si="260"/>
        <v>0</v>
      </c>
      <c r="TSA64" s="857">
        <f t="shared" si="260"/>
        <v>0</v>
      </c>
      <c r="TSB64" s="857">
        <f t="shared" si="260"/>
        <v>0</v>
      </c>
      <c r="TSC64" s="857">
        <f t="shared" si="260"/>
        <v>0</v>
      </c>
      <c r="TSD64" s="857">
        <f t="shared" si="260"/>
        <v>0</v>
      </c>
      <c r="TSE64" s="857">
        <f t="shared" si="260"/>
        <v>0</v>
      </c>
      <c r="TSF64" s="857">
        <f t="shared" si="260"/>
        <v>0</v>
      </c>
      <c r="TSG64" s="857">
        <f t="shared" si="260"/>
        <v>0</v>
      </c>
      <c r="TSH64" s="857">
        <f t="shared" ref="TSH64:TUS64" si="261">(TSH57-TSH59)*$C$64</f>
        <v>0</v>
      </c>
      <c r="TSI64" s="857">
        <f t="shared" si="261"/>
        <v>0</v>
      </c>
      <c r="TSJ64" s="857">
        <f t="shared" si="261"/>
        <v>0</v>
      </c>
      <c r="TSK64" s="857">
        <f t="shared" si="261"/>
        <v>0</v>
      </c>
      <c r="TSL64" s="857">
        <f t="shared" si="261"/>
        <v>0</v>
      </c>
      <c r="TSM64" s="857">
        <f t="shared" si="261"/>
        <v>0</v>
      </c>
      <c r="TSN64" s="857">
        <f t="shared" si="261"/>
        <v>0</v>
      </c>
      <c r="TSO64" s="857">
        <f t="shared" si="261"/>
        <v>0</v>
      </c>
      <c r="TSP64" s="857">
        <f t="shared" si="261"/>
        <v>0</v>
      </c>
      <c r="TSQ64" s="857">
        <f t="shared" si="261"/>
        <v>0</v>
      </c>
      <c r="TSR64" s="857">
        <f t="shared" si="261"/>
        <v>0</v>
      </c>
      <c r="TSS64" s="857">
        <f t="shared" si="261"/>
        <v>0</v>
      </c>
      <c r="TST64" s="857">
        <f t="shared" si="261"/>
        <v>0</v>
      </c>
      <c r="TSU64" s="857">
        <f t="shared" si="261"/>
        <v>0</v>
      </c>
      <c r="TSV64" s="857">
        <f t="shared" si="261"/>
        <v>0</v>
      </c>
      <c r="TSW64" s="857">
        <f t="shared" si="261"/>
        <v>0</v>
      </c>
      <c r="TSX64" s="857">
        <f t="shared" si="261"/>
        <v>0</v>
      </c>
      <c r="TSY64" s="857">
        <f t="shared" si="261"/>
        <v>0</v>
      </c>
      <c r="TSZ64" s="857">
        <f t="shared" si="261"/>
        <v>0</v>
      </c>
      <c r="TTA64" s="857">
        <f t="shared" si="261"/>
        <v>0</v>
      </c>
      <c r="TTB64" s="857">
        <f t="shared" si="261"/>
        <v>0</v>
      </c>
      <c r="TTC64" s="857">
        <f t="shared" si="261"/>
        <v>0</v>
      </c>
      <c r="TTD64" s="857">
        <f t="shared" si="261"/>
        <v>0</v>
      </c>
      <c r="TTE64" s="857">
        <f t="shared" si="261"/>
        <v>0</v>
      </c>
      <c r="TTF64" s="857">
        <f t="shared" si="261"/>
        <v>0</v>
      </c>
      <c r="TTG64" s="857">
        <f t="shared" si="261"/>
        <v>0</v>
      </c>
      <c r="TTH64" s="857">
        <f t="shared" si="261"/>
        <v>0</v>
      </c>
      <c r="TTI64" s="857">
        <f t="shared" si="261"/>
        <v>0</v>
      </c>
      <c r="TTJ64" s="857">
        <f t="shared" si="261"/>
        <v>0</v>
      </c>
      <c r="TTK64" s="857">
        <f t="shared" si="261"/>
        <v>0</v>
      </c>
      <c r="TTL64" s="857">
        <f t="shared" si="261"/>
        <v>0</v>
      </c>
      <c r="TTM64" s="857">
        <f t="shared" si="261"/>
        <v>0</v>
      </c>
      <c r="TTN64" s="857">
        <f t="shared" si="261"/>
        <v>0</v>
      </c>
      <c r="TTO64" s="857">
        <f t="shared" si="261"/>
        <v>0</v>
      </c>
      <c r="TTP64" s="857">
        <f t="shared" si="261"/>
        <v>0</v>
      </c>
      <c r="TTQ64" s="857">
        <f t="shared" si="261"/>
        <v>0</v>
      </c>
      <c r="TTR64" s="857">
        <f t="shared" si="261"/>
        <v>0</v>
      </c>
      <c r="TTS64" s="857">
        <f t="shared" si="261"/>
        <v>0</v>
      </c>
      <c r="TTT64" s="857">
        <f t="shared" si="261"/>
        <v>0</v>
      </c>
      <c r="TTU64" s="857">
        <f t="shared" si="261"/>
        <v>0</v>
      </c>
      <c r="TTV64" s="857">
        <f t="shared" si="261"/>
        <v>0</v>
      </c>
      <c r="TTW64" s="857">
        <f t="shared" si="261"/>
        <v>0</v>
      </c>
      <c r="TTX64" s="857">
        <f t="shared" si="261"/>
        <v>0</v>
      </c>
      <c r="TTY64" s="857">
        <f t="shared" si="261"/>
        <v>0</v>
      </c>
      <c r="TTZ64" s="857">
        <f t="shared" si="261"/>
        <v>0</v>
      </c>
      <c r="TUA64" s="857">
        <f t="shared" si="261"/>
        <v>0</v>
      </c>
      <c r="TUB64" s="857">
        <f t="shared" si="261"/>
        <v>0</v>
      </c>
      <c r="TUC64" s="857">
        <f t="shared" si="261"/>
        <v>0</v>
      </c>
      <c r="TUD64" s="857">
        <f t="shared" si="261"/>
        <v>0</v>
      </c>
      <c r="TUE64" s="857">
        <f t="shared" si="261"/>
        <v>0</v>
      </c>
      <c r="TUF64" s="857">
        <f t="shared" si="261"/>
        <v>0</v>
      </c>
      <c r="TUG64" s="857">
        <f t="shared" si="261"/>
        <v>0</v>
      </c>
      <c r="TUH64" s="857">
        <f t="shared" si="261"/>
        <v>0</v>
      </c>
      <c r="TUI64" s="857">
        <f t="shared" si="261"/>
        <v>0</v>
      </c>
      <c r="TUJ64" s="857">
        <f t="shared" si="261"/>
        <v>0</v>
      </c>
      <c r="TUK64" s="857">
        <f t="shared" si="261"/>
        <v>0</v>
      </c>
      <c r="TUL64" s="857">
        <f t="shared" si="261"/>
        <v>0</v>
      </c>
      <c r="TUM64" s="857">
        <f t="shared" si="261"/>
        <v>0</v>
      </c>
      <c r="TUN64" s="857">
        <f t="shared" si="261"/>
        <v>0</v>
      </c>
      <c r="TUO64" s="857">
        <f t="shared" si="261"/>
        <v>0</v>
      </c>
      <c r="TUP64" s="857">
        <f t="shared" si="261"/>
        <v>0</v>
      </c>
      <c r="TUQ64" s="857">
        <f t="shared" si="261"/>
        <v>0</v>
      </c>
      <c r="TUR64" s="857">
        <f t="shared" si="261"/>
        <v>0</v>
      </c>
      <c r="TUS64" s="857">
        <f t="shared" si="261"/>
        <v>0</v>
      </c>
      <c r="TUT64" s="857">
        <f t="shared" ref="TUT64:TXE64" si="262">(TUT57-TUT59)*$C$64</f>
        <v>0</v>
      </c>
      <c r="TUU64" s="857">
        <f t="shared" si="262"/>
        <v>0</v>
      </c>
      <c r="TUV64" s="857">
        <f t="shared" si="262"/>
        <v>0</v>
      </c>
      <c r="TUW64" s="857">
        <f t="shared" si="262"/>
        <v>0</v>
      </c>
      <c r="TUX64" s="857">
        <f t="shared" si="262"/>
        <v>0</v>
      </c>
      <c r="TUY64" s="857">
        <f t="shared" si="262"/>
        <v>0</v>
      </c>
      <c r="TUZ64" s="857">
        <f t="shared" si="262"/>
        <v>0</v>
      </c>
      <c r="TVA64" s="857">
        <f t="shared" si="262"/>
        <v>0</v>
      </c>
      <c r="TVB64" s="857">
        <f t="shared" si="262"/>
        <v>0</v>
      </c>
      <c r="TVC64" s="857">
        <f t="shared" si="262"/>
        <v>0</v>
      </c>
      <c r="TVD64" s="857">
        <f t="shared" si="262"/>
        <v>0</v>
      </c>
      <c r="TVE64" s="857">
        <f t="shared" si="262"/>
        <v>0</v>
      </c>
      <c r="TVF64" s="857">
        <f t="shared" si="262"/>
        <v>0</v>
      </c>
      <c r="TVG64" s="857">
        <f t="shared" si="262"/>
        <v>0</v>
      </c>
      <c r="TVH64" s="857">
        <f t="shared" si="262"/>
        <v>0</v>
      </c>
      <c r="TVI64" s="857">
        <f t="shared" si="262"/>
        <v>0</v>
      </c>
      <c r="TVJ64" s="857">
        <f t="shared" si="262"/>
        <v>0</v>
      </c>
      <c r="TVK64" s="857">
        <f t="shared" si="262"/>
        <v>0</v>
      </c>
      <c r="TVL64" s="857">
        <f t="shared" si="262"/>
        <v>0</v>
      </c>
      <c r="TVM64" s="857">
        <f t="shared" si="262"/>
        <v>0</v>
      </c>
      <c r="TVN64" s="857">
        <f t="shared" si="262"/>
        <v>0</v>
      </c>
      <c r="TVO64" s="857">
        <f t="shared" si="262"/>
        <v>0</v>
      </c>
      <c r="TVP64" s="857">
        <f t="shared" si="262"/>
        <v>0</v>
      </c>
      <c r="TVQ64" s="857">
        <f t="shared" si="262"/>
        <v>0</v>
      </c>
      <c r="TVR64" s="857">
        <f t="shared" si="262"/>
        <v>0</v>
      </c>
      <c r="TVS64" s="857">
        <f t="shared" si="262"/>
        <v>0</v>
      </c>
      <c r="TVT64" s="857">
        <f t="shared" si="262"/>
        <v>0</v>
      </c>
      <c r="TVU64" s="857">
        <f t="shared" si="262"/>
        <v>0</v>
      </c>
      <c r="TVV64" s="857">
        <f t="shared" si="262"/>
        <v>0</v>
      </c>
      <c r="TVW64" s="857">
        <f t="shared" si="262"/>
        <v>0</v>
      </c>
      <c r="TVX64" s="857">
        <f t="shared" si="262"/>
        <v>0</v>
      </c>
      <c r="TVY64" s="857">
        <f t="shared" si="262"/>
        <v>0</v>
      </c>
      <c r="TVZ64" s="857">
        <f t="shared" si="262"/>
        <v>0</v>
      </c>
      <c r="TWA64" s="857">
        <f t="shared" si="262"/>
        <v>0</v>
      </c>
      <c r="TWB64" s="857">
        <f t="shared" si="262"/>
        <v>0</v>
      </c>
      <c r="TWC64" s="857">
        <f t="shared" si="262"/>
        <v>0</v>
      </c>
      <c r="TWD64" s="857">
        <f t="shared" si="262"/>
        <v>0</v>
      </c>
      <c r="TWE64" s="857">
        <f t="shared" si="262"/>
        <v>0</v>
      </c>
      <c r="TWF64" s="857">
        <f t="shared" si="262"/>
        <v>0</v>
      </c>
      <c r="TWG64" s="857">
        <f t="shared" si="262"/>
        <v>0</v>
      </c>
      <c r="TWH64" s="857">
        <f t="shared" si="262"/>
        <v>0</v>
      </c>
      <c r="TWI64" s="857">
        <f t="shared" si="262"/>
        <v>0</v>
      </c>
      <c r="TWJ64" s="857">
        <f t="shared" si="262"/>
        <v>0</v>
      </c>
      <c r="TWK64" s="857">
        <f t="shared" si="262"/>
        <v>0</v>
      </c>
      <c r="TWL64" s="857">
        <f t="shared" si="262"/>
        <v>0</v>
      </c>
      <c r="TWM64" s="857">
        <f t="shared" si="262"/>
        <v>0</v>
      </c>
      <c r="TWN64" s="857">
        <f t="shared" si="262"/>
        <v>0</v>
      </c>
      <c r="TWO64" s="857">
        <f t="shared" si="262"/>
        <v>0</v>
      </c>
      <c r="TWP64" s="857">
        <f t="shared" si="262"/>
        <v>0</v>
      </c>
      <c r="TWQ64" s="857">
        <f t="shared" si="262"/>
        <v>0</v>
      </c>
      <c r="TWR64" s="857">
        <f t="shared" si="262"/>
        <v>0</v>
      </c>
      <c r="TWS64" s="857">
        <f t="shared" si="262"/>
        <v>0</v>
      </c>
      <c r="TWT64" s="857">
        <f t="shared" si="262"/>
        <v>0</v>
      </c>
      <c r="TWU64" s="857">
        <f t="shared" si="262"/>
        <v>0</v>
      </c>
      <c r="TWV64" s="857">
        <f t="shared" si="262"/>
        <v>0</v>
      </c>
      <c r="TWW64" s="857">
        <f t="shared" si="262"/>
        <v>0</v>
      </c>
      <c r="TWX64" s="857">
        <f t="shared" si="262"/>
        <v>0</v>
      </c>
      <c r="TWY64" s="857">
        <f t="shared" si="262"/>
        <v>0</v>
      </c>
      <c r="TWZ64" s="857">
        <f t="shared" si="262"/>
        <v>0</v>
      </c>
      <c r="TXA64" s="857">
        <f t="shared" si="262"/>
        <v>0</v>
      </c>
      <c r="TXB64" s="857">
        <f t="shared" si="262"/>
        <v>0</v>
      </c>
      <c r="TXC64" s="857">
        <f t="shared" si="262"/>
        <v>0</v>
      </c>
      <c r="TXD64" s="857">
        <f t="shared" si="262"/>
        <v>0</v>
      </c>
      <c r="TXE64" s="857">
        <f t="shared" si="262"/>
        <v>0</v>
      </c>
      <c r="TXF64" s="857">
        <f t="shared" ref="TXF64:TZQ64" si="263">(TXF57-TXF59)*$C$64</f>
        <v>0</v>
      </c>
      <c r="TXG64" s="857">
        <f t="shared" si="263"/>
        <v>0</v>
      </c>
      <c r="TXH64" s="857">
        <f t="shared" si="263"/>
        <v>0</v>
      </c>
      <c r="TXI64" s="857">
        <f t="shared" si="263"/>
        <v>0</v>
      </c>
      <c r="TXJ64" s="857">
        <f t="shared" si="263"/>
        <v>0</v>
      </c>
      <c r="TXK64" s="857">
        <f t="shared" si="263"/>
        <v>0</v>
      </c>
      <c r="TXL64" s="857">
        <f t="shared" si="263"/>
        <v>0</v>
      </c>
      <c r="TXM64" s="857">
        <f t="shared" si="263"/>
        <v>0</v>
      </c>
      <c r="TXN64" s="857">
        <f t="shared" si="263"/>
        <v>0</v>
      </c>
      <c r="TXO64" s="857">
        <f t="shared" si="263"/>
        <v>0</v>
      </c>
      <c r="TXP64" s="857">
        <f t="shared" si="263"/>
        <v>0</v>
      </c>
      <c r="TXQ64" s="857">
        <f t="shared" si="263"/>
        <v>0</v>
      </c>
      <c r="TXR64" s="857">
        <f t="shared" si="263"/>
        <v>0</v>
      </c>
      <c r="TXS64" s="857">
        <f t="shared" si="263"/>
        <v>0</v>
      </c>
      <c r="TXT64" s="857">
        <f t="shared" si="263"/>
        <v>0</v>
      </c>
      <c r="TXU64" s="857">
        <f t="shared" si="263"/>
        <v>0</v>
      </c>
      <c r="TXV64" s="857">
        <f t="shared" si="263"/>
        <v>0</v>
      </c>
      <c r="TXW64" s="857">
        <f t="shared" si="263"/>
        <v>0</v>
      </c>
      <c r="TXX64" s="857">
        <f t="shared" si="263"/>
        <v>0</v>
      </c>
      <c r="TXY64" s="857">
        <f t="shared" si="263"/>
        <v>0</v>
      </c>
      <c r="TXZ64" s="857">
        <f t="shared" si="263"/>
        <v>0</v>
      </c>
      <c r="TYA64" s="857">
        <f t="shared" si="263"/>
        <v>0</v>
      </c>
      <c r="TYB64" s="857">
        <f t="shared" si="263"/>
        <v>0</v>
      </c>
      <c r="TYC64" s="857">
        <f t="shared" si="263"/>
        <v>0</v>
      </c>
      <c r="TYD64" s="857">
        <f t="shared" si="263"/>
        <v>0</v>
      </c>
      <c r="TYE64" s="857">
        <f t="shared" si="263"/>
        <v>0</v>
      </c>
      <c r="TYF64" s="857">
        <f t="shared" si="263"/>
        <v>0</v>
      </c>
      <c r="TYG64" s="857">
        <f t="shared" si="263"/>
        <v>0</v>
      </c>
      <c r="TYH64" s="857">
        <f t="shared" si="263"/>
        <v>0</v>
      </c>
      <c r="TYI64" s="857">
        <f t="shared" si="263"/>
        <v>0</v>
      </c>
      <c r="TYJ64" s="857">
        <f t="shared" si="263"/>
        <v>0</v>
      </c>
      <c r="TYK64" s="857">
        <f t="shared" si="263"/>
        <v>0</v>
      </c>
      <c r="TYL64" s="857">
        <f t="shared" si="263"/>
        <v>0</v>
      </c>
      <c r="TYM64" s="857">
        <f t="shared" si="263"/>
        <v>0</v>
      </c>
      <c r="TYN64" s="857">
        <f t="shared" si="263"/>
        <v>0</v>
      </c>
      <c r="TYO64" s="857">
        <f t="shared" si="263"/>
        <v>0</v>
      </c>
      <c r="TYP64" s="857">
        <f t="shared" si="263"/>
        <v>0</v>
      </c>
      <c r="TYQ64" s="857">
        <f t="shared" si="263"/>
        <v>0</v>
      </c>
      <c r="TYR64" s="857">
        <f t="shared" si="263"/>
        <v>0</v>
      </c>
      <c r="TYS64" s="857">
        <f t="shared" si="263"/>
        <v>0</v>
      </c>
      <c r="TYT64" s="857">
        <f t="shared" si="263"/>
        <v>0</v>
      </c>
      <c r="TYU64" s="857">
        <f t="shared" si="263"/>
        <v>0</v>
      </c>
      <c r="TYV64" s="857">
        <f t="shared" si="263"/>
        <v>0</v>
      </c>
      <c r="TYW64" s="857">
        <f t="shared" si="263"/>
        <v>0</v>
      </c>
      <c r="TYX64" s="857">
        <f t="shared" si="263"/>
        <v>0</v>
      </c>
      <c r="TYY64" s="857">
        <f t="shared" si="263"/>
        <v>0</v>
      </c>
      <c r="TYZ64" s="857">
        <f t="shared" si="263"/>
        <v>0</v>
      </c>
      <c r="TZA64" s="857">
        <f t="shared" si="263"/>
        <v>0</v>
      </c>
      <c r="TZB64" s="857">
        <f t="shared" si="263"/>
        <v>0</v>
      </c>
      <c r="TZC64" s="857">
        <f t="shared" si="263"/>
        <v>0</v>
      </c>
      <c r="TZD64" s="857">
        <f t="shared" si="263"/>
        <v>0</v>
      </c>
      <c r="TZE64" s="857">
        <f t="shared" si="263"/>
        <v>0</v>
      </c>
      <c r="TZF64" s="857">
        <f t="shared" si="263"/>
        <v>0</v>
      </c>
      <c r="TZG64" s="857">
        <f t="shared" si="263"/>
        <v>0</v>
      </c>
      <c r="TZH64" s="857">
        <f t="shared" si="263"/>
        <v>0</v>
      </c>
      <c r="TZI64" s="857">
        <f t="shared" si="263"/>
        <v>0</v>
      </c>
      <c r="TZJ64" s="857">
        <f t="shared" si="263"/>
        <v>0</v>
      </c>
      <c r="TZK64" s="857">
        <f t="shared" si="263"/>
        <v>0</v>
      </c>
      <c r="TZL64" s="857">
        <f t="shared" si="263"/>
        <v>0</v>
      </c>
      <c r="TZM64" s="857">
        <f t="shared" si="263"/>
        <v>0</v>
      </c>
      <c r="TZN64" s="857">
        <f t="shared" si="263"/>
        <v>0</v>
      </c>
      <c r="TZO64" s="857">
        <f t="shared" si="263"/>
        <v>0</v>
      </c>
      <c r="TZP64" s="857">
        <f t="shared" si="263"/>
        <v>0</v>
      </c>
      <c r="TZQ64" s="857">
        <f t="shared" si="263"/>
        <v>0</v>
      </c>
      <c r="TZR64" s="857">
        <f t="shared" ref="TZR64:UCC64" si="264">(TZR57-TZR59)*$C$64</f>
        <v>0</v>
      </c>
      <c r="TZS64" s="857">
        <f t="shared" si="264"/>
        <v>0</v>
      </c>
      <c r="TZT64" s="857">
        <f t="shared" si="264"/>
        <v>0</v>
      </c>
      <c r="TZU64" s="857">
        <f t="shared" si="264"/>
        <v>0</v>
      </c>
      <c r="TZV64" s="857">
        <f t="shared" si="264"/>
        <v>0</v>
      </c>
      <c r="TZW64" s="857">
        <f t="shared" si="264"/>
        <v>0</v>
      </c>
      <c r="TZX64" s="857">
        <f t="shared" si="264"/>
        <v>0</v>
      </c>
      <c r="TZY64" s="857">
        <f t="shared" si="264"/>
        <v>0</v>
      </c>
      <c r="TZZ64" s="857">
        <f t="shared" si="264"/>
        <v>0</v>
      </c>
      <c r="UAA64" s="857">
        <f t="shared" si="264"/>
        <v>0</v>
      </c>
      <c r="UAB64" s="857">
        <f t="shared" si="264"/>
        <v>0</v>
      </c>
      <c r="UAC64" s="857">
        <f t="shared" si="264"/>
        <v>0</v>
      </c>
      <c r="UAD64" s="857">
        <f t="shared" si="264"/>
        <v>0</v>
      </c>
      <c r="UAE64" s="857">
        <f t="shared" si="264"/>
        <v>0</v>
      </c>
      <c r="UAF64" s="857">
        <f t="shared" si="264"/>
        <v>0</v>
      </c>
      <c r="UAG64" s="857">
        <f t="shared" si="264"/>
        <v>0</v>
      </c>
      <c r="UAH64" s="857">
        <f t="shared" si="264"/>
        <v>0</v>
      </c>
      <c r="UAI64" s="857">
        <f t="shared" si="264"/>
        <v>0</v>
      </c>
      <c r="UAJ64" s="857">
        <f t="shared" si="264"/>
        <v>0</v>
      </c>
      <c r="UAK64" s="857">
        <f t="shared" si="264"/>
        <v>0</v>
      </c>
      <c r="UAL64" s="857">
        <f t="shared" si="264"/>
        <v>0</v>
      </c>
      <c r="UAM64" s="857">
        <f t="shared" si="264"/>
        <v>0</v>
      </c>
      <c r="UAN64" s="857">
        <f t="shared" si="264"/>
        <v>0</v>
      </c>
      <c r="UAO64" s="857">
        <f t="shared" si="264"/>
        <v>0</v>
      </c>
      <c r="UAP64" s="857">
        <f t="shared" si="264"/>
        <v>0</v>
      </c>
      <c r="UAQ64" s="857">
        <f t="shared" si="264"/>
        <v>0</v>
      </c>
      <c r="UAR64" s="857">
        <f t="shared" si="264"/>
        <v>0</v>
      </c>
      <c r="UAS64" s="857">
        <f t="shared" si="264"/>
        <v>0</v>
      </c>
      <c r="UAT64" s="857">
        <f t="shared" si="264"/>
        <v>0</v>
      </c>
      <c r="UAU64" s="857">
        <f t="shared" si="264"/>
        <v>0</v>
      </c>
      <c r="UAV64" s="857">
        <f t="shared" si="264"/>
        <v>0</v>
      </c>
      <c r="UAW64" s="857">
        <f t="shared" si="264"/>
        <v>0</v>
      </c>
      <c r="UAX64" s="857">
        <f t="shared" si="264"/>
        <v>0</v>
      </c>
      <c r="UAY64" s="857">
        <f t="shared" si="264"/>
        <v>0</v>
      </c>
      <c r="UAZ64" s="857">
        <f t="shared" si="264"/>
        <v>0</v>
      </c>
      <c r="UBA64" s="857">
        <f t="shared" si="264"/>
        <v>0</v>
      </c>
      <c r="UBB64" s="857">
        <f t="shared" si="264"/>
        <v>0</v>
      </c>
      <c r="UBC64" s="857">
        <f t="shared" si="264"/>
        <v>0</v>
      </c>
      <c r="UBD64" s="857">
        <f t="shared" si="264"/>
        <v>0</v>
      </c>
      <c r="UBE64" s="857">
        <f t="shared" si="264"/>
        <v>0</v>
      </c>
      <c r="UBF64" s="857">
        <f t="shared" si="264"/>
        <v>0</v>
      </c>
      <c r="UBG64" s="857">
        <f t="shared" si="264"/>
        <v>0</v>
      </c>
      <c r="UBH64" s="857">
        <f t="shared" si="264"/>
        <v>0</v>
      </c>
      <c r="UBI64" s="857">
        <f t="shared" si="264"/>
        <v>0</v>
      </c>
      <c r="UBJ64" s="857">
        <f t="shared" si="264"/>
        <v>0</v>
      </c>
      <c r="UBK64" s="857">
        <f t="shared" si="264"/>
        <v>0</v>
      </c>
      <c r="UBL64" s="857">
        <f t="shared" si="264"/>
        <v>0</v>
      </c>
      <c r="UBM64" s="857">
        <f t="shared" si="264"/>
        <v>0</v>
      </c>
      <c r="UBN64" s="857">
        <f t="shared" si="264"/>
        <v>0</v>
      </c>
      <c r="UBO64" s="857">
        <f t="shared" si="264"/>
        <v>0</v>
      </c>
      <c r="UBP64" s="857">
        <f t="shared" si="264"/>
        <v>0</v>
      </c>
      <c r="UBQ64" s="857">
        <f t="shared" si="264"/>
        <v>0</v>
      </c>
      <c r="UBR64" s="857">
        <f t="shared" si="264"/>
        <v>0</v>
      </c>
      <c r="UBS64" s="857">
        <f t="shared" si="264"/>
        <v>0</v>
      </c>
      <c r="UBT64" s="857">
        <f t="shared" si="264"/>
        <v>0</v>
      </c>
      <c r="UBU64" s="857">
        <f t="shared" si="264"/>
        <v>0</v>
      </c>
      <c r="UBV64" s="857">
        <f t="shared" si="264"/>
        <v>0</v>
      </c>
      <c r="UBW64" s="857">
        <f t="shared" si="264"/>
        <v>0</v>
      </c>
      <c r="UBX64" s="857">
        <f t="shared" si="264"/>
        <v>0</v>
      </c>
      <c r="UBY64" s="857">
        <f t="shared" si="264"/>
        <v>0</v>
      </c>
      <c r="UBZ64" s="857">
        <f t="shared" si="264"/>
        <v>0</v>
      </c>
      <c r="UCA64" s="857">
        <f t="shared" si="264"/>
        <v>0</v>
      </c>
      <c r="UCB64" s="857">
        <f t="shared" si="264"/>
        <v>0</v>
      </c>
      <c r="UCC64" s="857">
        <f t="shared" si="264"/>
        <v>0</v>
      </c>
      <c r="UCD64" s="857">
        <f t="shared" ref="UCD64:UEO64" si="265">(UCD57-UCD59)*$C$64</f>
        <v>0</v>
      </c>
      <c r="UCE64" s="857">
        <f t="shared" si="265"/>
        <v>0</v>
      </c>
      <c r="UCF64" s="857">
        <f t="shared" si="265"/>
        <v>0</v>
      </c>
      <c r="UCG64" s="857">
        <f t="shared" si="265"/>
        <v>0</v>
      </c>
      <c r="UCH64" s="857">
        <f t="shared" si="265"/>
        <v>0</v>
      </c>
      <c r="UCI64" s="857">
        <f t="shared" si="265"/>
        <v>0</v>
      </c>
      <c r="UCJ64" s="857">
        <f t="shared" si="265"/>
        <v>0</v>
      </c>
      <c r="UCK64" s="857">
        <f t="shared" si="265"/>
        <v>0</v>
      </c>
      <c r="UCL64" s="857">
        <f t="shared" si="265"/>
        <v>0</v>
      </c>
      <c r="UCM64" s="857">
        <f t="shared" si="265"/>
        <v>0</v>
      </c>
      <c r="UCN64" s="857">
        <f t="shared" si="265"/>
        <v>0</v>
      </c>
      <c r="UCO64" s="857">
        <f t="shared" si="265"/>
        <v>0</v>
      </c>
      <c r="UCP64" s="857">
        <f t="shared" si="265"/>
        <v>0</v>
      </c>
      <c r="UCQ64" s="857">
        <f t="shared" si="265"/>
        <v>0</v>
      </c>
      <c r="UCR64" s="857">
        <f t="shared" si="265"/>
        <v>0</v>
      </c>
      <c r="UCS64" s="857">
        <f t="shared" si="265"/>
        <v>0</v>
      </c>
      <c r="UCT64" s="857">
        <f t="shared" si="265"/>
        <v>0</v>
      </c>
      <c r="UCU64" s="857">
        <f t="shared" si="265"/>
        <v>0</v>
      </c>
      <c r="UCV64" s="857">
        <f t="shared" si="265"/>
        <v>0</v>
      </c>
      <c r="UCW64" s="857">
        <f t="shared" si="265"/>
        <v>0</v>
      </c>
      <c r="UCX64" s="857">
        <f t="shared" si="265"/>
        <v>0</v>
      </c>
      <c r="UCY64" s="857">
        <f t="shared" si="265"/>
        <v>0</v>
      </c>
      <c r="UCZ64" s="857">
        <f t="shared" si="265"/>
        <v>0</v>
      </c>
      <c r="UDA64" s="857">
        <f t="shared" si="265"/>
        <v>0</v>
      </c>
      <c r="UDB64" s="857">
        <f t="shared" si="265"/>
        <v>0</v>
      </c>
      <c r="UDC64" s="857">
        <f t="shared" si="265"/>
        <v>0</v>
      </c>
      <c r="UDD64" s="857">
        <f t="shared" si="265"/>
        <v>0</v>
      </c>
      <c r="UDE64" s="857">
        <f t="shared" si="265"/>
        <v>0</v>
      </c>
      <c r="UDF64" s="857">
        <f t="shared" si="265"/>
        <v>0</v>
      </c>
      <c r="UDG64" s="857">
        <f t="shared" si="265"/>
        <v>0</v>
      </c>
      <c r="UDH64" s="857">
        <f t="shared" si="265"/>
        <v>0</v>
      </c>
      <c r="UDI64" s="857">
        <f t="shared" si="265"/>
        <v>0</v>
      </c>
      <c r="UDJ64" s="857">
        <f t="shared" si="265"/>
        <v>0</v>
      </c>
      <c r="UDK64" s="857">
        <f t="shared" si="265"/>
        <v>0</v>
      </c>
      <c r="UDL64" s="857">
        <f t="shared" si="265"/>
        <v>0</v>
      </c>
      <c r="UDM64" s="857">
        <f t="shared" si="265"/>
        <v>0</v>
      </c>
      <c r="UDN64" s="857">
        <f t="shared" si="265"/>
        <v>0</v>
      </c>
      <c r="UDO64" s="857">
        <f t="shared" si="265"/>
        <v>0</v>
      </c>
      <c r="UDP64" s="857">
        <f t="shared" si="265"/>
        <v>0</v>
      </c>
      <c r="UDQ64" s="857">
        <f t="shared" si="265"/>
        <v>0</v>
      </c>
      <c r="UDR64" s="857">
        <f t="shared" si="265"/>
        <v>0</v>
      </c>
      <c r="UDS64" s="857">
        <f t="shared" si="265"/>
        <v>0</v>
      </c>
      <c r="UDT64" s="857">
        <f t="shared" si="265"/>
        <v>0</v>
      </c>
      <c r="UDU64" s="857">
        <f t="shared" si="265"/>
        <v>0</v>
      </c>
      <c r="UDV64" s="857">
        <f t="shared" si="265"/>
        <v>0</v>
      </c>
      <c r="UDW64" s="857">
        <f t="shared" si="265"/>
        <v>0</v>
      </c>
      <c r="UDX64" s="857">
        <f t="shared" si="265"/>
        <v>0</v>
      </c>
      <c r="UDY64" s="857">
        <f t="shared" si="265"/>
        <v>0</v>
      </c>
      <c r="UDZ64" s="857">
        <f t="shared" si="265"/>
        <v>0</v>
      </c>
      <c r="UEA64" s="857">
        <f t="shared" si="265"/>
        <v>0</v>
      </c>
      <c r="UEB64" s="857">
        <f t="shared" si="265"/>
        <v>0</v>
      </c>
      <c r="UEC64" s="857">
        <f t="shared" si="265"/>
        <v>0</v>
      </c>
      <c r="UED64" s="857">
        <f t="shared" si="265"/>
        <v>0</v>
      </c>
      <c r="UEE64" s="857">
        <f t="shared" si="265"/>
        <v>0</v>
      </c>
      <c r="UEF64" s="857">
        <f t="shared" si="265"/>
        <v>0</v>
      </c>
      <c r="UEG64" s="857">
        <f t="shared" si="265"/>
        <v>0</v>
      </c>
      <c r="UEH64" s="857">
        <f t="shared" si="265"/>
        <v>0</v>
      </c>
      <c r="UEI64" s="857">
        <f t="shared" si="265"/>
        <v>0</v>
      </c>
      <c r="UEJ64" s="857">
        <f t="shared" si="265"/>
        <v>0</v>
      </c>
      <c r="UEK64" s="857">
        <f t="shared" si="265"/>
        <v>0</v>
      </c>
      <c r="UEL64" s="857">
        <f t="shared" si="265"/>
        <v>0</v>
      </c>
      <c r="UEM64" s="857">
        <f t="shared" si="265"/>
        <v>0</v>
      </c>
      <c r="UEN64" s="857">
        <f t="shared" si="265"/>
        <v>0</v>
      </c>
      <c r="UEO64" s="857">
        <f t="shared" si="265"/>
        <v>0</v>
      </c>
      <c r="UEP64" s="857">
        <f t="shared" ref="UEP64:UHA64" si="266">(UEP57-UEP59)*$C$64</f>
        <v>0</v>
      </c>
      <c r="UEQ64" s="857">
        <f t="shared" si="266"/>
        <v>0</v>
      </c>
      <c r="UER64" s="857">
        <f t="shared" si="266"/>
        <v>0</v>
      </c>
      <c r="UES64" s="857">
        <f t="shared" si="266"/>
        <v>0</v>
      </c>
      <c r="UET64" s="857">
        <f t="shared" si="266"/>
        <v>0</v>
      </c>
      <c r="UEU64" s="857">
        <f t="shared" si="266"/>
        <v>0</v>
      </c>
      <c r="UEV64" s="857">
        <f t="shared" si="266"/>
        <v>0</v>
      </c>
      <c r="UEW64" s="857">
        <f t="shared" si="266"/>
        <v>0</v>
      </c>
      <c r="UEX64" s="857">
        <f t="shared" si="266"/>
        <v>0</v>
      </c>
      <c r="UEY64" s="857">
        <f t="shared" si="266"/>
        <v>0</v>
      </c>
      <c r="UEZ64" s="857">
        <f t="shared" si="266"/>
        <v>0</v>
      </c>
      <c r="UFA64" s="857">
        <f t="shared" si="266"/>
        <v>0</v>
      </c>
      <c r="UFB64" s="857">
        <f t="shared" si="266"/>
        <v>0</v>
      </c>
      <c r="UFC64" s="857">
        <f t="shared" si="266"/>
        <v>0</v>
      </c>
      <c r="UFD64" s="857">
        <f t="shared" si="266"/>
        <v>0</v>
      </c>
      <c r="UFE64" s="857">
        <f t="shared" si="266"/>
        <v>0</v>
      </c>
      <c r="UFF64" s="857">
        <f t="shared" si="266"/>
        <v>0</v>
      </c>
      <c r="UFG64" s="857">
        <f t="shared" si="266"/>
        <v>0</v>
      </c>
      <c r="UFH64" s="857">
        <f t="shared" si="266"/>
        <v>0</v>
      </c>
      <c r="UFI64" s="857">
        <f t="shared" si="266"/>
        <v>0</v>
      </c>
      <c r="UFJ64" s="857">
        <f t="shared" si="266"/>
        <v>0</v>
      </c>
      <c r="UFK64" s="857">
        <f t="shared" si="266"/>
        <v>0</v>
      </c>
      <c r="UFL64" s="857">
        <f t="shared" si="266"/>
        <v>0</v>
      </c>
      <c r="UFM64" s="857">
        <f t="shared" si="266"/>
        <v>0</v>
      </c>
      <c r="UFN64" s="857">
        <f t="shared" si="266"/>
        <v>0</v>
      </c>
      <c r="UFO64" s="857">
        <f t="shared" si="266"/>
        <v>0</v>
      </c>
      <c r="UFP64" s="857">
        <f t="shared" si="266"/>
        <v>0</v>
      </c>
      <c r="UFQ64" s="857">
        <f t="shared" si="266"/>
        <v>0</v>
      </c>
      <c r="UFR64" s="857">
        <f t="shared" si="266"/>
        <v>0</v>
      </c>
      <c r="UFS64" s="857">
        <f t="shared" si="266"/>
        <v>0</v>
      </c>
      <c r="UFT64" s="857">
        <f t="shared" si="266"/>
        <v>0</v>
      </c>
      <c r="UFU64" s="857">
        <f t="shared" si="266"/>
        <v>0</v>
      </c>
      <c r="UFV64" s="857">
        <f t="shared" si="266"/>
        <v>0</v>
      </c>
      <c r="UFW64" s="857">
        <f t="shared" si="266"/>
        <v>0</v>
      </c>
      <c r="UFX64" s="857">
        <f t="shared" si="266"/>
        <v>0</v>
      </c>
      <c r="UFY64" s="857">
        <f t="shared" si="266"/>
        <v>0</v>
      </c>
      <c r="UFZ64" s="857">
        <f t="shared" si="266"/>
        <v>0</v>
      </c>
      <c r="UGA64" s="857">
        <f t="shared" si="266"/>
        <v>0</v>
      </c>
      <c r="UGB64" s="857">
        <f t="shared" si="266"/>
        <v>0</v>
      </c>
      <c r="UGC64" s="857">
        <f t="shared" si="266"/>
        <v>0</v>
      </c>
      <c r="UGD64" s="857">
        <f t="shared" si="266"/>
        <v>0</v>
      </c>
      <c r="UGE64" s="857">
        <f t="shared" si="266"/>
        <v>0</v>
      </c>
      <c r="UGF64" s="857">
        <f t="shared" si="266"/>
        <v>0</v>
      </c>
      <c r="UGG64" s="857">
        <f t="shared" si="266"/>
        <v>0</v>
      </c>
      <c r="UGH64" s="857">
        <f t="shared" si="266"/>
        <v>0</v>
      </c>
      <c r="UGI64" s="857">
        <f t="shared" si="266"/>
        <v>0</v>
      </c>
      <c r="UGJ64" s="857">
        <f t="shared" si="266"/>
        <v>0</v>
      </c>
      <c r="UGK64" s="857">
        <f t="shared" si="266"/>
        <v>0</v>
      </c>
      <c r="UGL64" s="857">
        <f t="shared" si="266"/>
        <v>0</v>
      </c>
      <c r="UGM64" s="857">
        <f t="shared" si="266"/>
        <v>0</v>
      </c>
      <c r="UGN64" s="857">
        <f t="shared" si="266"/>
        <v>0</v>
      </c>
      <c r="UGO64" s="857">
        <f t="shared" si="266"/>
        <v>0</v>
      </c>
      <c r="UGP64" s="857">
        <f t="shared" si="266"/>
        <v>0</v>
      </c>
      <c r="UGQ64" s="857">
        <f t="shared" si="266"/>
        <v>0</v>
      </c>
      <c r="UGR64" s="857">
        <f t="shared" si="266"/>
        <v>0</v>
      </c>
      <c r="UGS64" s="857">
        <f t="shared" si="266"/>
        <v>0</v>
      </c>
      <c r="UGT64" s="857">
        <f t="shared" si="266"/>
        <v>0</v>
      </c>
      <c r="UGU64" s="857">
        <f t="shared" si="266"/>
        <v>0</v>
      </c>
      <c r="UGV64" s="857">
        <f t="shared" si="266"/>
        <v>0</v>
      </c>
      <c r="UGW64" s="857">
        <f t="shared" si="266"/>
        <v>0</v>
      </c>
      <c r="UGX64" s="857">
        <f t="shared" si="266"/>
        <v>0</v>
      </c>
      <c r="UGY64" s="857">
        <f t="shared" si="266"/>
        <v>0</v>
      </c>
      <c r="UGZ64" s="857">
        <f t="shared" si="266"/>
        <v>0</v>
      </c>
      <c r="UHA64" s="857">
        <f t="shared" si="266"/>
        <v>0</v>
      </c>
      <c r="UHB64" s="857">
        <f t="shared" ref="UHB64:UJM64" si="267">(UHB57-UHB59)*$C$64</f>
        <v>0</v>
      </c>
      <c r="UHC64" s="857">
        <f t="shared" si="267"/>
        <v>0</v>
      </c>
      <c r="UHD64" s="857">
        <f t="shared" si="267"/>
        <v>0</v>
      </c>
      <c r="UHE64" s="857">
        <f t="shared" si="267"/>
        <v>0</v>
      </c>
      <c r="UHF64" s="857">
        <f t="shared" si="267"/>
        <v>0</v>
      </c>
      <c r="UHG64" s="857">
        <f t="shared" si="267"/>
        <v>0</v>
      </c>
      <c r="UHH64" s="857">
        <f t="shared" si="267"/>
        <v>0</v>
      </c>
      <c r="UHI64" s="857">
        <f t="shared" si="267"/>
        <v>0</v>
      </c>
      <c r="UHJ64" s="857">
        <f t="shared" si="267"/>
        <v>0</v>
      </c>
      <c r="UHK64" s="857">
        <f t="shared" si="267"/>
        <v>0</v>
      </c>
      <c r="UHL64" s="857">
        <f t="shared" si="267"/>
        <v>0</v>
      </c>
      <c r="UHM64" s="857">
        <f t="shared" si="267"/>
        <v>0</v>
      </c>
      <c r="UHN64" s="857">
        <f t="shared" si="267"/>
        <v>0</v>
      </c>
      <c r="UHO64" s="857">
        <f t="shared" si="267"/>
        <v>0</v>
      </c>
      <c r="UHP64" s="857">
        <f t="shared" si="267"/>
        <v>0</v>
      </c>
      <c r="UHQ64" s="857">
        <f t="shared" si="267"/>
        <v>0</v>
      </c>
      <c r="UHR64" s="857">
        <f t="shared" si="267"/>
        <v>0</v>
      </c>
      <c r="UHS64" s="857">
        <f t="shared" si="267"/>
        <v>0</v>
      </c>
      <c r="UHT64" s="857">
        <f t="shared" si="267"/>
        <v>0</v>
      </c>
      <c r="UHU64" s="857">
        <f t="shared" si="267"/>
        <v>0</v>
      </c>
      <c r="UHV64" s="857">
        <f t="shared" si="267"/>
        <v>0</v>
      </c>
      <c r="UHW64" s="857">
        <f t="shared" si="267"/>
        <v>0</v>
      </c>
      <c r="UHX64" s="857">
        <f t="shared" si="267"/>
        <v>0</v>
      </c>
      <c r="UHY64" s="857">
        <f t="shared" si="267"/>
        <v>0</v>
      </c>
      <c r="UHZ64" s="857">
        <f t="shared" si="267"/>
        <v>0</v>
      </c>
      <c r="UIA64" s="857">
        <f t="shared" si="267"/>
        <v>0</v>
      </c>
      <c r="UIB64" s="857">
        <f t="shared" si="267"/>
        <v>0</v>
      </c>
      <c r="UIC64" s="857">
        <f t="shared" si="267"/>
        <v>0</v>
      </c>
      <c r="UID64" s="857">
        <f t="shared" si="267"/>
        <v>0</v>
      </c>
      <c r="UIE64" s="857">
        <f t="shared" si="267"/>
        <v>0</v>
      </c>
      <c r="UIF64" s="857">
        <f t="shared" si="267"/>
        <v>0</v>
      </c>
      <c r="UIG64" s="857">
        <f t="shared" si="267"/>
        <v>0</v>
      </c>
      <c r="UIH64" s="857">
        <f t="shared" si="267"/>
        <v>0</v>
      </c>
      <c r="UII64" s="857">
        <f t="shared" si="267"/>
        <v>0</v>
      </c>
      <c r="UIJ64" s="857">
        <f t="shared" si="267"/>
        <v>0</v>
      </c>
      <c r="UIK64" s="857">
        <f t="shared" si="267"/>
        <v>0</v>
      </c>
      <c r="UIL64" s="857">
        <f t="shared" si="267"/>
        <v>0</v>
      </c>
      <c r="UIM64" s="857">
        <f t="shared" si="267"/>
        <v>0</v>
      </c>
      <c r="UIN64" s="857">
        <f t="shared" si="267"/>
        <v>0</v>
      </c>
      <c r="UIO64" s="857">
        <f t="shared" si="267"/>
        <v>0</v>
      </c>
      <c r="UIP64" s="857">
        <f t="shared" si="267"/>
        <v>0</v>
      </c>
      <c r="UIQ64" s="857">
        <f t="shared" si="267"/>
        <v>0</v>
      </c>
      <c r="UIR64" s="857">
        <f t="shared" si="267"/>
        <v>0</v>
      </c>
      <c r="UIS64" s="857">
        <f t="shared" si="267"/>
        <v>0</v>
      </c>
      <c r="UIT64" s="857">
        <f t="shared" si="267"/>
        <v>0</v>
      </c>
      <c r="UIU64" s="857">
        <f t="shared" si="267"/>
        <v>0</v>
      </c>
      <c r="UIV64" s="857">
        <f t="shared" si="267"/>
        <v>0</v>
      </c>
      <c r="UIW64" s="857">
        <f t="shared" si="267"/>
        <v>0</v>
      </c>
      <c r="UIX64" s="857">
        <f t="shared" si="267"/>
        <v>0</v>
      </c>
      <c r="UIY64" s="857">
        <f t="shared" si="267"/>
        <v>0</v>
      </c>
      <c r="UIZ64" s="857">
        <f t="shared" si="267"/>
        <v>0</v>
      </c>
      <c r="UJA64" s="857">
        <f t="shared" si="267"/>
        <v>0</v>
      </c>
      <c r="UJB64" s="857">
        <f t="shared" si="267"/>
        <v>0</v>
      </c>
      <c r="UJC64" s="857">
        <f t="shared" si="267"/>
        <v>0</v>
      </c>
      <c r="UJD64" s="857">
        <f t="shared" si="267"/>
        <v>0</v>
      </c>
      <c r="UJE64" s="857">
        <f t="shared" si="267"/>
        <v>0</v>
      </c>
      <c r="UJF64" s="857">
        <f t="shared" si="267"/>
        <v>0</v>
      </c>
      <c r="UJG64" s="857">
        <f t="shared" si="267"/>
        <v>0</v>
      </c>
      <c r="UJH64" s="857">
        <f t="shared" si="267"/>
        <v>0</v>
      </c>
      <c r="UJI64" s="857">
        <f t="shared" si="267"/>
        <v>0</v>
      </c>
      <c r="UJJ64" s="857">
        <f t="shared" si="267"/>
        <v>0</v>
      </c>
      <c r="UJK64" s="857">
        <f t="shared" si="267"/>
        <v>0</v>
      </c>
      <c r="UJL64" s="857">
        <f t="shared" si="267"/>
        <v>0</v>
      </c>
      <c r="UJM64" s="857">
        <f t="shared" si="267"/>
        <v>0</v>
      </c>
      <c r="UJN64" s="857">
        <f t="shared" ref="UJN64:ULY64" si="268">(UJN57-UJN59)*$C$64</f>
        <v>0</v>
      </c>
      <c r="UJO64" s="857">
        <f t="shared" si="268"/>
        <v>0</v>
      </c>
      <c r="UJP64" s="857">
        <f t="shared" si="268"/>
        <v>0</v>
      </c>
      <c r="UJQ64" s="857">
        <f t="shared" si="268"/>
        <v>0</v>
      </c>
      <c r="UJR64" s="857">
        <f t="shared" si="268"/>
        <v>0</v>
      </c>
      <c r="UJS64" s="857">
        <f t="shared" si="268"/>
        <v>0</v>
      </c>
      <c r="UJT64" s="857">
        <f t="shared" si="268"/>
        <v>0</v>
      </c>
      <c r="UJU64" s="857">
        <f t="shared" si="268"/>
        <v>0</v>
      </c>
      <c r="UJV64" s="857">
        <f t="shared" si="268"/>
        <v>0</v>
      </c>
      <c r="UJW64" s="857">
        <f t="shared" si="268"/>
        <v>0</v>
      </c>
      <c r="UJX64" s="857">
        <f t="shared" si="268"/>
        <v>0</v>
      </c>
      <c r="UJY64" s="857">
        <f t="shared" si="268"/>
        <v>0</v>
      </c>
      <c r="UJZ64" s="857">
        <f t="shared" si="268"/>
        <v>0</v>
      </c>
      <c r="UKA64" s="857">
        <f t="shared" si="268"/>
        <v>0</v>
      </c>
      <c r="UKB64" s="857">
        <f t="shared" si="268"/>
        <v>0</v>
      </c>
      <c r="UKC64" s="857">
        <f t="shared" si="268"/>
        <v>0</v>
      </c>
      <c r="UKD64" s="857">
        <f t="shared" si="268"/>
        <v>0</v>
      </c>
      <c r="UKE64" s="857">
        <f t="shared" si="268"/>
        <v>0</v>
      </c>
      <c r="UKF64" s="857">
        <f t="shared" si="268"/>
        <v>0</v>
      </c>
      <c r="UKG64" s="857">
        <f t="shared" si="268"/>
        <v>0</v>
      </c>
      <c r="UKH64" s="857">
        <f t="shared" si="268"/>
        <v>0</v>
      </c>
      <c r="UKI64" s="857">
        <f t="shared" si="268"/>
        <v>0</v>
      </c>
      <c r="UKJ64" s="857">
        <f t="shared" si="268"/>
        <v>0</v>
      </c>
      <c r="UKK64" s="857">
        <f t="shared" si="268"/>
        <v>0</v>
      </c>
      <c r="UKL64" s="857">
        <f t="shared" si="268"/>
        <v>0</v>
      </c>
      <c r="UKM64" s="857">
        <f t="shared" si="268"/>
        <v>0</v>
      </c>
      <c r="UKN64" s="857">
        <f t="shared" si="268"/>
        <v>0</v>
      </c>
      <c r="UKO64" s="857">
        <f t="shared" si="268"/>
        <v>0</v>
      </c>
      <c r="UKP64" s="857">
        <f t="shared" si="268"/>
        <v>0</v>
      </c>
      <c r="UKQ64" s="857">
        <f t="shared" si="268"/>
        <v>0</v>
      </c>
      <c r="UKR64" s="857">
        <f t="shared" si="268"/>
        <v>0</v>
      </c>
      <c r="UKS64" s="857">
        <f t="shared" si="268"/>
        <v>0</v>
      </c>
      <c r="UKT64" s="857">
        <f t="shared" si="268"/>
        <v>0</v>
      </c>
      <c r="UKU64" s="857">
        <f t="shared" si="268"/>
        <v>0</v>
      </c>
      <c r="UKV64" s="857">
        <f t="shared" si="268"/>
        <v>0</v>
      </c>
      <c r="UKW64" s="857">
        <f t="shared" si="268"/>
        <v>0</v>
      </c>
      <c r="UKX64" s="857">
        <f t="shared" si="268"/>
        <v>0</v>
      </c>
      <c r="UKY64" s="857">
        <f t="shared" si="268"/>
        <v>0</v>
      </c>
      <c r="UKZ64" s="857">
        <f t="shared" si="268"/>
        <v>0</v>
      </c>
      <c r="ULA64" s="857">
        <f t="shared" si="268"/>
        <v>0</v>
      </c>
      <c r="ULB64" s="857">
        <f t="shared" si="268"/>
        <v>0</v>
      </c>
      <c r="ULC64" s="857">
        <f t="shared" si="268"/>
        <v>0</v>
      </c>
      <c r="ULD64" s="857">
        <f t="shared" si="268"/>
        <v>0</v>
      </c>
      <c r="ULE64" s="857">
        <f t="shared" si="268"/>
        <v>0</v>
      </c>
      <c r="ULF64" s="857">
        <f t="shared" si="268"/>
        <v>0</v>
      </c>
      <c r="ULG64" s="857">
        <f t="shared" si="268"/>
        <v>0</v>
      </c>
      <c r="ULH64" s="857">
        <f t="shared" si="268"/>
        <v>0</v>
      </c>
      <c r="ULI64" s="857">
        <f t="shared" si="268"/>
        <v>0</v>
      </c>
      <c r="ULJ64" s="857">
        <f t="shared" si="268"/>
        <v>0</v>
      </c>
      <c r="ULK64" s="857">
        <f t="shared" si="268"/>
        <v>0</v>
      </c>
      <c r="ULL64" s="857">
        <f t="shared" si="268"/>
        <v>0</v>
      </c>
      <c r="ULM64" s="857">
        <f t="shared" si="268"/>
        <v>0</v>
      </c>
      <c r="ULN64" s="857">
        <f t="shared" si="268"/>
        <v>0</v>
      </c>
      <c r="ULO64" s="857">
        <f t="shared" si="268"/>
        <v>0</v>
      </c>
      <c r="ULP64" s="857">
        <f t="shared" si="268"/>
        <v>0</v>
      </c>
      <c r="ULQ64" s="857">
        <f t="shared" si="268"/>
        <v>0</v>
      </c>
      <c r="ULR64" s="857">
        <f t="shared" si="268"/>
        <v>0</v>
      </c>
      <c r="ULS64" s="857">
        <f t="shared" si="268"/>
        <v>0</v>
      </c>
      <c r="ULT64" s="857">
        <f t="shared" si="268"/>
        <v>0</v>
      </c>
      <c r="ULU64" s="857">
        <f t="shared" si="268"/>
        <v>0</v>
      </c>
      <c r="ULV64" s="857">
        <f t="shared" si="268"/>
        <v>0</v>
      </c>
      <c r="ULW64" s="857">
        <f t="shared" si="268"/>
        <v>0</v>
      </c>
      <c r="ULX64" s="857">
        <f t="shared" si="268"/>
        <v>0</v>
      </c>
      <c r="ULY64" s="857">
        <f t="shared" si="268"/>
        <v>0</v>
      </c>
      <c r="ULZ64" s="857">
        <f t="shared" ref="ULZ64:UOK64" si="269">(ULZ57-ULZ59)*$C$64</f>
        <v>0</v>
      </c>
      <c r="UMA64" s="857">
        <f t="shared" si="269"/>
        <v>0</v>
      </c>
      <c r="UMB64" s="857">
        <f t="shared" si="269"/>
        <v>0</v>
      </c>
      <c r="UMC64" s="857">
        <f t="shared" si="269"/>
        <v>0</v>
      </c>
      <c r="UMD64" s="857">
        <f t="shared" si="269"/>
        <v>0</v>
      </c>
      <c r="UME64" s="857">
        <f t="shared" si="269"/>
        <v>0</v>
      </c>
      <c r="UMF64" s="857">
        <f t="shared" si="269"/>
        <v>0</v>
      </c>
      <c r="UMG64" s="857">
        <f t="shared" si="269"/>
        <v>0</v>
      </c>
      <c r="UMH64" s="857">
        <f t="shared" si="269"/>
        <v>0</v>
      </c>
      <c r="UMI64" s="857">
        <f t="shared" si="269"/>
        <v>0</v>
      </c>
      <c r="UMJ64" s="857">
        <f t="shared" si="269"/>
        <v>0</v>
      </c>
      <c r="UMK64" s="857">
        <f t="shared" si="269"/>
        <v>0</v>
      </c>
      <c r="UML64" s="857">
        <f t="shared" si="269"/>
        <v>0</v>
      </c>
      <c r="UMM64" s="857">
        <f t="shared" si="269"/>
        <v>0</v>
      </c>
      <c r="UMN64" s="857">
        <f t="shared" si="269"/>
        <v>0</v>
      </c>
      <c r="UMO64" s="857">
        <f t="shared" si="269"/>
        <v>0</v>
      </c>
      <c r="UMP64" s="857">
        <f t="shared" si="269"/>
        <v>0</v>
      </c>
      <c r="UMQ64" s="857">
        <f t="shared" si="269"/>
        <v>0</v>
      </c>
      <c r="UMR64" s="857">
        <f t="shared" si="269"/>
        <v>0</v>
      </c>
      <c r="UMS64" s="857">
        <f t="shared" si="269"/>
        <v>0</v>
      </c>
      <c r="UMT64" s="857">
        <f t="shared" si="269"/>
        <v>0</v>
      </c>
      <c r="UMU64" s="857">
        <f t="shared" si="269"/>
        <v>0</v>
      </c>
      <c r="UMV64" s="857">
        <f t="shared" si="269"/>
        <v>0</v>
      </c>
      <c r="UMW64" s="857">
        <f t="shared" si="269"/>
        <v>0</v>
      </c>
      <c r="UMX64" s="857">
        <f t="shared" si="269"/>
        <v>0</v>
      </c>
      <c r="UMY64" s="857">
        <f t="shared" si="269"/>
        <v>0</v>
      </c>
      <c r="UMZ64" s="857">
        <f t="shared" si="269"/>
        <v>0</v>
      </c>
      <c r="UNA64" s="857">
        <f t="shared" si="269"/>
        <v>0</v>
      </c>
      <c r="UNB64" s="857">
        <f t="shared" si="269"/>
        <v>0</v>
      </c>
      <c r="UNC64" s="857">
        <f t="shared" si="269"/>
        <v>0</v>
      </c>
      <c r="UND64" s="857">
        <f t="shared" si="269"/>
        <v>0</v>
      </c>
      <c r="UNE64" s="857">
        <f t="shared" si="269"/>
        <v>0</v>
      </c>
      <c r="UNF64" s="857">
        <f t="shared" si="269"/>
        <v>0</v>
      </c>
      <c r="UNG64" s="857">
        <f t="shared" si="269"/>
        <v>0</v>
      </c>
      <c r="UNH64" s="857">
        <f t="shared" si="269"/>
        <v>0</v>
      </c>
      <c r="UNI64" s="857">
        <f t="shared" si="269"/>
        <v>0</v>
      </c>
      <c r="UNJ64" s="857">
        <f t="shared" si="269"/>
        <v>0</v>
      </c>
      <c r="UNK64" s="857">
        <f t="shared" si="269"/>
        <v>0</v>
      </c>
      <c r="UNL64" s="857">
        <f t="shared" si="269"/>
        <v>0</v>
      </c>
      <c r="UNM64" s="857">
        <f t="shared" si="269"/>
        <v>0</v>
      </c>
      <c r="UNN64" s="857">
        <f t="shared" si="269"/>
        <v>0</v>
      </c>
      <c r="UNO64" s="857">
        <f t="shared" si="269"/>
        <v>0</v>
      </c>
      <c r="UNP64" s="857">
        <f t="shared" si="269"/>
        <v>0</v>
      </c>
      <c r="UNQ64" s="857">
        <f t="shared" si="269"/>
        <v>0</v>
      </c>
      <c r="UNR64" s="857">
        <f t="shared" si="269"/>
        <v>0</v>
      </c>
      <c r="UNS64" s="857">
        <f t="shared" si="269"/>
        <v>0</v>
      </c>
      <c r="UNT64" s="857">
        <f t="shared" si="269"/>
        <v>0</v>
      </c>
      <c r="UNU64" s="857">
        <f t="shared" si="269"/>
        <v>0</v>
      </c>
      <c r="UNV64" s="857">
        <f t="shared" si="269"/>
        <v>0</v>
      </c>
      <c r="UNW64" s="857">
        <f t="shared" si="269"/>
        <v>0</v>
      </c>
      <c r="UNX64" s="857">
        <f t="shared" si="269"/>
        <v>0</v>
      </c>
      <c r="UNY64" s="857">
        <f t="shared" si="269"/>
        <v>0</v>
      </c>
      <c r="UNZ64" s="857">
        <f t="shared" si="269"/>
        <v>0</v>
      </c>
      <c r="UOA64" s="857">
        <f t="shared" si="269"/>
        <v>0</v>
      </c>
      <c r="UOB64" s="857">
        <f t="shared" si="269"/>
        <v>0</v>
      </c>
      <c r="UOC64" s="857">
        <f t="shared" si="269"/>
        <v>0</v>
      </c>
      <c r="UOD64" s="857">
        <f t="shared" si="269"/>
        <v>0</v>
      </c>
      <c r="UOE64" s="857">
        <f t="shared" si="269"/>
        <v>0</v>
      </c>
      <c r="UOF64" s="857">
        <f t="shared" si="269"/>
        <v>0</v>
      </c>
      <c r="UOG64" s="857">
        <f t="shared" si="269"/>
        <v>0</v>
      </c>
      <c r="UOH64" s="857">
        <f t="shared" si="269"/>
        <v>0</v>
      </c>
      <c r="UOI64" s="857">
        <f t="shared" si="269"/>
        <v>0</v>
      </c>
      <c r="UOJ64" s="857">
        <f t="shared" si="269"/>
        <v>0</v>
      </c>
      <c r="UOK64" s="857">
        <f t="shared" si="269"/>
        <v>0</v>
      </c>
      <c r="UOL64" s="857">
        <f t="shared" ref="UOL64:UQW64" si="270">(UOL57-UOL59)*$C$64</f>
        <v>0</v>
      </c>
      <c r="UOM64" s="857">
        <f t="shared" si="270"/>
        <v>0</v>
      </c>
      <c r="UON64" s="857">
        <f t="shared" si="270"/>
        <v>0</v>
      </c>
      <c r="UOO64" s="857">
        <f t="shared" si="270"/>
        <v>0</v>
      </c>
      <c r="UOP64" s="857">
        <f t="shared" si="270"/>
        <v>0</v>
      </c>
      <c r="UOQ64" s="857">
        <f t="shared" si="270"/>
        <v>0</v>
      </c>
      <c r="UOR64" s="857">
        <f t="shared" si="270"/>
        <v>0</v>
      </c>
      <c r="UOS64" s="857">
        <f t="shared" si="270"/>
        <v>0</v>
      </c>
      <c r="UOT64" s="857">
        <f t="shared" si="270"/>
        <v>0</v>
      </c>
      <c r="UOU64" s="857">
        <f t="shared" si="270"/>
        <v>0</v>
      </c>
      <c r="UOV64" s="857">
        <f t="shared" si="270"/>
        <v>0</v>
      </c>
      <c r="UOW64" s="857">
        <f t="shared" si="270"/>
        <v>0</v>
      </c>
      <c r="UOX64" s="857">
        <f t="shared" si="270"/>
        <v>0</v>
      </c>
      <c r="UOY64" s="857">
        <f t="shared" si="270"/>
        <v>0</v>
      </c>
      <c r="UOZ64" s="857">
        <f t="shared" si="270"/>
        <v>0</v>
      </c>
      <c r="UPA64" s="857">
        <f t="shared" si="270"/>
        <v>0</v>
      </c>
      <c r="UPB64" s="857">
        <f t="shared" si="270"/>
        <v>0</v>
      </c>
      <c r="UPC64" s="857">
        <f t="shared" si="270"/>
        <v>0</v>
      </c>
      <c r="UPD64" s="857">
        <f t="shared" si="270"/>
        <v>0</v>
      </c>
      <c r="UPE64" s="857">
        <f t="shared" si="270"/>
        <v>0</v>
      </c>
      <c r="UPF64" s="857">
        <f t="shared" si="270"/>
        <v>0</v>
      </c>
      <c r="UPG64" s="857">
        <f t="shared" si="270"/>
        <v>0</v>
      </c>
      <c r="UPH64" s="857">
        <f t="shared" si="270"/>
        <v>0</v>
      </c>
      <c r="UPI64" s="857">
        <f t="shared" si="270"/>
        <v>0</v>
      </c>
      <c r="UPJ64" s="857">
        <f t="shared" si="270"/>
        <v>0</v>
      </c>
      <c r="UPK64" s="857">
        <f t="shared" si="270"/>
        <v>0</v>
      </c>
      <c r="UPL64" s="857">
        <f t="shared" si="270"/>
        <v>0</v>
      </c>
      <c r="UPM64" s="857">
        <f t="shared" si="270"/>
        <v>0</v>
      </c>
      <c r="UPN64" s="857">
        <f t="shared" si="270"/>
        <v>0</v>
      </c>
      <c r="UPO64" s="857">
        <f t="shared" si="270"/>
        <v>0</v>
      </c>
      <c r="UPP64" s="857">
        <f t="shared" si="270"/>
        <v>0</v>
      </c>
      <c r="UPQ64" s="857">
        <f t="shared" si="270"/>
        <v>0</v>
      </c>
      <c r="UPR64" s="857">
        <f t="shared" si="270"/>
        <v>0</v>
      </c>
      <c r="UPS64" s="857">
        <f t="shared" si="270"/>
        <v>0</v>
      </c>
      <c r="UPT64" s="857">
        <f t="shared" si="270"/>
        <v>0</v>
      </c>
      <c r="UPU64" s="857">
        <f t="shared" si="270"/>
        <v>0</v>
      </c>
      <c r="UPV64" s="857">
        <f t="shared" si="270"/>
        <v>0</v>
      </c>
      <c r="UPW64" s="857">
        <f t="shared" si="270"/>
        <v>0</v>
      </c>
      <c r="UPX64" s="857">
        <f t="shared" si="270"/>
        <v>0</v>
      </c>
      <c r="UPY64" s="857">
        <f t="shared" si="270"/>
        <v>0</v>
      </c>
      <c r="UPZ64" s="857">
        <f t="shared" si="270"/>
        <v>0</v>
      </c>
      <c r="UQA64" s="857">
        <f t="shared" si="270"/>
        <v>0</v>
      </c>
      <c r="UQB64" s="857">
        <f t="shared" si="270"/>
        <v>0</v>
      </c>
      <c r="UQC64" s="857">
        <f t="shared" si="270"/>
        <v>0</v>
      </c>
      <c r="UQD64" s="857">
        <f t="shared" si="270"/>
        <v>0</v>
      </c>
      <c r="UQE64" s="857">
        <f t="shared" si="270"/>
        <v>0</v>
      </c>
      <c r="UQF64" s="857">
        <f t="shared" si="270"/>
        <v>0</v>
      </c>
      <c r="UQG64" s="857">
        <f t="shared" si="270"/>
        <v>0</v>
      </c>
      <c r="UQH64" s="857">
        <f t="shared" si="270"/>
        <v>0</v>
      </c>
      <c r="UQI64" s="857">
        <f t="shared" si="270"/>
        <v>0</v>
      </c>
      <c r="UQJ64" s="857">
        <f t="shared" si="270"/>
        <v>0</v>
      </c>
      <c r="UQK64" s="857">
        <f t="shared" si="270"/>
        <v>0</v>
      </c>
      <c r="UQL64" s="857">
        <f t="shared" si="270"/>
        <v>0</v>
      </c>
      <c r="UQM64" s="857">
        <f t="shared" si="270"/>
        <v>0</v>
      </c>
      <c r="UQN64" s="857">
        <f t="shared" si="270"/>
        <v>0</v>
      </c>
      <c r="UQO64" s="857">
        <f t="shared" si="270"/>
        <v>0</v>
      </c>
      <c r="UQP64" s="857">
        <f t="shared" si="270"/>
        <v>0</v>
      </c>
      <c r="UQQ64" s="857">
        <f t="shared" si="270"/>
        <v>0</v>
      </c>
      <c r="UQR64" s="857">
        <f t="shared" si="270"/>
        <v>0</v>
      </c>
      <c r="UQS64" s="857">
        <f t="shared" si="270"/>
        <v>0</v>
      </c>
      <c r="UQT64" s="857">
        <f t="shared" si="270"/>
        <v>0</v>
      </c>
      <c r="UQU64" s="857">
        <f t="shared" si="270"/>
        <v>0</v>
      </c>
      <c r="UQV64" s="857">
        <f t="shared" si="270"/>
        <v>0</v>
      </c>
      <c r="UQW64" s="857">
        <f t="shared" si="270"/>
        <v>0</v>
      </c>
      <c r="UQX64" s="857">
        <f t="shared" ref="UQX64:UTI64" si="271">(UQX57-UQX59)*$C$64</f>
        <v>0</v>
      </c>
      <c r="UQY64" s="857">
        <f t="shared" si="271"/>
        <v>0</v>
      </c>
      <c r="UQZ64" s="857">
        <f t="shared" si="271"/>
        <v>0</v>
      </c>
      <c r="URA64" s="857">
        <f t="shared" si="271"/>
        <v>0</v>
      </c>
      <c r="URB64" s="857">
        <f t="shared" si="271"/>
        <v>0</v>
      </c>
      <c r="URC64" s="857">
        <f t="shared" si="271"/>
        <v>0</v>
      </c>
      <c r="URD64" s="857">
        <f t="shared" si="271"/>
        <v>0</v>
      </c>
      <c r="URE64" s="857">
        <f t="shared" si="271"/>
        <v>0</v>
      </c>
      <c r="URF64" s="857">
        <f t="shared" si="271"/>
        <v>0</v>
      </c>
      <c r="URG64" s="857">
        <f t="shared" si="271"/>
        <v>0</v>
      </c>
      <c r="URH64" s="857">
        <f t="shared" si="271"/>
        <v>0</v>
      </c>
      <c r="URI64" s="857">
        <f t="shared" si="271"/>
        <v>0</v>
      </c>
      <c r="URJ64" s="857">
        <f t="shared" si="271"/>
        <v>0</v>
      </c>
      <c r="URK64" s="857">
        <f t="shared" si="271"/>
        <v>0</v>
      </c>
      <c r="URL64" s="857">
        <f t="shared" si="271"/>
        <v>0</v>
      </c>
      <c r="URM64" s="857">
        <f t="shared" si="271"/>
        <v>0</v>
      </c>
      <c r="URN64" s="857">
        <f t="shared" si="271"/>
        <v>0</v>
      </c>
      <c r="URO64" s="857">
        <f t="shared" si="271"/>
        <v>0</v>
      </c>
      <c r="URP64" s="857">
        <f t="shared" si="271"/>
        <v>0</v>
      </c>
      <c r="URQ64" s="857">
        <f t="shared" si="271"/>
        <v>0</v>
      </c>
      <c r="URR64" s="857">
        <f t="shared" si="271"/>
        <v>0</v>
      </c>
      <c r="URS64" s="857">
        <f t="shared" si="271"/>
        <v>0</v>
      </c>
      <c r="URT64" s="857">
        <f t="shared" si="271"/>
        <v>0</v>
      </c>
      <c r="URU64" s="857">
        <f t="shared" si="271"/>
        <v>0</v>
      </c>
      <c r="URV64" s="857">
        <f t="shared" si="271"/>
        <v>0</v>
      </c>
      <c r="URW64" s="857">
        <f t="shared" si="271"/>
        <v>0</v>
      </c>
      <c r="URX64" s="857">
        <f t="shared" si="271"/>
        <v>0</v>
      </c>
      <c r="URY64" s="857">
        <f t="shared" si="271"/>
        <v>0</v>
      </c>
      <c r="URZ64" s="857">
        <f t="shared" si="271"/>
        <v>0</v>
      </c>
      <c r="USA64" s="857">
        <f t="shared" si="271"/>
        <v>0</v>
      </c>
      <c r="USB64" s="857">
        <f t="shared" si="271"/>
        <v>0</v>
      </c>
      <c r="USC64" s="857">
        <f t="shared" si="271"/>
        <v>0</v>
      </c>
      <c r="USD64" s="857">
        <f t="shared" si="271"/>
        <v>0</v>
      </c>
      <c r="USE64" s="857">
        <f t="shared" si="271"/>
        <v>0</v>
      </c>
      <c r="USF64" s="857">
        <f t="shared" si="271"/>
        <v>0</v>
      </c>
      <c r="USG64" s="857">
        <f t="shared" si="271"/>
        <v>0</v>
      </c>
      <c r="USH64" s="857">
        <f t="shared" si="271"/>
        <v>0</v>
      </c>
      <c r="USI64" s="857">
        <f t="shared" si="271"/>
        <v>0</v>
      </c>
      <c r="USJ64" s="857">
        <f t="shared" si="271"/>
        <v>0</v>
      </c>
      <c r="USK64" s="857">
        <f t="shared" si="271"/>
        <v>0</v>
      </c>
      <c r="USL64" s="857">
        <f t="shared" si="271"/>
        <v>0</v>
      </c>
      <c r="USM64" s="857">
        <f t="shared" si="271"/>
        <v>0</v>
      </c>
      <c r="USN64" s="857">
        <f t="shared" si="271"/>
        <v>0</v>
      </c>
      <c r="USO64" s="857">
        <f t="shared" si="271"/>
        <v>0</v>
      </c>
      <c r="USP64" s="857">
        <f t="shared" si="271"/>
        <v>0</v>
      </c>
      <c r="USQ64" s="857">
        <f t="shared" si="271"/>
        <v>0</v>
      </c>
      <c r="USR64" s="857">
        <f t="shared" si="271"/>
        <v>0</v>
      </c>
      <c r="USS64" s="857">
        <f t="shared" si="271"/>
        <v>0</v>
      </c>
      <c r="UST64" s="857">
        <f t="shared" si="271"/>
        <v>0</v>
      </c>
      <c r="USU64" s="857">
        <f t="shared" si="271"/>
        <v>0</v>
      </c>
      <c r="USV64" s="857">
        <f t="shared" si="271"/>
        <v>0</v>
      </c>
      <c r="USW64" s="857">
        <f t="shared" si="271"/>
        <v>0</v>
      </c>
      <c r="USX64" s="857">
        <f t="shared" si="271"/>
        <v>0</v>
      </c>
      <c r="USY64" s="857">
        <f t="shared" si="271"/>
        <v>0</v>
      </c>
      <c r="USZ64" s="857">
        <f t="shared" si="271"/>
        <v>0</v>
      </c>
      <c r="UTA64" s="857">
        <f t="shared" si="271"/>
        <v>0</v>
      </c>
      <c r="UTB64" s="857">
        <f t="shared" si="271"/>
        <v>0</v>
      </c>
      <c r="UTC64" s="857">
        <f t="shared" si="271"/>
        <v>0</v>
      </c>
      <c r="UTD64" s="857">
        <f t="shared" si="271"/>
        <v>0</v>
      </c>
      <c r="UTE64" s="857">
        <f t="shared" si="271"/>
        <v>0</v>
      </c>
      <c r="UTF64" s="857">
        <f t="shared" si="271"/>
        <v>0</v>
      </c>
      <c r="UTG64" s="857">
        <f t="shared" si="271"/>
        <v>0</v>
      </c>
      <c r="UTH64" s="857">
        <f t="shared" si="271"/>
        <v>0</v>
      </c>
      <c r="UTI64" s="857">
        <f t="shared" si="271"/>
        <v>0</v>
      </c>
      <c r="UTJ64" s="857">
        <f t="shared" ref="UTJ64:UVU64" si="272">(UTJ57-UTJ59)*$C$64</f>
        <v>0</v>
      </c>
      <c r="UTK64" s="857">
        <f t="shared" si="272"/>
        <v>0</v>
      </c>
      <c r="UTL64" s="857">
        <f t="shared" si="272"/>
        <v>0</v>
      </c>
      <c r="UTM64" s="857">
        <f t="shared" si="272"/>
        <v>0</v>
      </c>
      <c r="UTN64" s="857">
        <f t="shared" si="272"/>
        <v>0</v>
      </c>
      <c r="UTO64" s="857">
        <f t="shared" si="272"/>
        <v>0</v>
      </c>
      <c r="UTP64" s="857">
        <f t="shared" si="272"/>
        <v>0</v>
      </c>
      <c r="UTQ64" s="857">
        <f t="shared" si="272"/>
        <v>0</v>
      </c>
      <c r="UTR64" s="857">
        <f t="shared" si="272"/>
        <v>0</v>
      </c>
      <c r="UTS64" s="857">
        <f t="shared" si="272"/>
        <v>0</v>
      </c>
      <c r="UTT64" s="857">
        <f t="shared" si="272"/>
        <v>0</v>
      </c>
      <c r="UTU64" s="857">
        <f t="shared" si="272"/>
        <v>0</v>
      </c>
      <c r="UTV64" s="857">
        <f t="shared" si="272"/>
        <v>0</v>
      </c>
      <c r="UTW64" s="857">
        <f t="shared" si="272"/>
        <v>0</v>
      </c>
      <c r="UTX64" s="857">
        <f t="shared" si="272"/>
        <v>0</v>
      </c>
      <c r="UTY64" s="857">
        <f t="shared" si="272"/>
        <v>0</v>
      </c>
      <c r="UTZ64" s="857">
        <f t="shared" si="272"/>
        <v>0</v>
      </c>
      <c r="UUA64" s="857">
        <f t="shared" si="272"/>
        <v>0</v>
      </c>
      <c r="UUB64" s="857">
        <f t="shared" si="272"/>
        <v>0</v>
      </c>
      <c r="UUC64" s="857">
        <f t="shared" si="272"/>
        <v>0</v>
      </c>
      <c r="UUD64" s="857">
        <f t="shared" si="272"/>
        <v>0</v>
      </c>
      <c r="UUE64" s="857">
        <f t="shared" si="272"/>
        <v>0</v>
      </c>
      <c r="UUF64" s="857">
        <f t="shared" si="272"/>
        <v>0</v>
      </c>
      <c r="UUG64" s="857">
        <f t="shared" si="272"/>
        <v>0</v>
      </c>
      <c r="UUH64" s="857">
        <f t="shared" si="272"/>
        <v>0</v>
      </c>
      <c r="UUI64" s="857">
        <f t="shared" si="272"/>
        <v>0</v>
      </c>
      <c r="UUJ64" s="857">
        <f t="shared" si="272"/>
        <v>0</v>
      </c>
      <c r="UUK64" s="857">
        <f t="shared" si="272"/>
        <v>0</v>
      </c>
      <c r="UUL64" s="857">
        <f t="shared" si="272"/>
        <v>0</v>
      </c>
      <c r="UUM64" s="857">
        <f t="shared" si="272"/>
        <v>0</v>
      </c>
      <c r="UUN64" s="857">
        <f t="shared" si="272"/>
        <v>0</v>
      </c>
      <c r="UUO64" s="857">
        <f t="shared" si="272"/>
        <v>0</v>
      </c>
      <c r="UUP64" s="857">
        <f t="shared" si="272"/>
        <v>0</v>
      </c>
      <c r="UUQ64" s="857">
        <f t="shared" si="272"/>
        <v>0</v>
      </c>
      <c r="UUR64" s="857">
        <f t="shared" si="272"/>
        <v>0</v>
      </c>
      <c r="UUS64" s="857">
        <f t="shared" si="272"/>
        <v>0</v>
      </c>
      <c r="UUT64" s="857">
        <f t="shared" si="272"/>
        <v>0</v>
      </c>
      <c r="UUU64" s="857">
        <f t="shared" si="272"/>
        <v>0</v>
      </c>
      <c r="UUV64" s="857">
        <f t="shared" si="272"/>
        <v>0</v>
      </c>
      <c r="UUW64" s="857">
        <f t="shared" si="272"/>
        <v>0</v>
      </c>
      <c r="UUX64" s="857">
        <f t="shared" si="272"/>
        <v>0</v>
      </c>
      <c r="UUY64" s="857">
        <f t="shared" si="272"/>
        <v>0</v>
      </c>
      <c r="UUZ64" s="857">
        <f t="shared" si="272"/>
        <v>0</v>
      </c>
      <c r="UVA64" s="857">
        <f t="shared" si="272"/>
        <v>0</v>
      </c>
      <c r="UVB64" s="857">
        <f t="shared" si="272"/>
        <v>0</v>
      </c>
      <c r="UVC64" s="857">
        <f t="shared" si="272"/>
        <v>0</v>
      </c>
      <c r="UVD64" s="857">
        <f t="shared" si="272"/>
        <v>0</v>
      </c>
      <c r="UVE64" s="857">
        <f t="shared" si="272"/>
        <v>0</v>
      </c>
      <c r="UVF64" s="857">
        <f t="shared" si="272"/>
        <v>0</v>
      </c>
      <c r="UVG64" s="857">
        <f t="shared" si="272"/>
        <v>0</v>
      </c>
      <c r="UVH64" s="857">
        <f t="shared" si="272"/>
        <v>0</v>
      </c>
      <c r="UVI64" s="857">
        <f t="shared" si="272"/>
        <v>0</v>
      </c>
      <c r="UVJ64" s="857">
        <f t="shared" si="272"/>
        <v>0</v>
      </c>
      <c r="UVK64" s="857">
        <f t="shared" si="272"/>
        <v>0</v>
      </c>
      <c r="UVL64" s="857">
        <f t="shared" si="272"/>
        <v>0</v>
      </c>
      <c r="UVM64" s="857">
        <f t="shared" si="272"/>
        <v>0</v>
      </c>
      <c r="UVN64" s="857">
        <f t="shared" si="272"/>
        <v>0</v>
      </c>
      <c r="UVO64" s="857">
        <f t="shared" si="272"/>
        <v>0</v>
      </c>
      <c r="UVP64" s="857">
        <f t="shared" si="272"/>
        <v>0</v>
      </c>
      <c r="UVQ64" s="857">
        <f t="shared" si="272"/>
        <v>0</v>
      </c>
      <c r="UVR64" s="857">
        <f t="shared" si="272"/>
        <v>0</v>
      </c>
      <c r="UVS64" s="857">
        <f t="shared" si="272"/>
        <v>0</v>
      </c>
      <c r="UVT64" s="857">
        <f t="shared" si="272"/>
        <v>0</v>
      </c>
      <c r="UVU64" s="857">
        <f t="shared" si="272"/>
        <v>0</v>
      </c>
      <c r="UVV64" s="857">
        <f t="shared" ref="UVV64:UYG64" si="273">(UVV57-UVV59)*$C$64</f>
        <v>0</v>
      </c>
      <c r="UVW64" s="857">
        <f t="shared" si="273"/>
        <v>0</v>
      </c>
      <c r="UVX64" s="857">
        <f t="shared" si="273"/>
        <v>0</v>
      </c>
      <c r="UVY64" s="857">
        <f t="shared" si="273"/>
        <v>0</v>
      </c>
      <c r="UVZ64" s="857">
        <f t="shared" si="273"/>
        <v>0</v>
      </c>
      <c r="UWA64" s="857">
        <f t="shared" si="273"/>
        <v>0</v>
      </c>
      <c r="UWB64" s="857">
        <f t="shared" si="273"/>
        <v>0</v>
      </c>
      <c r="UWC64" s="857">
        <f t="shared" si="273"/>
        <v>0</v>
      </c>
      <c r="UWD64" s="857">
        <f t="shared" si="273"/>
        <v>0</v>
      </c>
      <c r="UWE64" s="857">
        <f t="shared" si="273"/>
        <v>0</v>
      </c>
      <c r="UWF64" s="857">
        <f t="shared" si="273"/>
        <v>0</v>
      </c>
      <c r="UWG64" s="857">
        <f t="shared" si="273"/>
        <v>0</v>
      </c>
      <c r="UWH64" s="857">
        <f t="shared" si="273"/>
        <v>0</v>
      </c>
      <c r="UWI64" s="857">
        <f t="shared" si="273"/>
        <v>0</v>
      </c>
      <c r="UWJ64" s="857">
        <f t="shared" si="273"/>
        <v>0</v>
      </c>
      <c r="UWK64" s="857">
        <f t="shared" si="273"/>
        <v>0</v>
      </c>
      <c r="UWL64" s="857">
        <f t="shared" si="273"/>
        <v>0</v>
      </c>
      <c r="UWM64" s="857">
        <f t="shared" si="273"/>
        <v>0</v>
      </c>
      <c r="UWN64" s="857">
        <f t="shared" si="273"/>
        <v>0</v>
      </c>
      <c r="UWO64" s="857">
        <f t="shared" si="273"/>
        <v>0</v>
      </c>
      <c r="UWP64" s="857">
        <f t="shared" si="273"/>
        <v>0</v>
      </c>
      <c r="UWQ64" s="857">
        <f t="shared" si="273"/>
        <v>0</v>
      </c>
      <c r="UWR64" s="857">
        <f t="shared" si="273"/>
        <v>0</v>
      </c>
      <c r="UWS64" s="857">
        <f t="shared" si="273"/>
        <v>0</v>
      </c>
      <c r="UWT64" s="857">
        <f t="shared" si="273"/>
        <v>0</v>
      </c>
      <c r="UWU64" s="857">
        <f t="shared" si="273"/>
        <v>0</v>
      </c>
      <c r="UWV64" s="857">
        <f t="shared" si="273"/>
        <v>0</v>
      </c>
      <c r="UWW64" s="857">
        <f t="shared" si="273"/>
        <v>0</v>
      </c>
      <c r="UWX64" s="857">
        <f t="shared" si="273"/>
        <v>0</v>
      </c>
      <c r="UWY64" s="857">
        <f t="shared" si="273"/>
        <v>0</v>
      </c>
      <c r="UWZ64" s="857">
        <f t="shared" si="273"/>
        <v>0</v>
      </c>
      <c r="UXA64" s="857">
        <f t="shared" si="273"/>
        <v>0</v>
      </c>
      <c r="UXB64" s="857">
        <f t="shared" si="273"/>
        <v>0</v>
      </c>
      <c r="UXC64" s="857">
        <f t="shared" si="273"/>
        <v>0</v>
      </c>
      <c r="UXD64" s="857">
        <f t="shared" si="273"/>
        <v>0</v>
      </c>
      <c r="UXE64" s="857">
        <f t="shared" si="273"/>
        <v>0</v>
      </c>
      <c r="UXF64" s="857">
        <f t="shared" si="273"/>
        <v>0</v>
      </c>
      <c r="UXG64" s="857">
        <f t="shared" si="273"/>
        <v>0</v>
      </c>
      <c r="UXH64" s="857">
        <f t="shared" si="273"/>
        <v>0</v>
      </c>
      <c r="UXI64" s="857">
        <f t="shared" si="273"/>
        <v>0</v>
      </c>
      <c r="UXJ64" s="857">
        <f t="shared" si="273"/>
        <v>0</v>
      </c>
      <c r="UXK64" s="857">
        <f t="shared" si="273"/>
        <v>0</v>
      </c>
      <c r="UXL64" s="857">
        <f t="shared" si="273"/>
        <v>0</v>
      </c>
      <c r="UXM64" s="857">
        <f t="shared" si="273"/>
        <v>0</v>
      </c>
      <c r="UXN64" s="857">
        <f t="shared" si="273"/>
        <v>0</v>
      </c>
      <c r="UXO64" s="857">
        <f t="shared" si="273"/>
        <v>0</v>
      </c>
      <c r="UXP64" s="857">
        <f t="shared" si="273"/>
        <v>0</v>
      </c>
      <c r="UXQ64" s="857">
        <f t="shared" si="273"/>
        <v>0</v>
      </c>
      <c r="UXR64" s="857">
        <f t="shared" si="273"/>
        <v>0</v>
      </c>
      <c r="UXS64" s="857">
        <f t="shared" si="273"/>
        <v>0</v>
      </c>
      <c r="UXT64" s="857">
        <f t="shared" si="273"/>
        <v>0</v>
      </c>
      <c r="UXU64" s="857">
        <f t="shared" si="273"/>
        <v>0</v>
      </c>
      <c r="UXV64" s="857">
        <f t="shared" si="273"/>
        <v>0</v>
      </c>
      <c r="UXW64" s="857">
        <f t="shared" si="273"/>
        <v>0</v>
      </c>
      <c r="UXX64" s="857">
        <f t="shared" si="273"/>
        <v>0</v>
      </c>
      <c r="UXY64" s="857">
        <f t="shared" si="273"/>
        <v>0</v>
      </c>
      <c r="UXZ64" s="857">
        <f t="shared" si="273"/>
        <v>0</v>
      </c>
      <c r="UYA64" s="857">
        <f t="shared" si="273"/>
        <v>0</v>
      </c>
      <c r="UYB64" s="857">
        <f t="shared" si="273"/>
        <v>0</v>
      </c>
      <c r="UYC64" s="857">
        <f t="shared" si="273"/>
        <v>0</v>
      </c>
      <c r="UYD64" s="857">
        <f t="shared" si="273"/>
        <v>0</v>
      </c>
      <c r="UYE64" s="857">
        <f t="shared" si="273"/>
        <v>0</v>
      </c>
      <c r="UYF64" s="857">
        <f t="shared" si="273"/>
        <v>0</v>
      </c>
      <c r="UYG64" s="857">
        <f t="shared" si="273"/>
        <v>0</v>
      </c>
      <c r="UYH64" s="857">
        <f t="shared" ref="UYH64:VAS64" si="274">(UYH57-UYH59)*$C$64</f>
        <v>0</v>
      </c>
      <c r="UYI64" s="857">
        <f t="shared" si="274"/>
        <v>0</v>
      </c>
      <c r="UYJ64" s="857">
        <f t="shared" si="274"/>
        <v>0</v>
      </c>
      <c r="UYK64" s="857">
        <f t="shared" si="274"/>
        <v>0</v>
      </c>
      <c r="UYL64" s="857">
        <f t="shared" si="274"/>
        <v>0</v>
      </c>
      <c r="UYM64" s="857">
        <f t="shared" si="274"/>
        <v>0</v>
      </c>
      <c r="UYN64" s="857">
        <f t="shared" si="274"/>
        <v>0</v>
      </c>
      <c r="UYO64" s="857">
        <f t="shared" si="274"/>
        <v>0</v>
      </c>
      <c r="UYP64" s="857">
        <f t="shared" si="274"/>
        <v>0</v>
      </c>
      <c r="UYQ64" s="857">
        <f t="shared" si="274"/>
        <v>0</v>
      </c>
      <c r="UYR64" s="857">
        <f t="shared" si="274"/>
        <v>0</v>
      </c>
      <c r="UYS64" s="857">
        <f t="shared" si="274"/>
        <v>0</v>
      </c>
      <c r="UYT64" s="857">
        <f t="shared" si="274"/>
        <v>0</v>
      </c>
      <c r="UYU64" s="857">
        <f t="shared" si="274"/>
        <v>0</v>
      </c>
      <c r="UYV64" s="857">
        <f t="shared" si="274"/>
        <v>0</v>
      </c>
      <c r="UYW64" s="857">
        <f t="shared" si="274"/>
        <v>0</v>
      </c>
      <c r="UYX64" s="857">
        <f t="shared" si="274"/>
        <v>0</v>
      </c>
      <c r="UYY64" s="857">
        <f t="shared" si="274"/>
        <v>0</v>
      </c>
      <c r="UYZ64" s="857">
        <f t="shared" si="274"/>
        <v>0</v>
      </c>
      <c r="UZA64" s="857">
        <f t="shared" si="274"/>
        <v>0</v>
      </c>
      <c r="UZB64" s="857">
        <f t="shared" si="274"/>
        <v>0</v>
      </c>
      <c r="UZC64" s="857">
        <f t="shared" si="274"/>
        <v>0</v>
      </c>
      <c r="UZD64" s="857">
        <f t="shared" si="274"/>
        <v>0</v>
      </c>
      <c r="UZE64" s="857">
        <f t="shared" si="274"/>
        <v>0</v>
      </c>
      <c r="UZF64" s="857">
        <f t="shared" si="274"/>
        <v>0</v>
      </c>
      <c r="UZG64" s="857">
        <f t="shared" si="274"/>
        <v>0</v>
      </c>
      <c r="UZH64" s="857">
        <f t="shared" si="274"/>
        <v>0</v>
      </c>
      <c r="UZI64" s="857">
        <f t="shared" si="274"/>
        <v>0</v>
      </c>
      <c r="UZJ64" s="857">
        <f t="shared" si="274"/>
        <v>0</v>
      </c>
      <c r="UZK64" s="857">
        <f t="shared" si="274"/>
        <v>0</v>
      </c>
      <c r="UZL64" s="857">
        <f t="shared" si="274"/>
        <v>0</v>
      </c>
      <c r="UZM64" s="857">
        <f t="shared" si="274"/>
        <v>0</v>
      </c>
      <c r="UZN64" s="857">
        <f t="shared" si="274"/>
        <v>0</v>
      </c>
      <c r="UZO64" s="857">
        <f t="shared" si="274"/>
        <v>0</v>
      </c>
      <c r="UZP64" s="857">
        <f t="shared" si="274"/>
        <v>0</v>
      </c>
      <c r="UZQ64" s="857">
        <f t="shared" si="274"/>
        <v>0</v>
      </c>
      <c r="UZR64" s="857">
        <f t="shared" si="274"/>
        <v>0</v>
      </c>
      <c r="UZS64" s="857">
        <f t="shared" si="274"/>
        <v>0</v>
      </c>
      <c r="UZT64" s="857">
        <f t="shared" si="274"/>
        <v>0</v>
      </c>
      <c r="UZU64" s="857">
        <f t="shared" si="274"/>
        <v>0</v>
      </c>
      <c r="UZV64" s="857">
        <f t="shared" si="274"/>
        <v>0</v>
      </c>
      <c r="UZW64" s="857">
        <f t="shared" si="274"/>
        <v>0</v>
      </c>
      <c r="UZX64" s="857">
        <f t="shared" si="274"/>
        <v>0</v>
      </c>
      <c r="UZY64" s="857">
        <f t="shared" si="274"/>
        <v>0</v>
      </c>
      <c r="UZZ64" s="857">
        <f t="shared" si="274"/>
        <v>0</v>
      </c>
      <c r="VAA64" s="857">
        <f t="shared" si="274"/>
        <v>0</v>
      </c>
      <c r="VAB64" s="857">
        <f t="shared" si="274"/>
        <v>0</v>
      </c>
      <c r="VAC64" s="857">
        <f t="shared" si="274"/>
        <v>0</v>
      </c>
      <c r="VAD64" s="857">
        <f t="shared" si="274"/>
        <v>0</v>
      </c>
      <c r="VAE64" s="857">
        <f t="shared" si="274"/>
        <v>0</v>
      </c>
      <c r="VAF64" s="857">
        <f t="shared" si="274"/>
        <v>0</v>
      </c>
      <c r="VAG64" s="857">
        <f t="shared" si="274"/>
        <v>0</v>
      </c>
      <c r="VAH64" s="857">
        <f t="shared" si="274"/>
        <v>0</v>
      </c>
      <c r="VAI64" s="857">
        <f t="shared" si="274"/>
        <v>0</v>
      </c>
      <c r="VAJ64" s="857">
        <f t="shared" si="274"/>
        <v>0</v>
      </c>
      <c r="VAK64" s="857">
        <f t="shared" si="274"/>
        <v>0</v>
      </c>
      <c r="VAL64" s="857">
        <f t="shared" si="274"/>
        <v>0</v>
      </c>
      <c r="VAM64" s="857">
        <f t="shared" si="274"/>
        <v>0</v>
      </c>
      <c r="VAN64" s="857">
        <f t="shared" si="274"/>
        <v>0</v>
      </c>
      <c r="VAO64" s="857">
        <f t="shared" si="274"/>
        <v>0</v>
      </c>
      <c r="VAP64" s="857">
        <f t="shared" si="274"/>
        <v>0</v>
      </c>
      <c r="VAQ64" s="857">
        <f t="shared" si="274"/>
        <v>0</v>
      </c>
      <c r="VAR64" s="857">
        <f t="shared" si="274"/>
        <v>0</v>
      </c>
      <c r="VAS64" s="857">
        <f t="shared" si="274"/>
        <v>0</v>
      </c>
      <c r="VAT64" s="857">
        <f t="shared" ref="VAT64:VDE64" si="275">(VAT57-VAT59)*$C$64</f>
        <v>0</v>
      </c>
      <c r="VAU64" s="857">
        <f t="shared" si="275"/>
        <v>0</v>
      </c>
      <c r="VAV64" s="857">
        <f t="shared" si="275"/>
        <v>0</v>
      </c>
      <c r="VAW64" s="857">
        <f t="shared" si="275"/>
        <v>0</v>
      </c>
      <c r="VAX64" s="857">
        <f t="shared" si="275"/>
        <v>0</v>
      </c>
      <c r="VAY64" s="857">
        <f t="shared" si="275"/>
        <v>0</v>
      </c>
      <c r="VAZ64" s="857">
        <f t="shared" si="275"/>
        <v>0</v>
      </c>
      <c r="VBA64" s="857">
        <f t="shared" si="275"/>
        <v>0</v>
      </c>
      <c r="VBB64" s="857">
        <f t="shared" si="275"/>
        <v>0</v>
      </c>
      <c r="VBC64" s="857">
        <f t="shared" si="275"/>
        <v>0</v>
      </c>
      <c r="VBD64" s="857">
        <f t="shared" si="275"/>
        <v>0</v>
      </c>
      <c r="VBE64" s="857">
        <f t="shared" si="275"/>
        <v>0</v>
      </c>
      <c r="VBF64" s="857">
        <f t="shared" si="275"/>
        <v>0</v>
      </c>
      <c r="VBG64" s="857">
        <f t="shared" si="275"/>
        <v>0</v>
      </c>
      <c r="VBH64" s="857">
        <f t="shared" si="275"/>
        <v>0</v>
      </c>
      <c r="VBI64" s="857">
        <f t="shared" si="275"/>
        <v>0</v>
      </c>
      <c r="VBJ64" s="857">
        <f t="shared" si="275"/>
        <v>0</v>
      </c>
      <c r="VBK64" s="857">
        <f t="shared" si="275"/>
        <v>0</v>
      </c>
      <c r="VBL64" s="857">
        <f t="shared" si="275"/>
        <v>0</v>
      </c>
      <c r="VBM64" s="857">
        <f t="shared" si="275"/>
        <v>0</v>
      </c>
      <c r="VBN64" s="857">
        <f t="shared" si="275"/>
        <v>0</v>
      </c>
      <c r="VBO64" s="857">
        <f t="shared" si="275"/>
        <v>0</v>
      </c>
      <c r="VBP64" s="857">
        <f t="shared" si="275"/>
        <v>0</v>
      </c>
      <c r="VBQ64" s="857">
        <f t="shared" si="275"/>
        <v>0</v>
      </c>
      <c r="VBR64" s="857">
        <f t="shared" si="275"/>
        <v>0</v>
      </c>
      <c r="VBS64" s="857">
        <f t="shared" si="275"/>
        <v>0</v>
      </c>
      <c r="VBT64" s="857">
        <f t="shared" si="275"/>
        <v>0</v>
      </c>
      <c r="VBU64" s="857">
        <f t="shared" si="275"/>
        <v>0</v>
      </c>
      <c r="VBV64" s="857">
        <f t="shared" si="275"/>
        <v>0</v>
      </c>
      <c r="VBW64" s="857">
        <f t="shared" si="275"/>
        <v>0</v>
      </c>
      <c r="VBX64" s="857">
        <f t="shared" si="275"/>
        <v>0</v>
      </c>
      <c r="VBY64" s="857">
        <f t="shared" si="275"/>
        <v>0</v>
      </c>
      <c r="VBZ64" s="857">
        <f t="shared" si="275"/>
        <v>0</v>
      </c>
      <c r="VCA64" s="857">
        <f t="shared" si="275"/>
        <v>0</v>
      </c>
      <c r="VCB64" s="857">
        <f t="shared" si="275"/>
        <v>0</v>
      </c>
      <c r="VCC64" s="857">
        <f t="shared" si="275"/>
        <v>0</v>
      </c>
      <c r="VCD64" s="857">
        <f t="shared" si="275"/>
        <v>0</v>
      </c>
      <c r="VCE64" s="857">
        <f t="shared" si="275"/>
        <v>0</v>
      </c>
      <c r="VCF64" s="857">
        <f t="shared" si="275"/>
        <v>0</v>
      </c>
      <c r="VCG64" s="857">
        <f t="shared" si="275"/>
        <v>0</v>
      </c>
      <c r="VCH64" s="857">
        <f t="shared" si="275"/>
        <v>0</v>
      </c>
      <c r="VCI64" s="857">
        <f t="shared" si="275"/>
        <v>0</v>
      </c>
      <c r="VCJ64" s="857">
        <f t="shared" si="275"/>
        <v>0</v>
      </c>
      <c r="VCK64" s="857">
        <f t="shared" si="275"/>
        <v>0</v>
      </c>
      <c r="VCL64" s="857">
        <f t="shared" si="275"/>
        <v>0</v>
      </c>
      <c r="VCM64" s="857">
        <f t="shared" si="275"/>
        <v>0</v>
      </c>
      <c r="VCN64" s="857">
        <f t="shared" si="275"/>
        <v>0</v>
      </c>
      <c r="VCO64" s="857">
        <f t="shared" si="275"/>
        <v>0</v>
      </c>
      <c r="VCP64" s="857">
        <f t="shared" si="275"/>
        <v>0</v>
      </c>
      <c r="VCQ64" s="857">
        <f t="shared" si="275"/>
        <v>0</v>
      </c>
      <c r="VCR64" s="857">
        <f t="shared" si="275"/>
        <v>0</v>
      </c>
      <c r="VCS64" s="857">
        <f t="shared" si="275"/>
        <v>0</v>
      </c>
      <c r="VCT64" s="857">
        <f t="shared" si="275"/>
        <v>0</v>
      </c>
      <c r="VCU64" s="857">
        <f t="shared" si="275"/>
        <v>0</v>
      </c>
      <c r="VCV64" s="857">
        <f t="shared" si="275"/>
        <v>0</v>
      </c>
      <c r="VCW64" s="857">
        <f t="shared" si="275"/>
        <v>0</v>
      </c>
      <c r="VCX64" s="857">
        <f t="shared" si="275"/>
        <v>0</v>
      </c>
      <c r="VCY64" s="857">
        <f t="shared" si="275"/>
        <v>0</v>
      </c>
      <c r="VCZ64" s="857">
        <f t="shared" si="275"/>
        <v>0</v>
      </c>
      <c r="VDA64" s="857">
        <f t="shared" si="275"/>
        <v>0</v>
      </c>
      <c r="VDB64" s="857">
        <f t="shared" si="275"/>
        <v>0</v>
      </c>
      <c r="VDC64" s="857">
        <f t="shared" si="275"/>
        <v>0</v>
      </c>
      <c r="VDD64" s="857">
        <f t="shared" si="275"/>
        <v>0</v>
      </c>
      <c r="VDE64" s="857">
        <f t="shared" si="275"/>
        <v>0</v>
      </c>
      <c r="VDF64" s="857">
        <f t="shared" ref="VDF64:VFQ64" si="276">(VDF57-VDF59)*$C$64</f>
        <v>0</v>
      </c>
      <c r="VDG64" s="857">
        <f t="shared" si="276"/>
        <v>0</v>
      </c>
      <c r="VDH64" s="857">
        <f t="shared" si="276"/>
        <v>0</v>
      </c>
      <c r="VDI64" s="857">
        <f t="shared" si="276"/>
        <v>0</v>
      </c>
      <c r="VDJ64" s="857">
        <f t="shared" si="276"/>
        <v>0</v>
      </c>
      <c r="VDK64" s="857">
        <f t="shared" si="276"/>
        <v>0</v>
      </c>
      <c r="VDL64" s="857">
        <f t="shared" si="276"/>
        <v>0</v>
      </c>
      <c r="VDM64" s="857">
        <f t="shared" si="276"/>
        <v>0</v>
      </c>
      <c r="VDN64" s="857">
        <f t="shared" si="276"/>
        <v>0</v>
      </c>
      <c r="VDO64" s="857">
        <f t="shared" si="276"/>
        <v>0</v>
      </c>
      <c r="VDP64" s="857">
        <f t="shared" si="276"/>
        <v>0</v>
      </c>
      <c r="VDQ64" s="857">
        <f t="shared" si="276"/>
        <v>0</v>
      </c>
      <c r="VDR64" s="857">
        <f t="shared" si="276"/>
        <v>0</v>
      </c>
      <c r="VDS64" s="857">
        <f t="shared" si="276"/>
        <v>0</v>
      </c>
      <c r="VDT64" s="857">
        <f t="shared" si="276"/>
        <v>0</v>
      </c>
      <c r="VDU64" s="857">
        <f t="shared" si="276"/>
        <v>0</v>
      </c>
      <c r="VDV64" s="857">
        <f t="shared" si="276"/>
        <v>0</v>
      </c>
      <c r="VDW64" s="857">
        <f t="shared" si="276"/>
        <v>0</v>
      </c>
      <c r="VDX64" s="857">
        <f t="shared" si="276"/>
        <v>0</v>
      </c>
      <c r="VDY64" s="857">
        <f t="shared" si="276"/>
        <v>0</v>
      </c>
      <c r="VDZ64" s="857">
        <f t="shared" si="276"/>
        <v>0</v>
      </c>
      <c r="VEA64" s="857">
        <f t="shared" si="276"/>
        <v>0</v>
      </c>
      <c r="VEB64" s="857">
        <f t="shared" si="276"/>
        <v>0</v>
      </c>
      <c r="VEC64" s="857">
        <f t="shared" si="276"/>
        <v>0</v>
      </c>
      <c r="VED64" s="857">
        <f t="shared" si="276"/>
        <v>0</v>
      </c>
      <c r="VEE64" s="857">
        <f t="shared" si="276"/>
        <v>0</v>
      </c>
      <c r="VEF64" s="857">
        <f t="shared" si="276"/>
        <v>0</v>
      </c>
      <c r="VEG64" s="857">
        <f t="shared" si="276"/>
        <v>0</v>
      </c>
      <c r="VEH64" s="857">
        <f t="shared" si="276"/>
        <v>0</v>
      </c>
      <c r="VEI64" s="857">
        <f t="shared" si="276"/>
        <v>0</v>
      </c>
      <c r="VEJ64" s="857">
        <f t="shared" si="276"/>
        <v>0</v>
      </c>
      <c r="VEK64" s="857">
        <f t="shared" si="276"/>
        <v>0</v>
      </c>
      <c r="VEL64" s="857">
        <f t="shared" si="276"/>
        <v>0</v>
      </c>
      <c r="VEM64" s="857">
        <f t="shared" si="276"/>
        <v>0</v>
      </c>
      <c r="VEN64" s="857">
        <f t="shared" si="276"/>
        <v>0</v>
      </c>
      <c r="VEO64" s="857">
        <f t="shared" si="276"/>
        <v>0</v>
      </c>
      <c r="VEP64" s="857">
        <f t="shared" si="276"/>
        <v>0</v>
      </c>
      <c r="VEQ64" s="857">
        <f t="shared" si="276"/>
        <v>0</v>
      </c>
      <c r="VER64" s="857">
        <f t="shared" si="276"/>
        <v>0</v>
      </c>
      <c r="VES64" s="857">
        <f t="shared" si="276"/>
        <v>0</v>
      </c>
      <c r="VET64" s="857">
        <f t="shared" si="276"/>
        <v>0</v>
      </c>
      <c r="VEU64" s="857">
        <f t="shared" si="276"/>
        <v>0</v>
      </c>
      <c r="VEV64" s="857">
        <f t="shared" si="276"/>
        <v>0</v>
      </c>
      <c r="VEW64" s="857">
        <f t="shared" si="276"/>
        <v>0</v>
      </c>
      <c r="VEX64" s="857">
        <f t="shared" si="276"/>
        <v>0</v>
      </c>
      <c r="VEY64" s="857">
        <f t="shared" si="276"/>
        <v>0</v>
      </c>
      <c r="VEZ64" s="857">
        <f t="shared" si="276"/>
        <v>0</v>
      </c>
      <c r="VFA64" s="857">
        <f t="shared" si="276"/>
        <v>0</v>
      </c>
      <c r="VFB64" s="857">
        <f t="shared" si="276"/>
        <v>0</v>
      </c>
      <c r="VFC64" s="857">
        <f t="shared" si="276"/>
        <v>0</v>
      </c>
      <c r="VFD64" s="857">
        <f t="shared" si="276"/>
        <v>0</v>
      </c>
      <c r="VFE64" s="857">
        <f t="shared" si="276"/>
        <v>0</v>
      </c>
      <c r="VFF64" s="857">
        <f t="shared" si="276"/>
        <v>0</v>
      </c>
      <c r="VFG64" s="857">
        <f t="shared" si="276"/>
        <v>0</v>
      </c>
      <c r="VFH64" s="857">
        <f t="shared" si="276"/>
        <v>0</v>
      </c>
      <c r="VFI64" s="857">
        <f t="shared" si="276"/>
        <v>0</v>
      </c>
      <c r="VFJ64" s="857">
        <f t="shared" si="276"/>
        <v>0</v>
      </c>
      <c r="VFK64" s="857">
        <f t="shared" si="276"/>
        <v>0</v>
      </c>
      <c r="VFL64" s="857">
        <f t="shared" si="276"/>
        <v>0</v>
      </c>
      <c r="VFM64" s="857">
        <f t="shared" si="276"/>
        <v>0</v>
      </c>
      <c r="VFN64" s="857">
        <f t="shared" si="276"/>
        <v>0</v>
      </c>
      <c r="VFO64" s="857">
        <f t="shared" si="276"/>
        <v>0</v>
      </c>
      <c r="VFP64" s="857">
        <f t="shared" si="276"/>
        <v>0</v>
      </c>
      <c r="VFQ64" s="857">
        <f t="shared" si="276"/>
        <v>0</v>
      </c>
      <c r="VFR64" s="857">
        <f t="shared" ref="VFR64:VIC64" si="277">(VFR57-VFR59)*$C$64</f>
        <v>0</v>
      </c>
      <c r="VFS64" s="857">
        <f t="shared" si="277"/>
        <v>0</v>
      </c>
      <c r="VFT64" s="857">
        <f t="shared" si="277"/>
        <v>0</v>
      </c>
      <c r="VFU64" s="857">
        <f t="shared" si="277"/>
        <v>0</v>
      </c>
      <c r="VFV64" s="857">
        <f t="shared" si="277"/>
        <v>0</v>
      </c>
      <c r="VFW64" s="857">
        <f t="shared" si="277"/>
        <v>0</v>
      </c>
      <c r="VFX64" s="857">
        <f t="shared" si="277"/>
        <v>0</v>
      </c>
      <c r="VFY64" s="857">
        <f t="shared" si="277"/>
        <v>0</v>
      </c>
      <c r="VFZ64" s="857">
        <f t="shared" si="277"/>
        <v>0</v>
      </c>
      <c r="VGA64" s="857">
        <f t="shared" si="277"/>
        <v>0</v>
      </c>
      <c r="VGB64" s="857">
        <f t="shared" si="277"/>
        <v>0</v>
      </c>
      <c r="VGC64" s="857">
        <f t="shared" si="277"/>
        <v>0</v>
      </c>
      <c r="VGD64" s="857">
        <f t="shared" si="277"/>
        <v>0</v>
      </c>
      <c r="VGE64" s="857">
        <f t="shared" si="277"/>
        <v>0</v>
      </c>
      <c r="VGF64" s="857">
        <f t="shared" si="277"/>
        <v>0</v>
      </c>
      <c r="VGG64" s="857">
        <f t="shared" si="277"/>
        <v>0</v>
      </c>
      <c r="VGH64" s="857">
        <f t="shared" si="277"/>
        <v>0</v>
      </c>
      <c r="VGI64" s="857">
        <f t="shared" si="277"/>
        <v>0</v>
      </c>
      <c r="VGJ64" s="857">
        <f t="shared" si="277"/>
        <v>0</v>
      </c>
      <c r="VGK64" s="857">
        <f t="shared" si="277"/>
        <v>0</v>
      </c>
      <c r="VGL64" s="857">
        <f t="shared" si="277"/>
        <v>0</v>
      </c>
      <c r="VGM64" s="857">
        <f t="shared" si="277"/>
        <v>0</v>
      </c>
      <c r="VGN64" s="857">
        <f t="shared" si="277"/>
        <v>0</v>
      </c>
      <c r="VGO64" s="857">
        <f t="shared" si="277"/>
        <v>0</v>
      </c>
      <c r="VGP64" s="857">
        <f t="shared" si="277"/>
        <v>0</v>
      </c>
      <c r="VGQ64" s="857">
        <f t="shared" si="277"/>
        <v>0</v>
      </c>
      <c r="VGR64" s="857">
        <f t="shared" si="277"/>
        <v>0</v>
      </c>
      <c r="VGS64" s="857">
        <f t="shared" si="277"/>
        <v>0</v>
      </c>
      <c r="VGT64" s="857">
        <f t="shared" si="277"/>
        <v>0</v>
      </c>
      <c r="VGU64" s="857">
        <f t="shared" si="277"/>
        <v>0</v>
      </c>
      <c r="VGV64" s="857">
        <f t="shared" si="277"/>
        <v>0</v>
      </c>
      <c r="VGW64" s="857">
        <f t="shared" si="277"/>
        <v>0</v>
      </c>
      <c r="VGX64" s="857">
        <f t="shared" si="277"/>
        <v>0</v>
      </c>
      <c r="VGY64" s="857">
        <f t="shared" si="277"/>
        <v>0</v>
      </c>
      <c r="VGZ64" s="857">
        <f t="shared" si="277"/>
        <v>0</v>
      </c>
      <c r="VHA64" s="857">
        <f t="shared" si="277"/>
        <v>0</v>
      </c>
      <c r="VHB64" s="857">
        <f t="shared" si="277"/>
        <v>0</v>
      </c>
      <c r="VHC64" s="857">
        <f t="shared" si="277"/>
        <v>0</v>
      </c>
      <c r="VHD64" s="857">
        <f t="shared" si="277"/>
        <v>0</v>
      </c>
      <c r="VHE64" s="857">
        <f t="shared" si="277"/>
        <v>0</v>
      </c>
      <c r="VHF64" s="857">
        <f t="shared" si="277"/>
        <v>0</v>
      </c>
      <c r="VHG64" s="857">
        <f t="shared" si="277"/>
        <v>0</v>
      </c>
      <c r="VHH64" s="857">
        <f t="shared" si="277"/>
        <v>0</v>
      </c>
      <c r="VHI64" s="857">
        <f t="shared" si="277"/>
        <v>0</v>
      </c>
      <c r="VHJ64" s="857">
        <f t="shared" si="277"/>
        <v>0</v>
      </c>
      <c r="VHK64" s="857">
        <f t="shared" si="277"/>
        <v>0</v>
      </c>
      <c r="VHL64" s="857">
        <f t="shared" si="277"/>
        <v>0</v>
      </c>
      <c r="VHM64" s="857">
        <f t="shared" si="277"/>
        <v>0</v>
      </c>
      <c r="VHN64" s="857">
        <f t="shared" si="277"/>
        <v>0</v>
      </c>
      <c r="VHO64" s="857">
        <f t="shared" si="277"/>
        <v>0</v>
      </c>
      <c r="VHP64" s="857">
        <f t="shared" si="277"/>
        <v>0</v>
      </c>
      <c r="VHQ64" s="857">
        <f t="shared" si="277"/>
        <v>0</v>
      </c>
      <c r="VHR64" s="857">
        <f t="shared" si="277"/>
        <v>0</v>
      </c>
      <c r="VHS64" s="857">
        <f t="shared" si="277"/>
        <v>0</v>
      </c>
      <c r="VHT64" s="857">
        <f t="shared" si="277"/>
        <v>0</v>
      </c>
      <c r="VHU64" s="857">
        <f t="shared" si="277"/>
        <v>0</v>
      </c>
      <c r="VHV64" s="857">
        <f t="shared" si="277"/>
        <v>0</v>
      </c>
      <c r="VHW64" s="857">
        <f t="shared" si="277"/>
        <v>0</v>
      </c>
      <c r="VHX64" s="857">
        <f t="shared" si="277"/>
        <v>0</v>
      </c>
      <c r="VHY64" s="857">
        <f t="shared" si="277"/>
        <v>0</v>
      </c>
      <c r="VHZ64" s="857">
        <f t="shared" si="277"/>
        <v>0</v>
      </c>
      <c r="VIA64" s="857">
        <f t="shared" si="277"/>
        <v>0</v>
      </c>
      <c r="VIB64" s="857">
        <f t="shared" si="277"/>
        <v>0</v>
      </c>
      <c r="VIC64" s="857">
        <f t="shared" si="277"/>
        <v>0</v>
      </c>
      <c r="VID64" s="857">
        <f t="shared" ref="VID64:VKO64" si="278">(VID57-VID59)*$C$64</f>
        <v>0</v>
      </c>
      <c r="VIE64" s="857">
        <f t="shared" si="278"/>
        <v>0</v>
      </c>
      <c r="VIF64" s="857">
        <f t="shared" si="278"/>
        <v>0</v>
      </c>
      <c r="VIG64" s="857">
        <f t="shared" si="278"/>
        <v>0</v>
      </c>
      <c r="VIH64" s="857">
        <f t="shared" si="278"/>
        <v>0</v>
      </c>
      <c r="VII64" s="857">
        <f t="shared" si="278"/>
        <v>0</v>
      </c>
      <c r="VIJ64" s="857">
        <f t="shared" si="278"/>
        <v>0</v>
      </c>
      <c r="VIK64" s="857">
        <f t="shared" si="278"/>
        <v>0</v>
      </c>
      <c r="VIL64" s="857">
        <f t="shared" si="278"/>
        <v>0</v>
      </c>
      <c r="VIM64" s="857">
        <f t="shared" si="278"/>
        <v>0</v>
      </c>
      <c r="VIN64" s="857">
        <f t="shared" si="278"/>
        <v>0</v>
      </c>
      <c r="VIO64" s="857">
        <f t="shared" si="278"/>
        <v>0</v>
      </c>
      <c r="VIP64" s="857">
        <f t="shared" si="278"/>
        <v>0</v>
      </c>
      <c r="VIQ64" s="857">
        <f t="shared" si="278"/>
        <v>0</v>
      </c>
      <c r="VIR64" s="857">
        <f t="shared" si="278"/>
        <v>0</v>
      </c>
      <c r="VIS64" s="857">
        <f t="shared" si="278"/>
        <v>0</v>
      </c>
      <c r="VIT64" s="857">
        <f t="shared" si="278"/>
        <v>0</v>
      </c>
      <c r="VIU64" s="857">
        <f t="shared" si="278"/>
        <v>0</v>
      </c>
      <c r="VIV64" s="857">
        <f t="shared" si="278"/>
        <v>0</v>
      </c>
      <c r="VIW64" s="857">
        <f t="shared" si="278"/>
        <v>0</v>
      </c>
      <c r="VIX64" s="857">
        <f t="shared" si="278"/>
        <v>0</v>
      </c>
      <c r="VIY64" s="857">
        <f t="shared" si="278"/>
        <v>0</v>
      </c>
      <c r="VIZ64" s="857">
        <f t="shared" si="278"/>
        <v>0</v>
      </c>
      <c r="VJA64" s="857">
        <f t="shared" si="278"/>
        <v>0</v>
      </c>
      <c r="VJB64" s="857">
        <f t="shared" si="278"/>
        <v>0</v>
      </c>
      <c r="VJC64" s="857">
        <f t="shared" si="278"/>
        <v>0</v>
      </c>
      <c r="VJD64" s="857">
        <f t="shared" si="278"/>
        <v>0</v>
      </c>
      <c r="VJE64" s="857">
        <f t="shared" si="278"/>
        <v>0</v>
      </c>
      <c r="VJF64" s="857">
        <f t="shared" si="278"/>
        <v>0</v>
      </c>
      <c r="VJG64" s="857">
        <f t="shared" si="278"/>
        <v>0</v>
      </c>
      <c r="VJH64" s="857">
        <f t="shared" si="278"/>
        <v>0</v>
      </c>
      <c r="VJI64" s="857">
        <f t="shared" si="278"/>
        <v>0</v>
      </c>
      <c r="VJJ64" s="857">
        <f t="shared" si="278"/>
        <v>0</v>
      </c>
      <c r="VJK64" s="857">
        <f t="shared" si="278"/>
        <v>0</v>
      </c>
      <c r="VJL64" s="857">
        <f t="shared" si="278"/>
        <v>0</v>
      </c>
      <c r="VJM64" s="857">
        <f t="shared" si="278"/>
        <v>0</v>
      </c>
      <c r="VJN64" s="857">
        <f t="shared" si="278"/>
        <v>0</v>
      </c>
      <c r="VJO64" s="857">
        <f t="shared" si="278"/>
        <v>0</v>
      </c>
      <c r="VJP64" s="857">
        <f t="shared" si="278"/>
        <v>0</v>
      </c>
      <c r="VJQ64" s="857">
        <f t="shared" si="278"/>
        <v>0</v>
      </c>
      <c r="VJR64" s="857">
        <f t="shared" si="278"/>
        <v>0</v>
      </c>
      <c r="VJS64" s="857">
        <f t="shared" si="278"/>
        <v>0</v>
      </c>
      <c r="VJT64" s="857">
        <f t="shared" si="278"/>
        <v>0</v>
      </c>
      <c r="VJU64" s="857">
        <f t="shared" si="278"/>
        <v>0</v>
      </c>
      <c r="VJV64" s="857">
        <f t="shared" si="278"/>
        <v>0</v>
      </c>
      <c r="VJW64" s="857">
        <f t="shared" si="278"/>
        <v>0</v>
      </c>
      <c r="VJX64" s="857">
        <f t="shared" si="278"/>
        <v>0</v>
      </c>
      <c r="VJY64" s="857">
        <f t="shared" si="278"/>
        <v>0</v>
      </c>
      <c r="VJZ64" s="857">
        <f t="shared" si="278"/>
        <v>0</v>
      </c>
      <c r="VKA64" s="857">
        <f t="shared" si="278"/>
        <v>0</v>
      </c>
      <c r="VKB64" s="857">
        <f t="shared" si="278"/>
        <v>0</v>
      </c>
      <c r="VKC64" s="857">
        <f t="shared" si="278"/>
        <v>0</v>
      </c>
      <c r="VKD64" s="857">
        <f t="shared" si="278"/>
        <v>0</v>
      </c>
      <c r="VKE64" s="857">
        <f t="shared" si="278"/>
        <v>0</v>
      </c>
      <c r="VKF64" s="857">
        <f t="shared" si="278"/>
        <v>0</v>
      </c>
      <c r="VKG64" s="857">
        <f t="shared" si="278"/>
        <v>0</v>
      </c>
      <c r="VKH64" s="857">
        <f t="shared" si="278"/>
        <v>0</v>
      </c>
      <c r="VKI64" s="857">
        <f t="shared" si="278"/>
        <v>0</v>
      </c>
      <c r="VKJ64" s="857">
        <f t="shared" si="278"/>
        <v>0</v>
      </c>
      <c r="VKK64" s="857">
        <f t="shared" si="278"/>
        <v>0</v>
      </c>
      <c r="VKL64" s="857">
        <f t="shared" si="278"/>
        <v>0</v>
      </c>
      <c r="VKM64" s="857">
        <f t="shared" si="278"/>
        <v>0</v>
      </c>
      <c r="VKN64" s="857">
        <f t="shared" si="278"/>
        <v>0</v>
      </c>
      <c r="VKO64" s="857">
        <f t="shared" si="278"/>
        <v>0</v>
      </c>
      <c r="VKP64" s="857">
        <f t="shared" ref="VKP64:VNA64" si="279">(VKP57-VKP59)*$C$64</f>
        <v>0</v>
      </c>
      <c r="VKQ64" s="857">
        <f t="shared" si="279"/>
        <v>0</v>
      </c>
      <c r="VKR64" s="857">
        <f t="shared" si="279"/>
        <v>0</v>
      </c>
      <c r="VKS64" s="857">
        <f t="shared" si="279"/>
        <v>0</v>
      </c>
      <c r="VKT64" s="857">
        <f t="shared" si="279"/>
        <v>0</v>
      </c>
      <c r="VKU64" s="857">
        <f t="shared" si="279"/>
        <v>0</v>
      </c>
      <c r="VKV64" s="857">
        <f t="shared" si="279"/>
        <v>0</v>
      </c>
      <c r="VKW64" s="857">
        <f t="shared" si="279"/>
        <v>0</v>
      </c>
      <c r="VKX64" s="857">
        <f t="shared" si="279"/>
        <v>0</v>
      </c>
      <c r="VKY64" s="857">
        <f t="shared" si="279"/>
        <v>0</v>
      </c>
      <c r="VKZ64" s="857">
        <f t="shared" si="279"/>
        <v>0</v>
      </c>
      <c r="VLA64" s="857">
        <f t="shared" si="279"/>
        <v>0</v>
      </c>
      <c r="VLB64" s="857">
        <f t="shared" si="279"/>
        <v>0</v>
      </c>
      <c r="VLC64" s="857">
        <f t="shared" si="279"/>
        <v>0</v>
      </c>
      <c r="VLD64" s="857">
        <f t="shared" si="279"/>
        <v>0</v>
      </c>
      <c r="VLE64" s="857">
        <f t="shared" si="279"/>
        <v>0</v>
      </c>
      <c r="VLF64" s="857">
        <f t="shared" si="279"/>
        <v>0</v>
      </c>
      <c r="VLG64" s="857">
        <f t="shared" si="279"/>
        <v>0</v>
      </c>
      <c r="VLH64" s="857">
        <f t="shared" si="279"/>
        <v>0</v>
      </c>
      <c r="VLI64" s="857">
        <f t="shared" si="279"/>
        <v>0</v>
      </c>
      <c r="VLJ64" s="857">
        <f t="shared" si="279"/>
        <v>0</v>
      </c>
      <c r="VLK64" s="857">
        <f t="shared" si="279"/>
        <v>0</v>
      </c>
      <c r="VLL64" s="857">
        <f t="shared" si="279"/>
        <v>0</v>
      </c>
      <c r="VLM64" s="857">
        <f t="shared" si="279"/>
        <v>0</v>
      </c>
      <c r="VLN64" s="857">
        <f t="shared" si="279"/>
        <v>0</v>
      </c>
      <c r="VLO64" s="857">
        <f t="shared" si="279"/>
        <v>0</v>
      </c>
      <c r="VLP64" s="857">
        <f t="shared" si="279"/>
        <v>0</v>
      </c>
      <c r="VLQ64" s="857">
        <f t="shared" si="279"/>
        <v>0</v>
      </c>
      <c r="VLR64" s="857">
        <f t="shared" si="279"/>
        <v>0</v>
      </c>
      <c r="VLS64" s="857">
        <f t="shared" si="279"/>
        <v>0</v>
      </c>
      <c r="VLT64" s="857">
        <f t="shared" si="279"/>
        <v>0</v>
      </c>
      <c r="VLU64" s="857">
        <f t="shared" si="279"/>
        <v>0</v>
      </c>
      <c r="VLV64" s="857">
        <f t="shared" si="279"/>
        <v>0</v>
      </c>
      <c r="VLW64" s="857">
        <f t="shared" si="279"/>
        <v>0</v>
      </c>
      <c r="VLX64" s="857">
        <f t="shared" si="279"/>
        <v>0</v>
      </c>
      <c r="VLY64" s="857">
        <f t="shared" si="279"/>
        <v>0</v>
      </c>
      <c r="VLZ64" s="857">
        <f t="shared" si="279"/>
        <v>0</v>
      </c>
      <c r="VMA64" s="857">
        <f t="shared" si="279"/>
        <v>0</v>
      </c>
      <c r="VMB64" s="857">
        <f t="shared" si="279"/>
        <v>0</v>
      </c>
      <c r="VMC64" s="857">
        <f t="shared" si="279"/>
        <v>0</v>
      </c>
      <c r="VMD64" s="857">
        <f t="shared" si="279"/>
        <v>0</v>
      </c>
      <c r="VME64" s="857">
        <f t="shared" si="279"/>
        <v>0</v>
      </c>
      <c r="VMF64" s="857">
        <f t="shared" si="279"/>
        <v>0</v>
      </c>
      <c r="VMG64" s="857">
        <f t="shared" si="279"/>
        <v>0</v>
      </c>
      <c r="VMH64" s="857">
        <f t="shared" si="279"/>
        <v>0</v>
      </c>
      <c r="VMI64" s="857">
        <f t="shared" si="279"/>
        <v>0</v>
      </c>
      <c r="VMJ64" s="857">
        <f t="shared" si="279"/>
        <v>0</v>
      </c>
      <c r="VMK64" s="857">
        <f t="shared" si="279"/>
        <v>0</v>
      </c>
      <c r="VML64" s="857">
        <f t="shared" si="279"/>
        <v>0</v>
      </c>
      <c r="VMM64" s="857">
        <f t="shared" si="279"/>
        <v>0</v>
      </c>
      <c r="VMN64" s="857">
        <f t="shared" si="279"/>
        <v>0</v>
      </c>
      <c r="VMO64" s="857">
        <f t="shared" si="279"/>
        <v>0</v>
      </c>
      <c r="VMP64" s="857">
        <f t="shared" si="279"/>
        <v>0</v>
      </c>
      <c r="VMQ64" s="857">
        <f t="shared" si="279"/>
        <v>0</v>
      </c>
      <c r="VMR64" s="857">
        <f t="shared" si="279"/>
        <v>0</v>
      </c>
      <c r="VMS64" s="857">
        <f t="shared" si="279"/>
        <v>0</v>
      </c>
      <c r="VMT64" s="857">
        <f t="shared" si="279"/>
        <v>0</v>
      </c>
      <c r="VMU64" s="857">
        <f t="shared" si="279"/>
        <v>0</v>
      </c>
      <c r="VMV64" s="857">
        <f t="shared" si="279"/>
        <v>0</v>
      </c>
      <c r="VMW64" s="857">
        <f t="shared" si="279"/>
        <v>0</v>
      </c>
      <c r="VMX64" s="857">
        <f t="shared" si="279"/>
        <v>0</v>
      </c>
      <c r="VMY64" s="857">
        <f t="shared" si="279"/>
        <v>0</v>
      </c>
      <c r="VMZ64" s="857">
        <f t="shared" si="279"/>
        <v>0</v>
      </c>
      <c r="VNA64" s="857">
        <f t="shared" si="279"/>
        <v>0</v>
      </c>
      <c r="VNB64" s="857">
        <f t="shared" ref="VNB64:VPM64" si="280">(VNB57-VNB59)*$C$64</f>
        <v>0</v>
      </c>
      <c r="VNC64" s="857">
        <f t="shared" si="280"/>
        <v>0</v>
      </c>
      <c r="VND64" s="857">
        <f t="shared" si="280"/>
        <v>0</v>
      </c>
      <c r="VNE64" s="857">
        <f t="shared" si="280"/>
        <v>0</v>
      </c>
      <c r="VNF64" s="857">
        <f t="shared" si="280"/>
        <v>0</v>
      </c>
      <c r="VNG64" s="857">
        <f t="shared" si="280"/>
        <v>0</v>
      </c>
      <c r="VNH64" s="857">
        <f t="shared" si="280"/>
        <v>0</v>
      </c>
      <c r="VNI64" s="857">
        <f t="shared" si="280"/>
        <v>0</v>
      </c>
      <c r="VNJ64" s="857">
        <f t="shared" si="280"/>
        <v>0</v>
      </c>
      <c r="VNK64" s="857">
        <f t="shared" si="280"/>
        <v>0</v>
      </c>
      <c r="VNL64" s="857">
        <f t="shared" si="280"/>
        <v>0</v>
      </c>
      <c r="VNM64" s="857">
        <f t="shared" si="280"/>
        <v>0</v>
      </c>
      <c r="VNN64" s="857">
        <f t="shared" si="280"/>
        <v>0</v>
      </c>
      <c r="VNO64" s="857">
        <f t="shared" si="280"/>
        <v>0</v>
      </c>
      <c r="VNP64" s="857">
        <f t="shared" si="280"/>
        <v>0</v>
      </c>
      <c r="VNQ64" s="857">
        <f t="shared" si="280"/>
        <v>0</v>
      </c>
      <c r="VNR64" s="857">
        <f t="shared" si="280"/>
        <v>0</v>
      </c>
      <c r="VNS64" s="857">
        <f t="shared" si="280"/>
        <v>0</v>
      </c>
      <c r="VNT64" s="857">
        <f t="shared" si="280"/>
        <v>0</v>
      </c>
      <c r="VNU64" s="857">
        <f t="shared" si="280"/>
        <v>0</v>
      </c>
      <c r="VNV64" s="857">
        <f t="shared" si="280"/>
        <v>0</v>
      </c>
      <c r="VNW64" s="857">
        <f t="shared" si="280"/>
        <v>0</v>
      </c>
      <c r="VNX64" s="857">
        <f t="shared" si="280"/>
        <v>0</v>
      </c>
      <c r="VNY64" s="857">
        <f t="shared" si="280"/>
        <v>0</v>
      </c>
      <c r="VNZ64" s="857">
        <f t="shared" si="280"/>
        <v>0</v>
      </c>
      <c r="VOA64" s="857">
        <f t="shared" si="280"/>
        <v>0</v>
      </c>
      <c r="VOB64" s="857">
        <f t="shared" si="280"/>
        <v>0</v>
      </c>
      <c r="VOC64" s="857">
        <f t="shared" si="280"/>
        <v>0</v>
      </c>
      <c r="VOD64" s="857">
        <f t="shared" si="280"/>
        <v>0</v>
      </c>
      <c r="VOE64" s="857">
        <f t="shared" si="280"/>
        <v>0</v>
      </c>
      <c r="VOF64" s="857">
        <f t="shared" si="280"/>
        <v>0</v>
      </c>
      <c r="VOG64" s="857">
        <f t="shared" si="280"/>
        <v>0</v>
      </c>
      <c r="VOH64" s="857">
        <f t="shared" si="280"/>
        <v>0</v>
      </c>
      <c r="VOI64" s="857">
        <f t="shared" si="280"/>
        <v>0</v>
      </c>
      <c r="VOJ64" s="857">
        <f t="shared" si="280"/>
        <v>0</v>
      </c>
      <c r="VOK64" s="857">
        <f t="shared" si="280"/>
        <v>0</v>
      </c>
      <c r="VOL64" s="857">
        <f t="shared" si="280"/>
        <v>0</v>
      </c>
      <c r="VOM64" s="857">
        <f t="shared" si="280"/>
        <v>0</v>
      </c>
      <c r="VON64" s="857">
        <f t="shared" si="280"/>
        <v>0</v>
      </c>
      <c r="VOO64" s="857">
        <f t="shared" si="280"/>
        <v>0</v>
      </c>
      <c r="VOP64" s="857">
        <f t="shared" si="280"/>
        <v>0</v>
      </c>
      <c r="VOQ64" s="857">
        <f t="shared" si="280"/>
        <v>0</v>
      </c>
      <c r="VOR64" s="857">
        <f t="shared" si="280"/>
        <v>0</v>
      </c>
      <c r="VOS64" s="857">
        <f t="shared" si="280"/>
        <v>0</v>
      </c>
      <c r="VOT64" s="857">
        <f t="shared" si="280"/>
        <v>0</v>
      </c>
      <c r="VOU64" s="857">
        <f t="shared" si="280"/>
        <v>0</v>
      </c>
      <c r="VOV64" s="857">
        <f t="shared" si="280"/>
        <v>0</v>
      </c>
      <c r="VOW64" s="857">
        <f t="shared" si="280"/>
        <v>0</v>
      </c>
      <c r="VOX64" s="857">
        <f t="shared" si="280"/>
        <v>0</v>
      </c>
      <c r="VOY64" s="857">
        <f t="shared" si="280"/>
        <v>0</v>
      </c>
      <c r="VOZ64" s="857">
        <f t="shared" si="280"/>
        <v>0</v>
      </c>
      <c r="VPA64" s="857">
        <f t="shared" si="280"/>
        <v>0</v>
      </c>
      <c r="VPB64" s="857">
        <f t="shared" si="280"/>
        <v>0</v>
      </c>
      <c r="VPC64" s="857">
        <f t="shared" si="280"/>
        <v>0</v>
      </c>
      <c r="VPD64" s="857">
        <f t="shared" si="280"/>
        <v>0</v>
      </c>
      <c r="VPE64" s="857">
        <f t="shared" si="280"/>
        <v>0</v>
      </c>
      <c r="VPF64" s="857">
        <f t="shared" si="280"/>
        <v>0</v>
      </c>
      <c r="VPG64" s="857">
        <f t="shared" si="280"/>
        <v>0</v>
      </c>
      <c r="VPH64" s="857">
        <f t="shared" si="280"/>
        <v>0</v>
      </c>
      <c r="VPI64" s="857">
        <f t="shared" si="280"/>
        <v>0</v>
      </c>
      <c r="VPJ64" s="857">
        <f t="shared" si="280"/>
        <v>0</v>
      </c>
      <c r="VPK64" s="857">
        <f t="shared" si="280"/>
        <v>0</v>
      </c>
      <c r="VPL64" s="857">
        <f t="shared" si="280"/>
        <v>0</v>
      </c>
      <c r="VPM64" s="857">
        <f t="shared" si="280"/>
        <v>0</v>
      </c>
      <c r="VPN64" s="857">
        <f t="shared" ref="VPN64:VRY64" si="281">(VPN57-VPN59)*$C$64</f>
        <v>0</v>
      </c>
      <c r="VPO64" s="857">
        <f t="shared" si="281"/>
        <v>0</v>
      </c>
      <c r="VPP64" s="857">
        <f t="shared" si="281"/>
        <v>0</v>
      </c>
      <c r="VPQ64" s="857">
        <f t="shared" si="281"/>
        <v>0</v>
      </c>
      <c r="VPR64" s="857">
        <f t="shared" si="281"/>
        <v>0</v>
      </c>
      <c r="VPS64" s="857">
        <f t="shared" si="281"/>
        <v>0</v>
      </c>
      <c r="VPT64" s="857">
        <f t="shared" si="281"/>
        <v>0</v>
      </c>
      <c r="VPU64" s="857">
        <f t="shared" si="281"/>
        <v>0</v>
      </c>
      <c r="VPV64" s="857">
        <f t="shared" si="281"/>
        <v>0</v>
      </c>
      <c r="VPW64" s="857">
        <f t="shared" si="281"/>
        <v>0</v>
      </c>
      <c r="VPX64" s="857">
        <f t="shared" si="281"/>
        <v>0</v>
      </c>
      <c r="VPY64" s="857">
        <f t="shared" si="281"/>
        <v>0</v>
      </c>
      <c r="VPZ64" s="857">
        <f t="shared" si="281"/>
        <v>0</v>
      </c>
      <c r="VQA64" s="857">
        <f t="shared" si="281"/>
        <v>0</v>
      </c>
      <c r="VQB64" s="857">
        <f t="shared" si="281"/>
        <v>0</v>
      </c>
      <c r="VQC64" s="857">
        <f t="shared" si="281"/>
        <v>0</v>
      </c>
      <c r="VQD64" s="857">
        <f t="shared" si="281"/>
        <v>0</v>
      </c>
      <c r="VQE64" s="857">
        <f t="shared" si="281"/>
        <v>0</v>
      </c>
      <c r="VQF64" s="857">
        <f t="shared" si="281"/>
        <v>0</v>
      </c>
      <c r="VQG64" s="857">
        <f t="shared" si="281"/>
        <v>0</v>
      </c>
      <c r="VQH64" s="857">
        <f t="shared" si="281"/>
        <v>0</v>
      </c>
      <c r="VQI64" s="857">
        <f t="shared" si="281"/>
        <v>0</v>
      </c>
      <c r="VQJ64" s="857">
        <f t="shared" si="281"/>
        <v>0</v>
      </c>
      <c r="VQK64" s="857">
        <f t="shared" si="281"/>
        <v>0</v>
      </c>
      <c r="VQL64" s="857">
        <f t="shared" si="281"/>
        <v>0</v>
      </c>
      <c r="VQM64" s="857">
        <f t="shared" si="281"/>
        <v>0</v>
      </c>
      <c r="VQN64" s="857">
        <f t="shared" si="281"/>
        <v>0</v>
      </c>
      <c r="VQO64" s="857">
        <f t="shared" si="281"/>
        <v>0</v>
      </c>
      <c r="VQP64" s="857">
        <f t="shared" si="281"/>
        <v>0</v>
      </c>
      <c r="VQQ64" s="857">
        <f t="shared" si="281"/>
        <v>0</v>
      </c>
      <c r="VQR64" s="857">
        <f t="shared" si="281"/>
        <v>0</v>
      </c>
      <c r="VQS64" s="857">
        <f t="shared" si="281"/>
        <v>0</v>
      </c>
      <c r="VQT64" s="857">
        <f t="shared" si="281"/>
        <v>0</v>
      </c>
      <c r="VQU64" s="857">
        <f t="shared" si="281"/>
        <v>0</v>
      </c>
      <c r="VQV64" s="857">
        <f t="shared" si="281"/>
        <v>0</v>
      </c>
      <c r="VQW64" s="857">
        <f t="shared" si="281"/>
        <v>0</v>
      </c>
      <c r="VQX64" s="857">
        <f t="shared" si="281"/>
        <v>0</v>
      </c>
      <c r="VQY64" s="857">
        <f t="shared" si="281"/>
        <v>0</v>
      </c>
      <c r="VQZ64" s="857">
        <f t="shared" si="281"/>
        <v>0</v>
      </c>
      <c r="VRA64" s="857">
        <f t="shared" si="281"/>
        <v>0</v>
      </c>
      <c r="VRB64" s="857">
        <f t="shared" si="281"/>
        <v>0</v>
      </c>
      <c r="VRC64" s="857">
        <f t="shared" si="281"/>
        <v>0</v>
      </c>
      <c r="VRD64" s="857">
        <f t="shared" si="281"/>
        <v>0</v>
      </c>
      <c r="VRE64" s="857">
        <f t="shared" si="281"/>
        <v>0</v>
      </c>
      <c r="VRF64" s="857">
        <f t="shared" si="281"/>
        <v>0</v>
      </c>
      <c r="VRG64" s="857">
        <f t="shared" si="281"/>
        <v>0</v>
      </c>
      <c r="VRH64" s="857">
        <f t="shared" si="281"/>
        <v>0</v>
      </c>
      <c r="VRI64" s="857">
        <f t="shared" si="281"/>
        <v>0</v>
      </c>
      <c r="VRJ64" s="857">
        <f t="shared" si="281"/>
        <v>0</v>
      </c>
      <c r="VRK64" s="857">
        <f t="shared" si="281"/>
        <v>0</v>
      </c>
      <c r="VRL64" s="857">
        <f t="shared" si="281"/>
        <v>0</v>
      </c>
      <c r="VRM64" s="857">
        <f t="shared" si="281"/>
        <v>0</v>
      </c>
      <c r="VRN64" s="857">
        <f t="shared" si="281"/>
        <v>0</v>
      </c>
      <c r="VRO64" s="857">
        <f t="shared" si="281"/>
        <v>0</v>
      </c>
      <c r="VRP64" s="857">
        <f t="shared" si="281"/>
        <v>0</v>
      </c>
      <c r="VRQ64" s="857">
        <f t="shared" si="281"/>
        <v>0</v>
      </c>
      <c r="VRR64" s="857">
        <f t="shared" si="281"/>
        <v>0</v>
      </c>
      <c r="VRS64" s="857">
        <f t="shared" si="281"/>
        <v>0</v>
      </c>
      <c r="VRT64" s="857">
        <f t="shared" si="281"/>
        <v>0</v>
      </c>
      <c r="VRU64" s="857">
        <f t="shared" si="281"/>
        <v>0</v>
      </c>
      <c r="VRV64" s="857">
        <f t="shared" si="281"/>
        <v>0</v>
      </c>
      <c r="VRW64" s="857">
        <f t="shared" si="281"/>
        <v>0</v>
      </c>
      <c r="VRX64" s="857">
        <f t="shared" si="281"/>
        <v>0</v>
      </c>
      <c r="VRY64" s="857">
        <f t="shared" si="281"/>
        <v>0</v>
      </c>
      <c r="VRZ64" s="857">
        <f t="shared" ref="VRZ64:VUK64" si="282">(VRZ57-VRZ59)*$C$64</f>
        <v>0</v>
      </c>
      <c r="VSA64" s="857">
        <f t="shared" si="282"/>
        <v>0</v>
      </c>
      <c r="VSB64" s="857">
        <f t="shared" si="282"/>
        <v>0</v>
      </c>
      <c r="VSC64" s="857">
        <f t="shared" si="282"/>
        <v>0</v>
      </c>
      <c r="VSD64" s="857">
        <f t="shared" si="282"/>
        <v>0</v>
      </c>
      <c r="VSE64" s="857">
        <f t="shared" si="282"/>
        <v>0</v>
      </c>
      <c r="VSF64" s="857">
        <f t="shared" si="282"/>
        <v>0</v>
      </c>
      <c r="VSG64" s="857">
        <f t="shared" si="282"/>
        <v>0</v>
      </c>
      <c r="VSH64" s="857">
        <f t="shared" si="282"/>
        <v>0</v>
      </c>
      <c r="VSI64" s="857">
        <f t="shared" si="282"/>
        <v>0</v>
      </c>
      <c r="VSJ64" s="857">
        <f t="shared" si="282"/>
        <v>0</v>
      </c>
      <c r="VSK64" s="857">
        <f t="shared" si="282"/>
        <v>0</v>
      </c>
      <c r="VSL64" s="857">
        <f t="shared" si="282"/>
        <v>0</v>
      </c>
      <c r="VSM64" s="857">
        <f t="shared" si="282"/>
        <v>0</v>
      </c>
      <c r="VSN64" s="857">
        <f t="shared" si="282"/>
        <v>0</v>
      </c>
      <c r="VSO64" s="857">
        <f t="shared" si="282"/>
        <v>0</v>
      </c>
      <c r="VSP64" s="857">
        <f t="shared" si="282"/>
        <v>0</v>
      </c>
      <c r="VSQ64" s="857">
        <f t="shared" si="282"/>
        <v>0</v>
      </c>
      <c r="VSR64" s="857">
        <f t="shared" si="282"/>
        <v>0</v>
      </c>
      <c r="VSS64" s="857">
        <f t="shared" si="282"/>
        <v>0</v>
      </c>
      <c r="VST64" s="857">
        <f t="shared" si="282"/>
        <v>0</v>
      </c>
      <c r="VSU64" s="857">
        <f t="shared" si="282"/>
        <v>0</v>
      </c>
      <c r="VSV64" s="857">
        <f t="shared" si="282"/>
        <v>0</v>
      </c>
      <c r="VSW64" s="857">
        <f t="shared" si="282"/>
        <v>0</v>
      </c>
      <c r="VSX64" s="857">
        <f t="shared" si="282"/>
        <v>0</v>
      </c>
      <c r="VSY64" s="857">
        <f t="shared" si="282"/>
        <v>0</v>
      </c>
      <c r="VSZ64" s="857">
        <f t="shared" si="282"/>
        <v>0</v>
      </c>
      <c r="VTA64" s="857">
        <f t="shared" si="282"/>
        <v>0</v>
      </c>
      <c r="VTB64" s="857">
        <f t="shared" si="282"/>
        <v>0</v>
      </c>
      <c r="VTC64" s="857">
        <f t="shared" si="282"/>
        <v>0</v>
      </c>
      <c r="VTD64" s="857">
        <f t="shared" si="282"/>
        <v>0</v>
      </c>
      <c r="VTE64" s="857">
        <f t="shared" si="282"/>
        <v>0</v>
      </c>
      <c r="VTF64" s="857">
        <f t="shared" si="282"/>
        <v>0</v>
      </c>
      <c r="VTG64" s="857">
        <f t="shared" si="282"/>
        <v>0</v>
      </c>
      <c r="VTH64" s="857">
        <f t="shared" si="282"/>
        <v>0</v>
      </c>
      <c r="VTI64" s="857">
        <f t="shared" si="282"/>
        <v>0</v>
      </c>
      <c r="VTJ64" s="857">
        <f t="shared" si="282"/>
        <v>0</v>
      </c>
      <c r="VTK64" s="857">
        <f t="shared" si="282"/>
        <v>0</v>
      </c>
      <c r="VTL64" s="857">
        <f t="shared" si="282"/>
        <v>0</v>
      </c>
      <c r="VTM64" s="857">
        <f t="shared" si="282"/>
        <v>0</v>
      </c>
      <c r="VTN64" s="857">
        <f t="shared" si="282"/>
        <v>0</v>
      </c>
      <c r="VTO64" s="857">
        <f t="shared" si="282"/>
        <v>0</v>
      </c>
      <c r="VTP64" s="857">
        <f t="shared" si="282"/>
        <v>0</v>
      </c>
      <c r="VTQ64" s="857">
        <f t="shared" si="282"/>
        <v>0</v>
      </c>
      <c r="VTR64" s="857">
        <f t="shared" si="282"/>
        <v>0</v>
      </c>
      <c r="VTS64" s="857">
        <f t="shared" si="282"/>
        <v>0</v>
      </c>
      <c r="VTT64" s="857">
        <f t="shared" si="282"/>
        <v>0</v>
      </c>
      <c r="VTU64" s="857">
        <f t="shared" si="282"/>
        <v>0</v>
      </c>
      <c r="VTV64" s="857">
        <f t="shared" si="282"/>
        <v>0</v>
      </c>
      <c r="VTW64" s="857">
        <f t="shared" si="282"/>
        <v>0</v>
      </c>
      <c r="VTX64" s="857">
        <f t="shared" si="282"/>
        <v>0</v>
      </c>
      <c r="VTY64" s="857">
        <f t="shared" si="282"/>
        <v>0</v>
      </c>
      <c r="VTZ64" s="857">
        <f t="shared" si="282"/>
        <v>0</v>
      </c>
      <c r="VUA64" s="857">
        <f t="shared" si="282"/>
        <v>0</v>
      </c>
      <c r="VUB64" s="857">
        <f t="shared" si="282"/>
        <v>0</v>
      </c>
      <c r="VUC64" s="857">
        <f t="shared" si="282"/>
        <v>0</v>
      </c>
      <c r="VUD64" s="857">
        <f t="shared" si="282"/>
        <v>0</v>
      </c>
      <c r="VUE64" s="857">
        <f t="shared" si="282"/>
        <v>0</v>
      </c>
      <c r="VUF64" s="857">
        <f t="shared" si="282"/>
        <v>0</v>
      </c>
      <c r="VUG64" s="857">
        <f t="shared" si="282"/>
        <v>0</v>
      </c>
      <c r="VUH64" s="857">
        <f t="shared" si="282"/>
        <v>0</v>
      </c>
      <c r="VUI64" s="857">
        <f t="shared" si="282"/>
        <v>0</v>
      </c>
      <c r="VUJ64" s="857">
        <f t="shared" si="282"/>
        <v>0</v>
      </c>
      <c r="VUK64" s="857">
        <f t="shared" si="282"/>
        <v>0</v>
      </c>
      <c r="VUL64" s="857">
        <f t="shared" ref="VUL64:VWW64" si="283">(VUL57-VUL59)*$C$64</f>
        <v>0</v>
      </c>
      <c r="VUM64" s="857">
        <f t="shared" si="283"/>
        <v>0</v>
      </c>
      <c r="VUN64" s="857">
        <f t="shared" si="283"/>
        <v>0</v>
      </c>
      <c r="VUO64" s="857">
        <f t="shared" si="283"/>
        <v>0</v>
      </c>
      <c r="VUP64" s="857">
        <f t="shared" si="283"/>
        <v>0</v>
      </c>
      <c r="VUQ64" s="857">
        <f t="shared" si="283"/>
        <v>0</v>
      </c>
      <c r="VUR64" s="857">
        <f t="shared" si="283"/>
        <v>0</v>
      </c>
      <c r="VUS64" s="857">
        <f t="shared" si="283"/>
        <v>0</v>
      </c>
      <c r="VUT64" s="857">
        <f t="shared" si="283"/>
        <v>0</v>
      </c>
      <c r="VUU64" s="857">
        <f t="shared" si="283"/>
        <v>0</v>
      </c>
      <c r="VUV64" s="857">
        <f t="shared" si="283"/>
        <v>0</v>
      </c>
      <c r="VUW64" s="857">
        <f t="shared" si="283"/>
        <v>0</v>
      </c>
      <c r="VUX64" s="857">
        <f t="shared" si="283"/>
        <v>0</v>
      </c>
      <c r="VUY64" s="857">
        <f t="shared" si="283"/>
        <v>0</v>
      </c>
      <c r="VUZ64" s="857">
        <f t="shared" si="283"/>
        <v>0</v>
      </c>
      <c r="VVA64" s="857">
        <f t="shared" si="283"/>
        <v>0</v>
      </c>
      <c r="VVB64" s="857">
        <f t="shared" si="283"/>
        <v>0</v>
      </c>
      <c r="VVC64" s="857">
        <f t="shared" si="283"/>
        <v>0</v>
      </c>
      <c r="VVD64" s="857">
        <f t="shared" si="283"/>
        <v>0</v>
      </c>
      <c r="VVE64" s="857">
        <f t="shared" si="283"/>
        <v>0</v>
      </c>
      <c r="VVF64" s="857">
        <f t="shared" si="283"/>
        <v>0</v>
      </c>
      <c r="VVG64" s="857">
        <f t="shared" si="283"/>
        <v>0</v>
      </c>
      <c r="VVH64" s="857">
        <f t="shared" si="283"/>
        <v>0</v>
      </c>
      <c r="VVI64" s="857">
        <f t="shared" si="283"/>
        <v>0</v>
      </c>
      <c r="VVJ64" s="857">
        <f t="shared" si="283"/>
        <v>0</v>
      </c>
      <c r="VVK64" s="857">
        <f t="shared" si="283"/>
        <v>0</v>
      </c>
      <c r="VVL64" s="857">
        <f t="shared" si="283"/>
        <v>0</v>
      </c>
      <c r="VVM64" s="857">
        <f t="shared" si="283"/>
        <v>0</v>
      </c>
      <c r="VVN64" s="857">
        <f t="shared" si="283"/>
        <v>0</v>
      </c>
      <c r="VVO64" s="857">
        <f t="shared" si="283"/>
        <v>0</v>
      </c>
      <c r="VVP64" s="857">
        <f t="shared" si="283"/>
        <v>0</v>
      </c>
      <c r="VVQ64" s="857">
        <f t="shared" si="283"/>
        <v>0</v>
      </c>
      <c r="VVR64" s="857">
        <f t="shared" si="283"/>
        <v>0</v>
      </c>
      <c r="VVS64" s="857">
        <f t="shared" si="283"/>
        <v>0</v>
      </c>
      <c r="VVT64" s="857">
        <f t="shared" si="283"/>
        <v>0</v>
      </c>
      <c r="VVU64" s="857">
        <f t="shared" si="283"/>
        <v>0</v>
      </c>
      <c r="VVV64" s="857">
        <f t="shared" si="283"/>
        <v>0</v>
      </c>
      <c r="VVW64" s="857">
        <f t="shared" si="283"/>
        <v>0</v>
      </c>
      <c r="VVX64" s="857">
        <f t="shared" si="283"/>
        <v>0</v>
      </c>
      <c r="VVY64" s="857">
        <f t="shared" si="283"/>
        <v>0</v>
      </c>
      <c r="VVZ64" s="857">
        <f t="shared" si="283"/>
        <v>0</v>
      </c>
      <c r="VWA64" s="857">
        <f t="shared" si="283"/>
        <v>0</v>
      </c>
      <c r="VWB64" s="857">
        <f t="shared" si="283"/>
        <v>0</v>
      </c>
      <c r="VWC64" s="857">
        <f t="shared" si="283"/>
        <v>0</v>
      </c>
      <c r="VWD64" s="857">
        <f t="shared" si="283"/>
        <v>0</v>
      </c>
      <c r="VWE64" s="857">
        <f t="shared" si="283"/>
        <v>0</v>
      </c>
      <c r="VWF64" s="857">
        <f t="shared" si="283"/>
        <v>0</v>
      </c>
      <c r="VWG64" s="857">
        <f t="shared" si="283"/>
        <v>0</v>
      </c>
      <c r="VWH64" s="857">
        <f t="shared" si="283"/>
        <v>0</v>
      </c>
      <c r="VWI64" s="857">
        <f t="shared" si="283"/>
        <v>0</v>
      </c>
      <c r="VWJ64" s="857">
        <f t="shared" si="283"/>
        <v>0</v>
      </c>
      <c r="VWK64" s="857">
        <f t="shared" si="283"/>
        <v>0</v>
      </c>
      <c r="VWL64" s="857">
        <f t="shared" si="283"/>
        <v>0</v>
      </c>
      <c r="VWM64" s="857">
        <f t="shared" si="283"/>
        <v>0</v>
      </c>
      <c r="VWN64" s="857">
        <f t="shared" si="283"/>
        <v>0</v>
      </c>
      <c r="VWO64" s="857">
        <f t="shared" si="283"/>
        <v>0</v>
      </c>
      <c r="VWP64" s="857">
        <f t="shared" si="283"/>
        <v>0</v>
      </c>
      <c r="VWQ64" s="857">
        <f t="shared" si="283"/>
        <v>0</v>
      </c>
      <c r="VWR64" s="857">
        <f t="shared" si="283"/>
        <v>0</v>
      </c>
      <c r="VWS64" s="857">
        <f t="shared" si="283"/>
        <v>0</v>
      </c>
      <c r="VWT64" s="857">
        <f t="shared" si="283"/>
        <v>0</v>
      </c>
      <c r="VWU64" s="857">
        <f t="shared" si="283"/>
        <v>0</v>
      </c>
      <c r="VWV64" s="857">
        <f t="shared" si="283"/>
        <v>0</v>
      </c>
      <c r="VWW64" s="857">
        <f t="shared" si="283"/>
        <v>0</v>
      </c>
      <c r="VWX64" s="857">
        <f t="shared" ref="VWX64:VZI64" si="284">(VWX57-VWX59)*$C$64</f>
        <v>0</v>
      </c>
      <c r="VWY64" s="857">
        <f t="shared" si="284"/>
        <v>0</v>
      </c>
      <c r="VWZ64" s="857">
        <f t="shared" si="284"/>
        <v>0</v>
      </c>
      <c r="VXA64" s="857">
        <f t="shared" si="284"/>
        <v>0</v>
      </c>
      <c r="VXB64" s="857">
        <f t="shared" si="284"/>
        <v>0</v>
      </c>
      <c r="VXC64" s="857">
        <f t="shared" si="284"/>
        <v>0</v>
      </c>
      <c r="VXD64" s="857">
        <f t="shared" si="284"/>
        <v>0</v>
      </c>
      <c r="VXE64" s="857">
        <f t="shared" si="284"/>
        <v>0</v>
      </c>
      <c r="VXF64" s="857">
        <f t="shared" si="284"/>
        <v>0</v>
      </c>
      <c r="VXG64" s="857">
        <f t="shared" si="284"/>
        <v>0</v>
      </c>
      <c r="VXH64" s="857">
        <f t="shared" si="284"/>
        <v>0</v>
      </c>
      <c r="VXI64" s="857">
        <f t="shared" si="284"/>
        <v>0</v>
      </c>
      <c r="VXJ64" s="857">
        <f t="shared" si="284"/>
        <v>0</v>
      </c>
      <c r="VXK64" s="857">
        <f t="shared" si="284"/>
        <v>0</v>
      </c>
      <c r="VXL64" s="857">
        <f t="shared" si="284"/>
        <v>0</v>
      </c>
      <c r="VXM64" s="857">
        <f t="shared" si="284"/>
        <v>0</v>
      </c>
      <c r="VXN64" s="857">
        <f t="shared" si="284"/>
        <v>0</v>
      </c>
      <c r="VXO64" s="857">
        <f t="shared" si="284"/>
        <v>0</v>
      </c>
      <c r="VXP64" s="857">
        <f t="shared" si="284"/>
        <v>0</v>
      </c>
      <c r="VXQ64" s="857">
        <f t="shared" si="284"/>
        <v>0</v>
      </c>
      <c r="VXR64" s="857">
        <f t="shared" si="284"/>
        <v>0</v>
      </c>
      <c r="VXS64" s="857">
        <f t="shared" si="284"/>
        <v>0</v>
      </c>
      <c r="VXT64" s="857">
        <f t="shared" si="284"/>
        <v>0</v>
      </c>
      <c r="VXU64" s="857">
        <f t="shared" si="284"/>
        <v>0</v>
      </c>
      <c r="VXV64" s="857">
        <f t="shared" si="284"/>
        <v>0</v>
      </c>
      <c r="VXW64" s="857">
        <f t="shared" si="284"/>
        <v>0</v>
      </c>
      <c r="VXX64" s="857">
        <f t="shared" si="284"/>
        <v>0</v>
      </c>
      <c r="VXY64" s="857">
        <f t="shared" si="284"/>
        <v>0</v>
      </c>
      <c r="VXZ64" s="857">
        <f t="shared" si="284"/>
        <v>0</v>
      </c>
      <c r="VYA64" s="857">
        <f t="shared" si="284"/>
        <v>0</v>
      </c>
      <c r="VYB64" s="857">
        <f t="shared" si="284"/>
        <v>0</v>
      </c>
      <c r="VYC64" s="857">
        <f t="shared" si="284"/>
        <v>0</v>
      </c>
      <c r="VYD64" s="857">
        <f t="shared" si="284"/>
        <v>0</v>
      </c>
      <c r="VYE64" s="857">
        <f t="shared" si="284"/>
        <v>0</v>
      </c>
      <c r="VYF64" s="857">
        <f t="shared" si="284"/>
        <v>0</v>
      </c>
      <c r="VYG64" s="857">
        <f t="shared" si="284"/>
        <v>0</v>
      </c>
      <c r="VYH64" s="857">
        <f t="shared" si="284"/>
        <v>0</v>
      </c>
      <c r="VYI64" s="857">
        <f t="shared" si="284"/>
        <v>0</v>
      </c>
      <c r="VYJ64" s="857">
        <f t="shared" si="284"/>
        <v>0</v>
      </c>
      <c r="VYK64" s="857">
        <f t="shared" si="284"/>
        <v>0</v>
      </c>
      <c r="VYL64" s="857">
        <f t="shared" si="284"/>
        <v>0</v>
      </c>
      <c r="VYM64" s="857">
        <f t="shared" si="284"/>
        <v>0</v>
      </c>
      <c r="VYN64" s="857">
        <f t="shared" si="284"/>
        <v>0</v>
      </c>
      <c r="VYO64" s="857">
        <f t="shared" si="284"/>
        <v>0</v>
      </c>
      <c r="VYP64" s="857">
        <f t="shared" si="284"/>
        <v>0</v>
      </c>
      <c r="VYQ64" s="857">
        <f t="shared" si="284"/>
        <v>0</v>
      </c>
      <c r="VYR64" s="857">
        <f t="shared" si="284"/>
        <v>0</v>
      </c>
      <c r="VYS64" s="857">
        <f t="shared" si="284"/>
        <v>0</v>
      </c>
      <c r="VYT64" s="857">
        <f t="shared" si="284"/>
        <v>0</v>
      </c>
      <c r="VYU64" s="857">
        <f t="shared" si="284"/>
        <v>0</v>
      </c>
      <c r="VYV64" s="857">
        <f t="shared" si="284"/>
        <v>0</v>
      </c>
      <c r="VYW64" s="857">
        <f t="shared" si="284"/>
        <v>0</v>
      </c>
      <c r="VYX64" s="857">
        <f t="shared" si="284"/>
        <v>0</v>
      </c>
      <c r="VYY64" s="857">
        <f t="shared" si="284"/>
        <v>0</v>
      </c>
      <c r="VYZ64" s="857">
        <f t="shared" si="284"/>
        <v>0</v>
      </c>
      <c r="VZA64" s="857">
        <f t="shared" si="284"/>
        <v>0</v>
      </c>
      <c r="VZB64" s="857">
        <f t="shared" si="284"/>
        <v>0</v>
      </c>
      <c r="VZC64" s="857">
        <f t="shared" si="284"/>
        <v>0</v>
      </c>
      <c r="VZD64" s="857">
        <f t="shared" si="284"/>
        <v>0</v>
      </c>
      <c r="VZE64" s="857">
        <f t="shared" si="284"/>
        <v>0</v>
      </c>
      <c r="VZF64" s="857">
        <f t="shared" si="284"/>
        <v>0</v>
      </c>
      <c r="VZG64" s="857">
        <f t="shared" si="284"/>
        <v>0</v>
      </c>
      <c r="VZH64" s="857">
        <f t="shared" si="284"/>
        <v>0</v>
      </c>
      <c r="VZI64" s="857">
        <f t="shared" si="284"/>
        <v>0</v>
      </c>
      <c r="VZJ64" s="857">
        <f t="shared" ref="VZJ64:WBU64" si="285">(VZJ57-VZJ59)*$C$64</f>
        <v>0</v>
      </c>
      <c r="VZK64" s="857">
        <f t="shared" si="285"/>
        <v>0</v>
      </c>
      <c r="VZL64" s="857">
        <f t="shared" si="285"/>
        <v>0</v>
      </c>
      <c r="VZM64" s="857">
        <f t="shared" si="285"/>
        <v>0</v>
      </c>
      <c r="VZN64" s="857">
        <f t="shared" si="285"/>
        <v>0</v>
      </c>
      <c r="VZO64" s="857">
        <f t="shared" si="285"/>
        <v>0</v>
      </c>
      <c r="VZP64" s="857">
        <f t="shared" si="285"/>
        <v>0</v>
      </c>
      <c r="VZQ64" s="857">
        <f t="shared" si="285"/>
        <v>0</v>
      </c>
      <c r="VZR64" s="857">
        <f t="shared" si="285"/>
        <v>0</v>
      </c>
      <c r="VZS64" s="857">
        <f t="shared" si="285"/>
        <v>0</v>
      </c>
      <c r="VZT64" s="857">
        <f t="shared" si="285"/>
        <v>0</v>
      </c>
      <c r="VZU64" s="857">
        <f t="shared" si="285"/>
        <v>0</v>
      </c>
      <c r="VZV64" s="857">
        <f t="shared" si="285"/>
        <v>0</v>
      </c>
      <c r="VZW64" s="857">
        <f t="shared" si="285"/>
        <v>0</v>
      </c>
      <c r="VZX64" s="857">
        <f t="shared" si="285"/>
        <v>0</v>
      </c>
      <c r="VZY64" s="857">
        <f t="shared" si="285"/>
        <v>0</v>
      </c>
      <c r="VZZ64" s="857">
        <f t="shared" si="285"/>
        <v>0</v>
      </c>
      <c r="WAA64" s="857">
        <f t="shared" si="285"/>
        <v>0</v>
      </c>
      <c r="WAB64" s="857">
        <f t="shared" si="285"/>
        <v>0</v>
      </c>
      <c r="WAC64" s="857">
        <f t="shared" si="285"/>
        <v>0</v>
      </c>
      <c r="WAD64" s="857">
        <f t="shared" si="285"/>
        <v>0</v>
      </c>
      <c r="WAE64" s="857">
        <f t="shared" si="285"/>
        <v>0</v>
      </c>
      <c r="WAF64" s="857">
        <f t="shared" si="285"/>
        <v>0</v>
      </c>
      <c r="WAG64" s="857">
        <f t="shared" si="285"/>
        <v>0</v>
      </c>
      <c r="WAH64" s="857">
        <f t="shared" si="285"/>
        <v>0</v>
      </c>
      <c r="WAI64" s="857">
        <f t="shared" si="285"/>
        <v>0</v>
      </c>
      <c r="WAJ64" s="857">
        <f t="shared" si="285"/>
        <v>0</v>
      </c>
      <c r="WAK64" s="857">
        <f t="shared" si="285"/>
        <v>0</v>
      </c>
      <c r="WAL64" s="857">
        <f t="shared" si="285"/>
        <v>0</v>
      </c>
      <c r="WAM64" s="857">
        <f t="shared" si="285"/>
        <v>0</v>
      </c>
      <c r="WAN64" s="857">
        <f t="shared" si="285"/>
        <v>0</v>
      </c>
      <c r="WAO64" s="857">
        <f t="shared" si="285"/>
        <v>0</v>
      </c>
      <c r="WAP64" s="857">
        <f t="shared" si="285"/>
        <v>0</v>
      </c>
      <c r="WAQ64" s="857">
        <f t="shared" si="285"/>
        <v>0</v>
      </c>
      <c r="WAR64" s="857">
        <f t="shared" si="285"/>
        <v>0</v>
      </c>
      <c r="WAS64" s="857">
        <f t="shared" si="285"/>
        <v>0</v>
      </c>
      <c r="WAT64" s="857">
        <f t="shared" si="285"/>
        <v>0</v>
      </c>
      <c r="WAU64" s="857">
        <f t="shared" si="285"/>
        <v>0</v>
      </c>
      <c r="WAV64" s="857">
        <f t="shared" si="285"/>
        <v>0</v>
      </c>
      <c r="WAW64" s="857">
        <f t="shared" si="285"/>
        <v>0</v>
      </c>
      <c r="WAX64" s="857">
        <f t="shared" si="285"/>
        <v>0</v>
      </c>
      <c r="WAY64" s="857">
        <f t="shared" si="285"/>
        <v>0</v>
      </c>
      <c r="WAZ64" s="857">
        <f t="shared" si="285"/>
        <v>0</v>
      </c>
      <c r="WBA64" s="857">
        <f t="shared" si="285"/>
        <v>0</v>
      </c>
      <c r="WBB64" s="857">
        <f t="shared" si="285"/>
        <v>0</v>
      </c>
      <c r="WBC64" s="857">
        <f t="shared" si="285"/>
        <v>0</v>
      </c>
      <c r="WBD64" s="857">
        <f t="shared" si="285"/>
        <v>0</v>
      </c>
      <c r="WBE64" s="857">
        <f t="shared" si="285"/>
        <v>0</v>
      </c>
      <c r="WBF64" s="857">
        <f t="shared" si="285"/>
        <v>0</v>
      </c>
      <c r="WBG64" s="857">
        <f t="shared" si="285"/>
        <v>0</v>
      </c>
      <c r="WBH64" s="857">
        <f t="shared" si="285"/>
        <v>0</v>
      </c>
      <c r="WBI64" s="857">
        <f t="shared" si="285"/>
        <v>0</v>
      </c>
      <c r="WBJ64" s="857">
        <f t="shared" si="285"/>
        <v>0</v>
      </c>
      <c r="WBK64" s="857">
        <f t="shared" si="285"/>
        <v>0</v>
      </c>
      <c r="WBL64" s="857">
        <f t="shared" si="285"/>
        <v>0</v>
      </c>
      <c r="WBM64" s="857">
        <f t="shared" si="285"/>
        <v>0</v>
      </c>
      <c r="WBN64" s="857">
        <f t="shared" si="285"/>
        <v>0</v>
      </c>
      <c r="WBO64" s="857">
        <f t="shared" si="285"/>
        <v>0</v>
      </c>
      <c r="WBP64" s="857">
        <f t="shared" si="285"/>
        <v>0</v>
      </c>
      <c r="WBQ64" s="857">
        <f t="shared" si="285"/>
        <v>0</v>
      </c>
      <c r="WBR64" s="857">
        <f t="shared" si="285"/>
        <v>0</v>
      </c>
      <c r="WBS64" s="857">
        <f t="shared" si="285"/>
        <v>0</v>
      </c>
      <c r="WBT64" s="857">
        <f t="shared" si="285"/>
        <v>0</v>
      </c>
      <c r="WBU64" s="857">
        <f t="shared" si="285"/>
        <v>0</v>
      </c>
      <c r="WBV64" s="857">
        <f t="shared" ref="WBV64:WEG64" si="286">(WBV57-WBV59)*$C$64</f>
        <v>0</v>
      </c>
      <c r="WBW64" s="857">
        <f t="shared" si="286"/>
        <v>0</v>
      </c>
      <c r="WBX64" s="857">
        <f t="shared" si="286"/>
        <v>0</v>
      </c>
      <c r="WBY64" s="857">
        <f t="shared" si="286"/>
        <v>0</v>
      </c>
      <c r="WBZ64" s="857">
        <f t="shared" si="286"/>
        <v>0</v>
      </c>
      <c r="WCA64" s="857">
        <f t="shared" si="286"/>
        <v>0</v>
      </c>
      <c r="WCB64" s="857">
        <f t="shared" si="286"/>
        <v>0</v>
      </c>
      <c r="WCC64" s="857">
        <f t="shared" si="286"/>
        <v>0</v>
      </c>
      <c r="WCD64" s="857">
        <f t="shared" si="286"/>
        <v>0</v>
      </c>
      <c r="WCE64" s="857">
        <f t="shared" si="286"/>
        <v>0</v>
      </c>
      <c r="WCF64" s="857">
        <f t="shared" si="286"/>
        <v>0</v>
      </c>
      <c r="WCG64" s="857">
        <f t="shared" si="286"/>
        <v>0</v>
      </c>
      <c r="WCH64" s="857">
        <f t="shared" si="286"/>
        <v>0</v>
      </c>
      <c r="WCI64" s="857">
        <f t="shared" si="286"/>
        <v>0</v>
      </c>
      <c r="WCJ64" s="857">
        <f t="shared" si="286"/>
        <v>0</v>
      </c>
      <c r="WCK64" s="857">
        <f t="shared" si="286"/>
        <v>0</v>
      </c>
      <c r="WCL64" s="857">
        <f t="shared" si="286"/>
        <v>0</v>
      </c>
      <c r="WCM64" s="857">
        <f t="shared" si="286"/>
        <v>0</v>
      </c>
      <c r="WCN64" s="857">
        <f t="shared" si="286"/>
        <v>0</v>
      </c>
      <c r="WCO64" s="857">
        <f t="shared" si="286"/>
        <v>0</v>
      </c>
      <c r="WCP64" s="857">
        <f t="shared" si="286"/>
        <v>0</v>
      </c>
      <c r="WCQ64" s="857">
        <f t="shared" si="286"/>
        <v>0</v>
      </c>
      <c r="WCR64" s="857">
        <f t="shared" si="286"/>
        <v>0</v>
      </c>
      <c r="WCS64" s="857">
        <f t="shared" si="286"/>
        <v>0</v>
      </c>
      <c r="WCT64" s="857">
        <f t="shared" si="286"/>
        <v>0</v>
      </c>
      <c r="WCU64" s="857">
        <f t="shared" si="286"/>
        <v>0</v>
      </c>
      <c r="WCV64" s="857">
        <f t="shared" si="286"/>
        <v>0</v>
      </c>
      <c r="WCW64" s="857">
        <f t="shared" si="286"/>
        <v>0</v>
      </c>
      <c r="WCX64" s="857">
        <f t="shared" si="286"/>
        <v>0</v>
      </c>
      <c r="WCY64" s="857">
        <f t="shared" si="286"/>
        <v>0</v>
      </c>
      <c r="WCZ64" s="857">
        <f t="shared" si="286"/>
        <v>0</v>
      </c>
      <c r="WDA64" s="857">
        <f t="shared" si="286"/>
        <v>0</v>
      </c>
      <c r="WDB64" s="857">
        <f t="shared" si="286"/>
        <v>0</v>
      </c>
      <c r="WDC64" s="857">
        <f t="shared" si="286"/>
        <v>0</v>
      </c>
      <c r="WDD64" s="857">
        <f t="shared" si="286"/>
        <v>0</v>
      </c>
      <c r="WDE64" s="857">
        <f t="shared" si="286"/>
        <v>0</v>
      </c>
      <c r="WDF64" s="857">
        <f t="shared" si="286"/>
        <v>0</v>
      </c>
      <c r="WDG64" s="857">
        <f t="shared" si="286"/>
        <v>0</v>
      </c>
      <c r="WDH64" s="857">
        <f t="shared" si="286"/>
        <v>0</v>
      </c>
      <c r="WDI64" s="857">
        <f t="shared" si="286"/>
        <v>0</v>
      </c>
      <c r="WDJ64" s="857">
        <f t="shared" si="286"/>
        <v>0</v>
      </c>
      <c r="WDK64" s="857">
        <f t="shared" si="286"/>
        <v>0</v>
      </c>
      <c r="WDL64" s="857">
        <f t="shared" si="286"/>
        <v>0</v>
      </c>
      <c r="WDM64" s="857">
        <f t="shared" si="286"/>
        <v>0</v>
      </c>
      <c r="WDN64" s="857">
        <f t="shared" si="286"/>
        <v>0</v>
      </c>
      <c r="WDO64" s="857">
        <f t="shared" si="286"/>
        <v>0</v>
      </c>
      <c r="WDP64" s="857">
        <f t="shared" si="286"/>
        <v>0</v>
      </c>
      <c r="WDQ64" s="857">
        <f t="shared" si="286"/>
        <v>0</v>
      </c>
      <c r="WDR64" s="857">
        <f t="shared" si="286"/>
        <v>0</v>
      </c>
      <c r="WDS64" s="857">
        <f t="shared" si="286"/>
        <v>0</v>
      </c>
      <c r="WDT64" s="857">
        <f t="shared" si="286"/>
        <v>0</v>
      </c>
      <c r="WDU64" s="857">
        <f t="shared" si="286"/>
        <v>0</v>
      </c>
      <c r="WDV64" s="857">
        <f t="shared" si="286"/>
        <v>0</v>
      </c>
      <c r="WDW64" s="857">
        <f t="shared" si="286"/>
        <v>0</v>
      </c>
      <c r="WDX64" s="857">
        <f t="shared" si="286"/>
        <v>0</v>
      </c>
      <c r="WDY64" s="857">
        <f t="shared" si="286"/>
        <v>0</v>
      </c>
      <c r="WDZ64" s="857">
        <f t="shared" si="286"/>
        <v>0</v>
      </c>
      <c r="WEA64" s="857">
        <f t="shared" si="286"/>
        <v>0</v>
      </c>
      <c r="WEB64" s="857">
        <f t="shared" si="286"/>
        <v>0</v>
      </c>
      <c r="WEC64" s="857">
        <f t="shared" si="286"/>
        <v>0</v>
      </c>
      <c r="WED64" s="857">
        <f t="shared" si="286"/>
        <v>0</v>
      </c>
      <c r="WEE64" s="857">
        <f t="shared" si="286"/>
        <v>0</v>
      </c>
      <c r="WEF64" s="857">
        <f t="shared" si="286"/>
        <v>0</v>
      </c>
      <c r="WEG64" s="857">
        <f t="shared" si="286"/>
        <v>0</v>
      </c>
      <c r="WEH64" s="857">
        <f t="shared" ref="WEH64:WGS64" si="287">(WEH57-WEH59)*$C$64</f>
        <v>0</v>
      </c>
      <c r="WEI64" s="857">
        <f t="shared" si="287"/>
        <v>0</v>
      </c>
      <c r="WEJ64" s="857">
        <f t="shared" si="287"/>
        <v>0</v>
      </c>
      <c r="WEK64" s="857">
        <f t="shared" si="287"/>
        <v>0</v>
      </c>
      <c r="WEL64" s="857">
        <f t="shared" si="287"/>
        <v>0</v>
      </c>
      <c r="WEM64" s="857">
        <f t="shared" si="287"/>
        <v>0</v>
      </c>
      <c r="WEN64" s="857">
        <f t="shared" si="287"/>
        <v>0</v>
      </c>
      <c r="WEO64" s="857">
        <f t="shared" si="287"/>
        <v>0</v>
      </c>
      <c r="WEP64" s="857">
        <f t="shared" si="287"/>
        <v>0</v>
      </c>
      <c r="WEQ64" s="857">
        <f t="shared" si="287"/>
        <v>0</v>
      </c>
      <c r="WER64" s="857">
        <f t="shared" si="287"/>
        <v>0</v>
      </c>
      <c r="WES64" s="857">
        <f t="shared" si="287"/>
        <v>0</v>
      </c>
      <c r="WET64" s="857">
        <f t="shared" si="287"/>
        <v>0</v>
      </c>
      <c r="WEU64" s="857">
        <f t="shared" si="287"/>
        <v>0</v>
      </c>
      <c r="WEV64" s="857">
        <f t="shared" si="287"/>
        <v>0</v>
      </c>
      <c r="WEW64" s="857">
        <f t="shared" si="287"/>
        <v>0</v>
      </c>
      <c r="WEX64" s="857">
        <f t="shared" si="287"/>
        <v>0</v>
      </c>
      <c r="WEY64" s="857">
        <f t="shared" si="287"/>
        <v>0</v>
      </c>
      <c r="WEZ64" s="857">
        <f t="shared" si="287"/>
        <v>0</v>
      </c>
      <c r="WFA64" s="857">
        <f t="shared" si="287"/>
        <v>0</v>
      </c>
      <c r="WFB64" s="857">
        <f t="shared" si="287"/>
        <v>0</v>
      </c>
      <c r="WFC64" s="857">
        <f t="shared" si="287"/>
        <v>0</v>
      </c>
      <c r="WFD64" s="857">
        <f t="shared" si="287"/>
        <v>0</v>
      </c>
      <c r="WFE64" s="857">
        <f t="shared" si="287"/>
        <v>0</v>
      </c>
      <c r="WFF64" s="857">
        <f t="shared" si="287"/>
        <v>0</v>
      </c>
      <c r="WFG64" s="857">
        <f t="shared" si="287"/>
        <v>0</v>
      </c>
      <c r="WFH64" s="857">
        <f t="shared" si="287"/>
        <v>0</v>
      </c>
      <c r="WFI64" s="857">
        <f t="shared" si="287"/>
        <v>0</v>
      </c>
      <c r="WFJ64" s="857">
        <f t="shared" si="287"/>
        <v>0</v>
      </c>
      <c r="WFK64" s="857">
        <f t="shared" si="287"/>
        <v>0</v>
      </c>
      <c r="WFL64" s="857">
        <f t="shared" si="287"/>
        <v>0</v>
      </c>
      <c r="WFM64" s="857">
        <f t="shared" si="287"/>
        <v>0</v>
      </c>
      <c r="WFN64" s="857">
        <f t="shared" si="287"/>
        <v>0</v>
      </c>
      <c r="WFO64" s="857">
        <f t="shared" si="287"/>
        <v>0</v>
      </c>
      <c r="WFP64" s="857">
        <f t="shared" si="287"/>
        <v>0</v>
      </c>
      <c r="WFQ64" s="857">
        <f t="shared" si="287"/>
        <v>0</v>
      </c>
      <c r="WFR64" s="857">
        <f t="shared" si="287"/>
        <v>0</v>
      </c>
      <c r="WFS64" s="857">
        <f t="shared" si="287"/>
        <v>0</v>
      </c>
      <c r="WFT64" s="857">
        <f t="shared" si="287"/>
        <v>0</v>
      </c>
      <c r="WFU64" s="857">
        <f t="shared" si="287"/>
        <v>0</v>
      </c>
      <c r="WFV64" s="857">
        <f t="shared" si="287"/>
        <v>0</v>
      </c>
      <c r="WFW64" s="857">
        <f t="shared" si="287"/>
        <v>0</v>
      </c>
      <c r="WFX64" s="857">
        <f t="shared" si="287"/>
        <v>0</v>
      </c>
      <c r="WFY64" s="857">
        <f t="shared" si="287"/>
        <v>0</v>
      </c>
      <c r="WFZ64" s="857">
        <f t="shared" si="287"/>
        <v>0</v>
      </c>
      <c r="WGA64" s="857">
        <f t="shared" si="287"/>
        <v>0</v>
      </c>
      <c r="WGB64" s="857">
        <f t="shared" si="287"/>
        <v>0</v>
      </c>
      <c r="WGC64" s="857">
        <f t="shared" si="287"/>
        <v>0</v>
      </c>
      <c r="WGD64" s="857">
        <f t="shared" si="287"/>
        <v>0</v>
      </c>
      <c r="WGE64" s="857">
        <f t="shared" si="287"/>
        <v>0</v>
      </c>
      <c r="WGF64" s="857">
        <f t="shared" si="287"/>
        <v>0</v>
      </c>
      <c r="WGG64" s="857">
        <f t="shared" si="287"/>
        <v>0</v>
      </c>
      <c r="WGH64" s="857">
        <f t="shared" si="287"/>
        <v>0</v>
      </c>
      <c r="WGI64" s="857">
        <f t="shared" si="287"/>
        <v>0</v>
      </c>
      <c r="WGJ64" s="857">
        <f t="shared" si="287"/>
        <v>0</v>
      </c>
      <c r="WGK64" s="857">
        <f t="shared" si="287"/>
        <v>0</v>
      </c>
      <c r="WGL64" s="857">
        <f t="shared" si="287"/>
        <v>0</v>
      </c>
      <c r="WGM64" s="857">
        <f t="shared" si="287"/>
        <v>0</v>
      </c>
      <c r="WGN64" s="857">
        <f t="shared" si="287"/>
        <v>0</v>
      </c>
      <c r="WGO64" s="857">
        <f t="shared" si="287"/>
        <v>0</v>
      </c>
      <c r="WGP64" s="857">
        <f t="shared" si="287"/>
        <v>0</v>
      </c>
      <c r="WGQ64" s="857">
        <f t="shared" si="287"/>
        <v>0</v>
      </c>
      <c r="WGR64" s="857">
        <f t="shared" si="287"/>
        <v>0</v>
      </c>
      <c r="WGS64" s="857">
        <f t="shared" si="287"/>
        <v>0</v>
      </c>
      <c r="WGT64" s="857">
        <f t="shared" ref="WGT64:WJE64" si="288">(WGT57-WGT59)*$C$64</f>
        <v>0</v>
      </c>
      <c r="WGU64" s="857">
        <f t="shared" si="288"/>
        <v>0</v>
      </c>
      <c r="WGV64" s="857">
        <f t="shared" si="288"/>
        <v>0</v>
      </c>
      <c r="WGW64" s="857">
        <f t="shared" si="288"/>
        <v>0</v>
      </c>
      <c r="WGX64" s="857">
        <f t="shared" si="288"/>
        <v>0</v>
      </c>
      <c r="WGY64" s="857">
        <f t="shared" si="288"/>
        <v>0</v>
      </c>
      <c r="WGZ64" s="857">
        <f t="shared" si="288"/>
        <v>0</v>
      </c>
      <c r="WHA64" s="857">
        <f t="shared" si="288"/>
        <v>0</v>
      </c>
      <c r="WHB64" s="857">
        <f t="shared" si="288"/>
        <v>0</v>
      </c>
      <c r="WHC64" s="857">
        <f t="shared" si="288"/>
        <v>0</v>
      </c>
      <c r="WHD64" s="857">
        <f t="shared" si="288"/>
        <v>0</v>
      </c>
      <c r="WHE64" s="857">
        <f t="shared" si="288"/>
        <v>0</v>
      </c>
      <c r="WHF64" s="857">
        <f t="shared" si="288"/>
        <v>0</v>
      </c>
      <c r="WHG64" s="857">
        <f t="shared" si="288"/>
        <v>0</v>
      </c>
      <c r="WHH64" s="857">
        <f t="shared" si="288"/>
        <v>0</v>
      </c>
      <c r="WHI64" s="857">
        <f t="shared" si="288"/>
        <v>0</v>
      </c>
      <c r="WHJ64" s="857">
        <f t="shared" si="288"/>
        <v>0</v>
      </c>
      <c r="WHK64" s="857">
        <f t="shared" si="288"/>
        <v>0</v>
      </c>
      <c r="WHL64" s="857">
        <f t="shared" si="288"/>
        <v>0</v>
      </c>
      <c r="WHM64" s="857">
        <f t="shared" si="288"/>
        <v>0</v>
      </c>
      <c r="WHN64" s="857">
        <f t="shared" si="288"/>
        <v>0</v>
      </c>
      <c r="WHO64" s="857">
        <f t="shared" si="288"/>
        <v>0</v>
      </c>
      <c r="WHP64" s="857">
        <f t="shared" si="288"/>
        <v>0</v>
      </c>
      <c r="WHQ64" s="857">
        <f t="shared" si="288"/>
        <v>0</v>
      </c>
      <c r="WHR64" s="857">
        <f t="shared" si="288"/>
        <v>0</v>
      </c>
      <c r="WHS64" s="857">
        <f t="shared" si="288"/>
        <v>0</v>
      </c>
      <c r="WHT64" s="857">
        <f t="shared" si="288"/>
        <v>0</v>
      </c>
      <c r="WHU64" s="857">
        <f t="shared" si="288"/>
        <v>0</v>
      </c>
      <c r="WHV64" s="857">
        <f t="shared" si="288"/>
        <v>0</v>
      </c>
      <c r="WHW64" s="857">
        <f t="shared" si="288"/>
        <v>0</v>
      </c>
      <c r="WHX64" s="857">
        <f t="shared" si="288"/>
        <v>0</v>
      </c>
      <c r="WHY64" s="857">
        <f t="shared" si="288"/>
        <v>0</v>
      </c>
      <c r="WHZ64" s="857">
        <f t="shared" si="288"/>
        <v>0</v>
      </c>
      <c r="WIA64" s="857">
        <f t="shared" si="288"/>
        <v>0</v>
      </c>
      <c r="WIB64" s="857">
        <f t="shared" si="288"/>
        <v>0</v>
      </c>
      <c r="WIC64" s="857">
        <f t="shared" si="288"/>
        <v>0</v>
      </c>
      <c r="WID64" s="857">
        <f t="shared" si="288"/>
        <v>0</v>
      </c>
      <c r="WIE64" s="857">
        <f t="shared" si="288"/>
        <v>0</v>
      </c>
      <c r="WIF64" s="857">
        <f t="shared" si="288"/>
        <v>0</v>
      </c>
      <c r="WIG64" s="857">
        <f t="shared" si="288"/>
        <v>0</v>
      </c>
      <c r="WIH64" s="857">
        <f t="shared" si="288"/>
        <v>0</v>
      </c>
      <c r="WII64" s="857">
        <f t="shared" si="288"/>
        <v>0</v>
      </c>
      <c r="WIJ64" s="857">
        <f t="shared" si="288"/>
        <v>0</v>
      </c>
      <c r="WIK64" s="857">
        <f t="shared" si="288"/>
        <v>0</v>
      </c>
      <c r="WIL64" s="857">
        <f t="shared" si="288"/>
        <v>0</v>
      </c>
      <c r="WIM64" s="857">
        <f t="shared" si="288"/>
        <v>0</v>
      </c>
      <c r="WIN64" s="857">
        <f t="shared" si="288"/>
        <v>0</v>
      </c>
      <c r="WIO64" s="857">
        <f t="shared" si="288"/>
        <v>0</v>
      </c>
      <c r="WIP64" s="857">
        <f t="shared" si="288"/>
        <v>0</v>
      </c>
      <c r="WIQ64" s="857">
        <f t="shared" si="288"/>
        <v>0</v>
      </c>
      <c r="WIR64" s="857">
        <f t="shared" si="288"/>
        <v>0</v>
      </c>
      <c r="WIS64" s="857">
        <f t="shared" si="288"/>
        <v>0</v>
      </c>
      <c r="WIT64" s="857">
        <f t="shared" si="288"/>
        <v>0</v>
      </c>
      <c r="WIU64" s="857">
        <f t="shared" si="288"/>
        <v>0</v>
      </c>
      <c r="WIV64" s="857">
        <f t="shared" si="288"/>
        <v>0</v>
      </c>
      <c r="WIW64" s="857">
        <f t="shared" si="288"/>
        <v>0</v>
      </c>
      <c r="WIX64" s="857">
        <f t="shared" si="288"/>
        <v>0</v>
      </c>
      <c r="WIY64" s="857">
        <f t="shared" si="288"/>
        <v>0</v>
      </c>
      <c r="WIZ64" s="857">
        <f t="shared" si="288"/>
        <v>0</v>
      </c>
      <c r="WJA64" s="857">
        <f t="shared" si="288"/>
        <v>0</v>
      </c>
      <c r="WJB64" s="857">
        <f t="shared" si="288"/>
        <v>0</v>
      </c>
      <c r="WJC64" s="857">
        <f t="shared" si="288"/>
        <v>0</v>
      </c>
      <c r="WJD64" s="857">
        <f t="shared" si="288"/>
        <v>0</v>
      </c>
      <c r="WJE64" s="857">
        <f t="shared" si="288"/>
        <v>0</v>
      </c>
      <c r="WJF64" s="857">
        <f t="shared" ref="WJF64:WLQ64" si="289">(WJF57-WJF59)*$C$64</f>
        <v>0</v>
      </c>
      <c r="WJG64" s="857">
        <f t="shared" si="289"/>
        <v>0</v>
      </c>
      <c r="WJH64" s="857">
        <f t="shared" si="289"/>
        <v>0</v>
      </c>
      <c r="WJI64" s="857">
        <f t="shared" si="289"/>
        <v>0</v>
      </c>
      <c r="WJJ64" s="857">
        <f t="shared" si="289"/>
        <v>0</v>
      </c>
      <c r="WJK64" s="857">
        <f t="shared" si="289"/>
        <v>0</v>
      </c>
      <c r="WJL64" s="857">
        <f t="shared" si="289"/>
        <v>0</v>
      </c>
      <c r="WJM64" s="857">
        <f t="shared" si="289"/>
        <v>0</v>
      </c>
      <c r="WJN64" s="857">
        <f t="shared" si="289"/>
        <v>0</v>
      </c>
      <c r="WJO64" s="857">
        <f t="shared" si="289"/>
        <v>0</v>
      </c>
      <c r="WJP64" s="857">
        <f t="shared" si="289"/>
        <v>0</v>
      </c>
      <c r="WJQ64" s="857">
        <f t="shared" si="289"/>
        <v>0</v>
      </c>
      <c r="WJR64" s="857">
        <f t="shared" si="289"/>
        <v>0</v>
      </c>
      <c r="WJS64" s="857">
        <f t="shared" si="289"/>
        <v>0</v>
      </c>
      <c r="WJT64" s="857">
        <f t="shared" si="289"/>
        <v>0</v>
      </c>
      <c r="WJU64" s="857">
        <f t="shared" si="289"/>
        <v>0</v>
      </c>
      <c r="WJV64" s="857">
        <f t="shared" si="289"/>
        <v>0</v>
      </c>
      <c r="WJW64" s="857">
        <f t="shared" si="289"/>
        <v>0</v>
      </c>
      <c r="WJX64" s="857">
        <f t="shared" si="289"/>
        <v>0</v>
      </c>
      <c r="WJY64" s="857">
        <f t="shared" si="289"/>
        <v>0</v>
      </c>
      <c r="WJZ64" s="857">
        <f t="shared" si="289"/>
        <v>0</v>
      </c>
      <c r="WKA64" s="857">
        <f t="shared" si="289"/>
        <v>0</v>
      </c>
      <c r="WKB64" s="857">
        <f t="shared" si="289"/>
        <v>0</v>
      </c>
      <c r="WKC64" s="857">
        <f t="shared" si="289"/>
        <v>0</v>
      </c>
      <c r="WKD64" s="857">
        <f t="shared" si="289"/>
        <v>0</v>
      </c>
      <c r="WKE64" s="857">
        <f t="shared" si="289"/>
        <v>0</v>
      </c>
      <c r="WKF64" s="857">
        <f t="shared" si="289"/>
        <v>0</v>
      </c>
      <c r="WKG64" s="857">
        <f t="shared" si="289"/>
        <v>0</v>
      </c>
      <c r="WKH64" s="857">
        <f t="shared" si="289"/>
        <v>0</v>
      </c>
      <c r="WKI64" s="857">
        <f t="shared" si="289"/>
        <v>0</v>
      </c>
      <c r="WKJ64" s="857">
        <f t="shared" si="289"/>
        <v>0</v>
      </c>
      <c r="WKK64" s="857">
        <f t="shared" si="289"/>
        <v>0</v>
      </c>
      <c r="WKL64" s="857">
        <f t="shared" si="289"/>
        <v>0</v>
      </c>
      <c r="WKM64" s="857">
        <f t="shared" si="289"/>
        <v>0</v>
      </c>
      <c r="WKN64" s="857">
        <f t="shared" si="289"/>
        <v>0</v>
      </c>
      <c r="WKO64" s="857">
        <f t="shared" si="289"/>
        <v>0</v>
      </c>
      <c r="WKP64" s="857">
        <f t="shared" si="289"/>
        <v>0</v>
      </c>
      <c r="WKQ64" s="857">
        <f t="shared" si="289"/>
        <v>0</v>
      </c>
      <c r="WKR64" s="857">
        <f t="shared" si="289"/>
        <v>0</v>
      </c>
      <c r="WKS64" s="857">
        <f t="shared" si="289"/>
        <v>0</v>
      </c>
      <c r="WKT64" s="857">
        <f t="shared" si="289"/>
        <v>0</v>
      </c>
      <c r="WKU64" s="857">
        <f t="shared" si="289"/>
        <v>0</v>
      </c>
      <c r="WKV64" s="857">
        <f t="shared" si="289"/>
        <v>0</v>
      </c>
      <c r="WKW64" s="857">
        <f t="shared" si="289"/>
        <v>0</v>
      </c>
      <c r="WKX64" s="857">
        <f t="shared" si="289"/>
        <v>0</v>
      </c>
      <c r="WKY64" s="857">
        <f t="shared" si="289"/>
        <v>0</v>
      </c>
      <c r="WKZ64" s="857">
        <f t="shared" si="289"/>
        <v>0</v>
      </c>
      <c r="WLA64" s="857">
        <f t="shared" si="289"/>
        <v>0</v>
      </c>
      <c r="WLB64" s="857">
        <f t="shared" si="289"/>
        <v>0</v>
      </c>
      <c r="WLC64" s="857">
        <f t="shared" si="289"/>
        <v>0</v>
      </c>
      <c r="WLD64" s="857">
        <f t="shared" si="289"/>
        <v>0</v>
      </c>
      <c r="WLE64" s="857">
        <f t="shared" si="289"/>
        <v>0</v>
      </c>
      <c r="WLF64" s="857">
        <f t="shared" si="289"/>
        <v>0</v>
      </c>
      <c r="WLG64" s="857">
        <f t="shared" si="289"/>
        <v>0</v>
      </c>
      <c r="WLH64" s="857">
        <f t="shared" si="289"/>
        <v>0</v>
      </c>
      <c r="WLI64" s="857">
        <f t="shared" si="289"/>
        <v>0</v>
      </c>
      <c r="WLJ64" s="857">
        <f t="shared" si="289"/>
        <v>0</v>
      </c>
      <c r="WLK64" s="857">
        <f t="shared" si="289"/>
        <v>0</v>
      </c>
      <c r="WLL64" s="857">
        <f t="shared" si="289"/>
        <v>0</v>
      </c>
      <c r="WLM64" s="857">
        <f t="shared" si="289"/>
        <v>0</v>
      </c>
      <c r="WLN64" s="857">
        <f t="shared" si="289"/>
        <v>0</v>
      </c>
      <c r="WLO64" s="857">
        <f t="shared" si="289"/>
        <v>0</v>
      </c>
      <c r="WLP64" s="857">
        <f t="shared" si="289"/>
        <v>0</v>
      </c>
      <c r="WLQ64" s="857">
        <f t="shared" si="289"/>
        <v>0</v>
      </c>
      <c r="WLR64" s="857">
        <f t="shared" ref="WLR64:WOC64" si="290">(WLR57-WLR59)*$C$64</f>
        <v>0</v>
      </c>
      <c r="WLS64" s="857">
        <f t="shared" si="290"/>
        <v>0</v>
      </c>
      <c r="WLT64" s="857">
        <f t="shared" si="290"/>
        <v>0</v>
      </c>
      <c r="WLU64" s="857">
        <f t="shared" si="290"/>
        <v>0</v>
      </c>
      <c r="WLV64" s="857">
        <f t="shared" si="290"/>
        <v>0</v>
      </c>
      <c r="WLW64" s="857">
        <f t="shared" si="290"/>
        <v>0</v>
      </c>
      <c r="WLX64" s="857">
        <f t="shared" si="290"/>
        <v>0</v>
      </c>
      <c r="WLY64" s="857">
        <f t="shared" si="290"/>
        <v>0</v>
      </c>
      <c r="WLZ64" s="857">
        <f t="shared" si="290"/>
        <v>0</v>
      </c>
      <c r="WMA64" s="857">
        <f t="shared" si="290"/>
        <v>0</v>
      </c>
      <c r="WMB64" s="857">
        <f t="shared" si="290"/>
        <v>0</v>
      </c>
      <c r="WMC64" s="857">
        <f t="shared" si="290"/>
        <v>0</v>
      </c>
      <c r="WMD64" s="857">
        <f t="shared" si="290"/>
        <v>0</v>
      </c>
      <c r="WME64" s="857">
        <f t="shared" si="290"/>
        <v>0</v>
      </c>
      <c r="WMF64" s="857">
        <f t="shared" si="290"/>
        <v>0</v>
      </c>
      <c r="WMG64" s="857">
        <f t="shared" si="290"/>
        <v>0</v>
      </c>
      <c r="WMH64" s="857">
        <f t="shared" si="290"/>
        <v>0</v>
      </c>
      <c r="WMI64" s="857">
        <f t="shared" si="290"/>
        <v>0</v>
      </c>
      <c r="WMJ64" s="857">
        <f t="shared" si="290"/>
        <v>0</v>
      </c>
      <c r="WMK64" s="857">
        <f t="shared" si="290"/>
        <v>0</v>
      </c>
      <c r="WML64" s="857">
        <f t="shared" si="290"/>
        <v>0</v>
      </c>
      <c r="WMM64" s="857">
        <f t="shared" si="290"/>
        <v>0</v>
      </c>
      <c r="WMN64" s="857">
        <f t="shared" si="290"/>
        <v>0</v>
      </c>
      <c r="WMO64" s="857">
        <f t="shared" si="290"/>
        <v>0</v>
      </c>
      <c r="WMP64" s="857">
        <f t="shared" si="290"/>
        <v>0</v>
      </c>
      <c r="WMQ64" s="857">
        <f t="shared" si="290"/>
        <v>0</v>
      </c>
      <c r="WMR64" s="857">
        <f t="shared" si="290"/>
        <v>0</v>
      </c>
      <c r="WMS64" s="857">
        <f t="shared" si="290"/>
        <v>0</v>
      </c>
      <c r="WMT64" s="857">
        <f t="shared" si="290"/>
        <v>0</v>
      </c>
      <c r="WMU64" s="857">
        <f t="shared" si="290"/>
        <v>0</v>
      </c>
      <c r="WMV64" s="857">
        <f t="shared" si="290"/>
        <v>0</v>
      </c>
      <c r="WMW64" s="857">
        <f t="shared" si="290"/>
        <v>0</v>
      </c>
      <c r="WMX64" s="857">
        <f t="shared" si="290"/>
        <v>0</v>
      </c>
      <c r="WMY64" s="857">
        <f t="shared" si="290"/>
        <v>0</v>
      </c>
      <c r="WMZ64" s="857">
        <f t="shared" si="290"/>
        <v>0</v>
      </c>
      <c r="WNA64" s="857">
        <f t="shared" si="290"/>
        <v>0</v>
      </c>
      <c r="WNB64" s="857">
        <f t="shared" si="290"/>
        <v>0</v>
      </c>
      <c r="WNC64" s="857">
        <f t="shared" si="290"/>
        <v>0</v>
      </c>
      <c r="WND64" s="857">
        <f t="shared" si="290"/>
        <v>0</v>
      </c>
      <c r="WNE64" s="857">
        <f t="shared" si="290"/>
        <v>0</v>
      </c>
      <c r="WNF64" s="857">
        <f t="shared" si="290"/>
        <v>0</v>
      </c>
      <c r="WNG64" s="857">
        <f t="shared" si="290"/>
        <v>0</v>
      </c>
      <c r="WNH64" s="857">
        <f t="shared" si="290"/>
        <v>0</v>
      </c>
      <c r="WNI64" s="857">
        <f t="shared" si="290"/>
        <v>0</v>
      </c>
      <c r="WNJ64" s="857">
        <f t="shared" si="290"/>
        <v>0</v>
      </c>
      <c r="WNK64" s="857">
        <f t="shared" si="290"/>
        <v>0</v>
      </c>
      <c r="WNL64" s="857">
        <f t="shared" si="290"/>
        <v>0</v>
      </c>
      <c r="WNM64" s="857">
        <f t="shared" si="290"/>
        <v>0</v>
      </c>
      <c r="WNN64" s="857">
        <f t="shared" si="290"/>
        <v>0</v>
      </c>
      <c r="WNO64" s="857">
        <f t="shared" si="290"/>
        <v>0</v>
      </c>
      <c r="WNP64" s="857">
        <f t="shared" si="290"/>
        <v>0</v>
      </c>
      <c r="WNQ64" s="857">
        <f t="shared" si="290"/>
        <v>0</v>
      </c>
      <c r="WNR64" s="857">
        <f t="shared" si="290"/>
        <v>0</v>
      </c>
      <c r="WNS64" s="857">
        <f t="shared" si="290"/>
        <v>0</v>
      </c>
      <c r="WNT64" s="857">
        <f t="shared" si="290"/>
        <v>0</v>
      </c>
      <c r="WNU64" s="857">
        <f t="shared" si="290"/>
        <v>0</v>
      </c>
      <c r="WNV64" s="857">
        <f t="shared" si="290"/>
        <v>0</v>
      </c>
      <c r="WNW64" s="857">
        <f t="shared" si="290"/>
        <v>0</v>
      </c>
      <c r="WNX64" s="857">
        <f t="shared" si="290"/>
        <v>0</v>
      </c>
      <c r="WNY64" s="857">
        <f t="shared" si="290"/>
        <v>0</v>
      </c>
      <c r="WNZ64" s="857">
        <f t="shared" si="290"/>
        <v>0</v>
      </c>
      <c r="WOA64" s="857">
        <f t="shared" si="290"/>
        <v>0</v>
      </c>
      <c r="WOB64" s="857">
        <f t="shared" si="290"/>
        <v>0</v>
      </c>
      <c r="WOC64" s="857">
        <f t="shared" si="290"/>
        <v>0</v>
      </c>
      <c r="WOD64" s="857">
        <f t="shared" ref="WOD64:WQO64" si="291">(WOD57-WOD59)*$C$64</f>
        <v>0</v>
      </c>
      <c r="WOE64" s="857">
        <f t="shared" si="291"/>
        <v>0</v>
      </c>
      <c r="WOF64" s="857">
        <f t="shared" si="291"/>
        <v>0</v>
      </c>
      <c r="WOG64" s="857">
        <f t="shared" si="291"/>
        <v>0</v>
      </c>
      <c r="WOH64" s="857">
        <f t="shared" si="291"/>
        <v>0</v>
      </c>
      <c r="WOI64" s="857">
        <f t="shared" si="291"/>
        <v>0</v>
      </c>
      <c r="WOJ64" s="857">
        <f t="shared" si="291"/>
        <v>0</v>
      </c>
      <c r="WOK64" s="857">
        <f t="shared" si="291"/>
        <v>0</v>
      </c>
      <c r="WOL64" s="857">
        <f t="shared" si="291"/>
        <v>0</v>
      </c>
      <c r="WOM64" s="857">
        <f t="shared" si="291"/>
        <v>0</v>
      </c>
      <c r="WON64" s="857">
        <f t="shared" si="291"/>
        <v>0</v>
      </c>
      <c r="WOO64" s="857">
        <f t="shared" si="291"/>
        <v>0</v>
      </c>
      <c r="WOP64" s="857">
        <f t="shared" si="291"/>
        <v>0</v>
      </c>
      <c r="WOQ64" s="857">
        <f t="shared" si="291"/>
        <v>0</v>
      </c>
      <c r="WOR64" s="857">
        <f t="shared" si="291"/>
        <v>0</v>
      </c>
      <c r="WOS64" s="857">
        <f t="shared" si="291"/>
        <v>0</v>
      </c>
      <c r="WOT64" s="857">
        <f t="shared" si="291"/>
        <v>0</v>
      </c>
      <c r="WOU64" s="857">
        <f t="shared" si="291"/>
        <v>0</v>
      </c>
      <c r="WOV64" s="857">
        <f t="shared" si="291"/>
        <v>0</v>
      </c>
      <c r="WOW64" s="857">
        <f t="shared" si="291"/>
        <v>0</v>
      </c>
      <c r="WOX64" s="857">
        <f t="shared" si="291"/>
        <v>0</v>
      </c>
      <c r="WOY64" s="857">
        <f t="shared" si="291"/>
        <v>0</v>
      </c>
      <c r="WOZ64" s="857">
        <f t="shared" si="291"/>
        <v>0</v>
      </c>
      <c r="WPA64" s="857">
        <f t="shared" si="291"/>
        <v>0</v>
      </c>
      <c r="WPB64" s="857">
        <f t="shared" si="291"/>
        <v>0</v>
      </c>
      <c r="WPC64" s="857">
        <f t="shared" si="291"/>
        <v>0</v>
      </c>
      <c r="WPD64" s="857">
        <f t="shared" si="291"/>
        <v>0</v>
      </c>
      <c r="WPE64" s="857">
        <f t="shared" si="291"/>
        <v>0</v>
      </c>
      <c r="WPF64" s="857">
        <f t="shared" si="291"/>
        <v>0</v>
      </c>
      <c r="WPG64" s="857">
        <f t="shared" si="291"/>
        <v>0</v>
      </c>
      <c r="WPH64" s="857">
        <f t="shared" si="291"/>
        <v>0</v>
      </c>
      <c r="WPI64" s="857">
        <f t="shared" si="291"/>
        <v>0</v>
      </c>
      <c r="WPJ64" s="857">
        <f t="shared" si="291"/>
        <v>0</v>
      </c>
      <c r="WPK64" s="857">
        <f t="shared" si="291"/>
        <v>0</v>
      </c>
      <c r="WPL64" s="857">
        <f t="shared" si="291"/>
        <v>0</v>
      </c>
      <c r="WPM64" s="857">
        <f t="shared" si="291"/>
        <v>0</v>
      </c>
      <c r="WPN64" s="857">
        <f t="shared" si="291"/>
        <v>0</v>
      </c>
      <c r="WPO64" s="857">
        <f t="shared" si="291"/>
        <v>0</v>
      </c>
      <c r="WPP64" s="857">
        <f t="shared" si="291"/>
        <v>0</v>
      </c>
      <c r="WPQ64" s="857">
        <f t="shared" si="291"/>
        <v>0</v>
      </c>
      <c r="WPR64" s="857">
        <f t="shared" si="291"/>
        <v>0</v>
      </c>
      <c r="WPS64" s="857">
        <f t="shared" si="291"/>
        <v>0</v>
      </c>
      <c r="WPT64" s="857">
        <f t="shared" si="291"/>
        <v>0</v>
      </c>
      <c r="WPU64" s="857">
        <f t="shared" si="291"/>
        <v>0</v>
      </c>
      <c r="WPV64" s="857">
        <f t="shared" si="291"/>
        <v>0</v>
      </c>
      <c r="WPW64" s="857">
        <f t="shared" si="291"/>
        <v>0</v>
      </c>
      <c r="WPX64" s="857">
        <f t="shared" si="291"/>
        <v>0</v>
      </c>
      <c r="WPY64" s="857">
        <f t="shared" si="291"/>
        <v>0</v>
      </c>
      <c r="WPZ64" s="857">
        <f t="shared" si="291"/>
        <v>0</v>
      </c>
      <c r="WQA64" s="857">
        <f t="shared" si="291"/>
        <v>0</v>
      </c>
      <c r="WQB64" s="857">
        <f t="shared" si="291"/>
        <v>0</v>
      </c>
      <c r="WQC64" s="857">
        <f t="shared" si="291"/>
        <v>0</v>
      </c>
      <c r="WQD64" s="857">
        <f t="shared" si="291"/>
        <v>0</v>
      </c>
      <c r="WQE64" s="857">
        <f t="shared" si="291"/>
        <v>0</v>
      </c>
      <c r="WQF64" s="857">
        <f t="shared" si="291"/>
        <v>0</v>
      </c>
      <c r="WQG64" s="857">
        <f t="shared" si="291"/>
        <v>0</v>
      </c>
      <c r="WQH64" s="857">
        <f t="shared" si="291"/>
        <v>0</v>
      </c>
      <c r="WQI64" s="857">
        <f t="shared" si="291"/>
        <v>0</v>
      </c>
      <c r="WQJ64" s="857">
        <f t="shared" si="291"/>
        <v>0</v>
      </c>
      <c r="WQK64" s="857">
        <f t="shared" si="291"/>
        <v>0</v>
      </c>
      <c r="WQL64" s="857">
        <f t="shared" si="291"/>
        <v>0</v>
      </c>
      <c r="WQM64" s="857">
        <f t="shared" si="291"/>
        <v>0</v>
      </c>
      <c r="WQN64" s="857">
        <f t="shared" si="291"/>
        <v>0</v>
      </c>
      <c r="WQO64" s="857">
        <f t="shared" si="291"/>
        <v>0</v>
      </c>
      <c r="WQP64" s="857">
        <f t="shared" ref="WQP64:WTA64" si="292">(WQP57-WQP59)*$C$64</f>
        <v>0</v>
      </c>
      <c r="WQQ64" s="857">
        <f t="shared" si="292"/>
        <v>0</v>
      </c>
      <c r="WQR64" s="857">
        <f t="shared" si="292"/>
        <v>0</v>
      </c>
      <c r="WQS64" s="857">
        <f t="shared" si="292"/>
        <v>0</v>
      </c>
      <c r="WQT64" s="857">
        <f t="shared" si="292"/>
        <v>0</v>
      </c>
      <c r="WQU64" s="857">
        <f t="shared" si="292"/>
        <v>0</v>
      </c>
      <c r="WQV64" s="857">
        <f t="shared" si="292"/>
        <v>0</v>
      </c>
      <c r="WQW64" s="857">
        <f t="shared" si="292"/>
        <v>0</v>
      </c>
      <c r="WQX64" s="857">
        <f t="shared" si="292"/>
        <v>0</v>
      </c>
      <c r="WQY64" s="857">
        <f t="shared" si="292"/>
        <v>0</v>
      </c>
      <c r="WQZ64" s="857">
        <f t="shared" si="292"/>
        <v>0</v>
      </c>
      <c r="WRA64" s="857">
        <f t="shared" si="292"/>
        <v>0</v>
      </c>
      <c r="WRB64" s="857">
        <f t="shared" si="292"/>
        <v>0</v>
      </c>
      <c r="WRC64" s="857">
        <f t="shared" si="292"/>
        <v>0</v>
      </c>
      <c r="WRD64" s="857">
        <f t="shared" si="292"/>
        <v>0</v>
      </c>
      <c r="WRE64" s="857">
        <f t="shared" si="292"/>
        <v>0</v>
      </c>
      <c r="WRF64" s="857">
        <f t="shared" si="292"/>
        <v>0</v>
      </c>
      <c r="WRG64" s="857">
        <f t="shared" si="292"/>
        <v>0</v>
      </c>
      <c r="WRH64" s="857">
        <f t="shared" si="292"/>
        <v>0</v>
      </c>
      <c r="WRI64" s="857">
        <f t="shared" si="292"/>
        <v>0</v>
      </c>
      <c r="WRJ64" s="857">
        <f t="shared" si="292"/>
        <v>0</v>
      </c>
      <c r="WRK64" s="857">
        <f t="shared" si="292"/>
        <v>0</v>
      </c>
      <c r="WRL64" s="857">
        <f t="shared" si="292"/>
        <v>0</v>
      </c>
      <c r="WRM64" s="857">
        <f t="shared" si="292"/>
        <v>0</v>
      </c>
      <c r="WRN64" s="857">
        <f t="shared" si="292"/>
        <v>0</v>
      </c>
      <c r="WRO64" s="857">
        <f t="shared" si="292"/>
        <v>0</v>
      </c>
      <c r="WRP64" s="857">
        <f t="shared" si="292"/>
        <v>0</v>
      </c>
      <c r="WRQ64" s="857">
        <f t="shared" si="292"/>
        <v>0</v>
      </c>
      <c r="WRR64" s="857">
        <f t="shared" si="292"/>
        <v>0</v>
      </c>
      <c r="WRS64" s="857">
        <f t="shared" si="292"/>
        <v>0</v>
      </c>
      <c r="WRT64" s="857">
        <f t="shared" si="292"/>
        <v>0</v>
      </c>
      <c r="WRU64" s="857">
        <f t="shared" si="292"/>
        <v>0</v>
      </c>
      <c r="WRV64" s="857">
        <f t="shared" si="292"/>
        <v>0</v>
      </c>
      <c r="WRW64" s="857">
        <f t="shared" si="292"/>
        <v>0</v>
      </c>
      <c r="WRX64" s="857">
        <f t="shared" si="292"/>
        <v>0</v>
      </c>
      <c r="WRY64" s="857">
        <f t="shared" si="292"/>
        <v>0</v>
      </c>
      <c r="WRZ64" s="857">
        <f t="shared" si="292"/>
        <v>0</v>
      </c>
      <c r="WSA64" s="857">
        <f t="shared" si="292"/>
        <v>0</v>
      </c>
      <c r="WSB64" s="857">
        <f t="shared" si="292"/>
        <v>0</v>
      </c>
      <c r="WSC64" s="857">
        <f t="shared" si="292"/>
        <v>0</v>
      </c>
      <c r="WSD64" s="857">
        <f t="shared" si="292"/>
        <v>0</v>
      </c>
      <c r="WSE64" s="857">
        <f t="shared" si="292"/>
        <v>0</v>
      </c>
      <c r="WSF64" s="857">
        <f t="shared" si="292"/>
        <v>0</v>
      </c>
      <c r="WSG64" s="857">
        <f t="shared" si="292"/>
        <v>0</v>
      </c>
      <c r="WSH64" s="857">
        <f t="shared" si="292"/>
        <v>0</v>
      </c>
      <c r="WSI64" s="857">
        <f t="shared" si="292"/>
        <v>0</v>
      </c>
      <c r="WSJ64" s="857">
        <f t="shared" si="292"/>
        <v>0</v>
      </c>
      <c r="WSK64" s="857">
        <f t="shared" si="292"/>
        <v>0</v>
      </c>
      <c r="WSL64" s="857">
        <f t="shared" si="292"/>
        <v>0</v>
      </c>
      <c r="WSM64" s="857">
        <f t="shared" si="292"/>
        <v>0</v>
      </c>
      <c r="WSN64" s="857">
        <f t="shared" si="292"/>
        <v>0</v>
      </c>
      <c r="WSO64" s="857">
        <f t="shared" si="292"/>
        <v>0</v>
      </c>
      <c r="WSP64" s="857">
        <f t="shared" si="292"/>
        <v>0</v>
      </c>
      <c r="WSQ64" s="857">
        <f t="shared" si="292"/>
        <v>0</v>
      </c>
      <c r="WSR64" s="857">
        <f t="shared" si="292"/>
        <v>0</v>
      </c>
      <c r="WSS64" s="857">
        <f t="shared" si="292"/>
        <v>0</v>
      </c>
      <c r="WST64" s="857">
        <f t="shared" si="292"/>
        <v>0</v>
      </c>
      <c r="WSU64" s="857">
        <f t="shared" si="292"/>
        <v>0</v>
      </c>
      <c r="WSV64" s="857">
        <f t="shared" si="292"/>
        <v>0</v>
      </c>
      <c r="WSW64" s="857">
        <f t="shared" si="292"/>
        <v>0</v>
      </c>
      <c r="WSX64" s="857">
        <f t="shared" si="292"/>
        <v>0</v>
      </c>
      <c r="WSY64" s="857">
        <f t="shared" si="292"/>
        <v>0</v>
      </c>
      <c r="WSZ64" s="857">
        <f t="shared" si="292"/>
        <v>0</v>
      </c>
      <c r="WTA64" s="857">
        <f t="shared" si="292"/>
        <v>0</v>
      </c>
      <c r="WTB64" s="857">
        <f t="shared" ref="WTB64:WVM64" si="293">(WTB57-WTB59)*$C$64</f>
        <v>0</v>
      </c>
      <c r="WTC64" s="857">
        <f t="shared" si="293"/>
        <v>0</v>
      </c>
      <c r="WTD64" s="857">
        <f t="shared" si="293"/>
        <v>0</v>
      </c>
      <c r="WTE64" s="857">
        <f t="shared" si="293"/>
        <v>0</v>
      </c>
      <c r="WTF64" s="857">
        <f t="shared" si="293"/>
        <v>0</v>
      </c>
      <c r="WTG64" s="857">
        <f t="shared" si="293"/>
        <v>0</v>
      </c>
      <c r="WTH64" s="857">
        <f t="shared" si="293"/>
        <v>0</v>
      </c>
      <c r="WTI64" s="857">
        <f t="shared" si="293"/>
        <v>0</v>
      </c>
      <c r="WTJ64" s="857">
        <f t="shared" si="293"/>
        <v>0</v>
      </c>
      <c r="WTK64" s="857">
        <f t="shared" si="293"/>
        <v>0</v>
      </c>
      <c r="WTL64" s="857">
        <f t="shared" si="293"/>
        <v>0</v>
      </c>
      <c r="WTM64" s="857">
        <f t="shared" si="293"/>
        <v>0</v>
      </c>
      <c r="WTN64" s="857">
        <f t="shared" si="293"/>
        <v>0</v>
      </c>
      <c r="WTO64" s="857">
        <f t="shared" si="293"/>
        <v>0</v>
      </c>
      <c r="WTP64" s="857">
        <f t="shared" si="293"/>
        <v>0</v>
      </c>
      <c r="WTQ64" s="857">
        <f t="shared" si="293"/>
        <v>0</v>
      </c>
      <c r="WTR64" s="857">
        <f t="shared" si="293"/>
        <v>0</v>
      </c>
      <c r="WTS64" s="857">
        <f t="shared" si="293"/>
        <v>0</v>
      </c>
      <c r="WTT64" s="857">
        <f t="shared" si="293"/>
        <v>0</v>
      </c>
      <c r="WTU64" s="857">
        <f t="shared" si="293"/>
        <v>0</v>
      </c>
      <c r="WTV64" s="857">
        <f t="shared" si="293"/>
        <v>0</v>
      </c>
      <c r="WTW64" s="857">
        <f t="shared" si="293"/>
        <v>0</v>
      </c>
      <c r="WTX64" s="857">
        <f t="shared" si="293"/>
        <v>0</v>
      </c>
      <c r="WTY64" s="857">
        <f t="shared" si="293"/>
        <v>0</v>
      </c>
      <c r="WTZ64" s="857">
        <f t="shared" si="293"/>
        <v>0</v>
      </c>
      <c r="WUA64" s="857">
        <f t="shared" si="293"/>
        <v>0</v>
      </c>
      <c r="WUB64" s="857">
        <f t="shared" si="293"/>
        <v>0</v>
      </c>
      <c r="WUC64" s="857">
        <f t="shared" si="293"/>
        <v>0</v>
      </c>
      <c r="WUD64" s="857">
        <f t="shared" si="293"/>
        <v>0</v>
      </c>
      <c r="WUE64" s="857">
        <f t="shared" si="293"/>
        <v>0</v>
      </c>
      <c r="WUF64" s="857">
        <f t="shared" si="293"/>
        <v>0</v>
      </c>
      <c r="WUG64" s="857">
        <f t="shared" si="293"/>
        <v>0</v>
      </c>
      <c r="WUH64" s="857">
        <f t="shared" si="293"/>
        <v>0</v>
      </c>
      <c r="WUI64" s="857">
        <f t="shared" si="293"/>
        <v>0</v>
      </c>
      <c r="WUJ64" s="857">
        <f t="shared" si="293"/>
        <v>0</v>
      </c>
      <c r="WUK64" s="857">
        <f t="shared" si="293"/>
        <v>0</v>
      </c>
      <c r="WUL64" s="857">
        <f t="shared" si="293"/>
        <v>0</v>
      </c>
      <c r="WUM64" s="857">
        <f t="shared" si="293"/>
        <v>0</v>
      </c>
      <c r="WUN64" s="857">
        <f t="shared" si="293"/>
        <v>0</v>
      </c>
      <c r="WUO64" s="857">
        <f t="shared" si="293"/>
        <v>0</v>
      </c>
      <c r="WUP64" s="857">
        <f t="shared" si="293"/>
        <v>0</v>
      </c>
      <c r="WUQ64" s="857">
        <f t="shared" si="293"/>
        <v>0</v>
      </c>
      <c r="WUR64" s="857">
        <f t="shared" si="293"/>
        <v>0</v>
      </c>
      <c r="WUS64" s="857">
        <f t="shared" si="293"/>
        <v>0</v>
      </c>
      <c r="WUT64" s="857">
        <f t="shared" si="293"/>
        <v>0</v>
      </c>
      <c r="WUU64" s="857">
        <f t="shared" si="293"/>
        <v>0</v>
      </c>
      <c r="WUV64" s="857">
        <f t="shared" si="293"/>
        <v>0</v>
      </c>
      <c r="WUW64" s="857">
        <f t="shared" si="293"/>
        <v>0</v>
      </c>
      <c r="WUX64" s="857">
        <f t="shared" si="293"/>
        <v>0</v>
      </c>
      <c r="WUY64" s="857">
        <f t="shared" si="293"/>
        <v>0</v>
      </c>
      <c r="WUZ64" s="857">
        <f t="shared" si="293"/>
        <v>0</v>
      </c>
      <c r="WVA64" s="857">
        <f t="shared" si="293"/>
        <v>0</v>
      </c>
      <c r="WVB64" s="857">
        <f t="shared" si="293"/>
        <v>0</v>
      </c>
      <c r="WVC64" s="857">
        <f t="shared" si="293"/>
        <v>0</v>
      </c>
      <c r="WVD64" s="857">
        <f t="shared" si="293"/>
        <v>0</v>
      </c>
      <c r="WVE64" s="857">
        <f t="shared" si="293"/>
        <v>0</v>
      </c>
      <c r="WVF64" s="857">
        <f t="shared" si="293"/>
        <v>0</v>
      </c>
      <c r="WVG64" s="857">
        <f t="shared" si="293"/>
        <v>0</v>
      </c>
      <c r="WVH64" s="857">
        <f t="shared" si="293"/>
        <v>0</v>
      </c>
      <c r="WVI64" s="857">
        <f t="shared" si="293"/>
        <v>0</v>
      </c>
      <c r="WVJ64" s="857">
        <f t="shared" si="293"/>
        <v>0</v>
      </c>
      <c r="WVK64" s="857">
        <f t="shared" si="293"/>
        <v>0</v>
      </c>
      <c r="WVL64" s="857">
        <f t="shared" si="293"/>
        <v>0</v>
      </c>
      <c r="WVM64" s="857">
        <f t="shared" si="293"/>
        <v>0</v>
      </c>
      <c r="WVN64" s="857">
        <f t="shared" ref="WVN64:WXY64" si="294">(WVN57-WVN59)*$C$64</f>
        <v>0</v>
      </c>
      <c r="WVO64" s="857">
        <f t="shared" si="294"/>
        <v>0</v>
      </c>
      <c r="WVP64" s="857">
        <f t="shared" si="294"/>
        <v>0</v>
      </c>
      <c r="WVQ64" s="857">
        <f t="shared" si="294"/>
        <v>0</v>
      </c>
      <c r="WVR64" s="857">
        <f t="shared" si="294"/>
        <v>0</v>
      </c>
      <c r="WVS64" s="857">
        <f t="shared" si="294"/>
        <v>0</v>
      </c>
      <c r="WVT64" s="857">
        <f t="shared" si="294"/>
        <v>0</v>
      </c>
      <c r="WVU64" s="857">
        <f t="shared" si="294"/>
        <v>0</v>
      </c>
      <c r="WVV64" s="857">
        <f t="shared" si="294"/>
        <v>0</v>
      </c>
      <c r="WVW64" s="857">
        <f t="shared" si="294"/>
        <v>0</v>
      </c>
      <c r="WVX64" s="857">
        <f t="shared" si="294"/>
        <v>0</v>
      </c>
      <c r="WVY64" s="857">
        <f t="shared" si="294"/>
        <v>0</v>
      </c>
      <c r="WVZ64" s="857">
        <f t="shared" si="294"/>
        <v>0</v>
      </c>
      <c r="WWA64" s="857">
        <f t="shared" si="294"/>
        <v>0</v>
      </c>
      <c r="WWB64" s="857">
        <f t="shared" si="294"/>
        <v>0</v>
      </c>
      <c r="WWC64" s="857">
        <f t="shared" si="294"/>
        <v>0</v>
      </c>
      <c r="WWD64" s="857">
        <f t="shared" si="294"/>
        <v>0</v>
      </c>
      <c r="WWE64" s="857">
        <f t="shared" si="294"/>
        <v>0</v>
      </c>
      <c r="WWF64" s="857">
        <f t="shared" si="294"/>
        <v>0</v>
      </c>
      <c r="WWG64" s="857">
        <f t="shared" si="294"/>
        <v>0</v>
      </c>
      <c r="WWH64" s="857">
        <f t="shared" si="294"/>
        <v>0</v>
      </c>
      <c r="WWI64" s="857">
        <f t="shared" si="294"/>
        <v>0</v>
      </c>
      <c r="WWJ64" s="857">
        <f t="shared" si="294"/>
        <v>0</v>
      </c>
      <c r="WWK64" s="857">
        <f t="shared" si="294"/>
        <v>0</v>
      </c>
      <c r="WWL64" s="857">
        <f t="shared" si="294"/>
        <v>0</v>
      </c>
      <c r="WWM64" s="857">
        <f t="shared" si="294"/>
        <v>0</v>
      </c>
      <c r="WWN64" s="857">
        <f t="shared" si="294"/>
        <v>0</v>
      </c>
      <c r="WWO64" s="857">
        <f t="shared" si="294"/>
        <v>0</v>
      </c>
      <c r="WWP64" s="857">
        <f t="shared" si="294"/>
        <v>0</v>
      </c>
      <c r="WWQ64" s="857">
        <f t="shared" si="294"/>
        <v>0</v>
      </c>
      <c r="WWR64" s="857">
        <f t="shared" si="294"/>
        <v>0</v>
      </c>
      <c r="WWS64" s="857">
        <f t="shared" si="294"/>
        <v>0</v>
      </c>
      <c r="WWT64" s="857">
        <f t="shared" si="294"/>
        <v>0</v>
      </c>
      <c r="WWU64" s="857">
        <f t="shared" si="294"/>
        <v>0</v>
      </c>
      <c r="WWV64" s="857">
        <f t="shared" si="294"/>
        <v>0</v>
      </c>
      <c r="WWW64" s="857">
        <f t="shared" si="294"/>
        <v>0</v>
      </c>
      <c r="WWX64" s="857">
        <f t="shared" si="294"/>
        <v>0</v>
      </c>
      <c r="WWY64" s="857">
        <f t="shared" si="294"/>
        <v>0</v>
      </c>
      <c r="WWZ64" s="857">
        <f t="shared" si="294"/>
        <v>0</v>
      </c>
      <c r="WXA64" s="857">
        <f t="shared" si="294"/>
        <v>0</v>
      </c>
      <c r="WXB64" s="857">
        <f t="shared" si="294"/>
        <v>0</v>
      </c>
      <c r="WXC64" s="857">
        <f t="shared" si="294"/>
        <v>0</v>
      </c>
      <c r="WXD64" s="857">
        <f t="shared" si="294"/>
        <v>0</v>
      </c>
      <c r="WXE64" s="857">
        <f t="shared" si="294"/>
        <v>0</v>
      </c>
      <c r="WXF64" s="857">
        <f t="shared" si="294"/>
        <v>0</v>
      </c>
      <c r="WXG64" s="857">
        <f t="shared" si="294"/>
        <v>0</v>
      </c>
      <c r="WXH64" s="857">
        <f t="shared" si="294"/>
        <v>0</v>
      </c>
      <c r="WXI64" s="857">
        <f t="shared" si="294"/>
        <v>0</v>
      </c>
      <c r="WXJ64" s="857">
        <f t="shared" si="294"/>
        <v>0</v>
      </c>
      <c r="WXK64" s="857">
        <f t="shared" si="294"/>
        <v>0</v>
      </c>
      <c r="WXL64" s="857">
        <f t="shared" si="294"/>
        <v>0</v>
      </c>
      <c r="WXM64" s="857">
        <f t="shared" si="294"/>
        <v>0</v>
      </c>
      <c r="WXN64" s="857">
        <f t="shared" si="294"/>
        <v>0</v>
      </c>
      <c r="WXO64" s="857">
        <f t="shared" si="294"/>
        <v>0</v>
      </c>
      <c r="WXP64" s="857">
        <f t="shared" si="294"/>
        <v>0</v>
      </c>
      <c r="WXQ64" s="857">
        <f t="shared" si="294"/>
        <v>0</v>
      </c>
      <c r="WXR64" s="857">
        <f t="shared" si="294"/>
        <v>0</v>
      </c>
      <c r="WXS64" s="857">
        <f t="shared" si="294"/>
        <v>0</v>
      </c>
      <c r="WXT64" s="857">
        <f t="shared" si="294"/>
        <v>0</v>
      </c>
      <c r="WXU64" s="857">
        <f t="shared" si="294"/>
        <v>0</v>
      </c>
      <c r="WXV64" s="857">
        <f t="shared" si="294"/>
        <v>0</v>
      </c>
      <c r="WXW64" s="857">
        <f t="shared" si="294"/>
        <v>0</v>
      </c>
      <c r="WXX64" s="857">
        <f t="shared" si="294"/>
        <v>0</v>
      </c>
      <c r="WXY64" s="857">
        <f t="shared" si="294"/>
        <v>0</v>
      </c>
      <c r="WXZ64" s="857">
        <f t="shared" ref="WXZ64:XAK64" si="295">(WXZ57-WXZ59)*$C$64</f>
        <v>0</v>
      </c>
      <c r="WYA64" s="857">
        <f t="shared" si="295"/>
        <v>0</v>
      </c>
      <c r="WYB64" s="857">
        <f t="shared" si="295"/>
        <v>0</v>
      </c>
      <c r="WYC64" s="857">
        <f t="shared" si="295"/>
        <v>0</v>
      </c>
      <c r="WYD64" s="857">
        <f t="shared" si="295"/>
        <v>0</v>
      </c>
      <c r="WYE64" s="857">
        <f t="shared" si="295"/>
        <v>0</v>
      </c>
      <c r="WYF64" s="857">
        <f t="shared" si="295"/>
        <v>0</v>
      </c>
      <c r="WYG64" s="857">
        <f t="shared" si="295"/>
        <v>0</v>
      </c>
      <c r="WYH64" s="857">
        <f t="shared" si="295"/>
        <v>0</v>
      </c>
      <c r="WYI64" s="857">
        <f t="shared" si="295"/>
        <v>0</v>
      </c>
      <c r="WYJ64" s="857">
        <f t="shared" si="295"/>
        <v>0</v>
      </c>
      <c r="WYK64" s="857">
        <f t="shared" si="295"/>
        <v>0</v>
      </c>
      <c r="WYL64" s="857">
        <f t="shared" si="295"/>
        <v>0</v>
      </c>
      <c r="WYM64" s="857">
        <f t="shared" si="295"/>
        <v>0</v>
      </c>
      <c r="WYN64" s="857">
        <f t="shared" si="295"/>
        <v>0</v>
      </c>
      <c r="WYO64" s="857">
        <f t="shared" si="295"/>
        <v>0</v>
      </c>
      <c r="WYP64" s="857">
        <f t="shared" si="295"/>
        <v>0</v>
      </c>
      <c r="WYQ64" s="857">
        <f t="shared" si="295"/>
        <v>0</v>
      </c>
      <c r="WYR64" s="857">
        <f t="shared" si="295"/>
        <v>0</v>
      </c>
      <c r="WYS64" s="857">
        <f t="shared" si="295"/>
        <v>0</v>
      </c>
      <c r="WYT64" s="857">
        <f t="shared" si="295"/>
        <v>0</v>
      </c>
      <c r="WYU64" s="857">
        <f t="shared" si="295"/>
        <v>0</v>
      </c>
      <c r="WYV64" s="857">
        <f t="shared" si="295"/>
        <v>0</v>
      </c>
      <c r="WYW64" s="857">
        <f t="shared" si="295"/>
        <v>0</v>
      </c>
      <c r="WYX64" s="857">
        <f t="shared" si="295"/>
        <v>0</v>
      </c>
      <c r="WYY64" s="857">
        <f t="shared" si="295"/>
        <v>0</v>
      </c>
      <c r="WYZ64" s="857">
        <f t="shared" si="295"/>
        <v>0</v>
      </c>
      <c r="WZA64" s="857">
        <f t="shared" si="295"/>
        <v>0</v>
      </c>
      <c r="WZB64" s="857">
        <f t="shared" si="295"/>
        <v>0</v>
      </c>
      <c r="WZC64" s="857">
        <f t="shared" si="295"/>
        <v>0</v>
      </c>
      <c r="WZD64" s="857">
        <f t="shared" si="295"/>
        <v>0</v>
      </c>
      <c r="WZE64" s="857">
        <f t="shared" si="295"/>
        <v>0</v>
      </c>
      <c r="WZF64" s="857">
        <f t="shared" si="295"/>
        <v>0</v>
      </c>
      <c r="WZG64" s="857">
        <f t="shared" si="295"/>
        <v>0</v>
      </c>
      <c r="WZH64" s="857">
        <f t="shared" si="295"/>
        <v>0</v>
      </c>
      <c r="WZI64" s="857">
        <f t="shared" si="295"/>
        <v>0</v>
      </c>
      <c r="WZJ64" s="857">
        <f t="shared" si="295"/>
        <v>0</v>
      </c>
      <c r="WZK64" s="857">
        <f t="shared" si="295"/>
        <v>0</v>
      </c>
      <c r="WZL64" s="857">
        <f t="shared" si="295"/>
        <v>0</v>
      </c>
      <c r="WZM64" s="857">
        <f t="shared" si="295"/>
        <v>0</v>
      </c>
      <c r="WZN64" s="857">
        <f t="shared" si="295"/>
        <v>0</v>
      </c>
      <c r="WZO64" s="857">
        <f t="shared" si="295"/>
        <v>0</v>
      </c>
      <c r="WZP64" s="857">
        <f t="shared" si="295"/>
        <v>0</v>
      </c>
      <c r="WZQ64" s="857">
        <f t="shared" si="295"/>
        <v>0</v>
      </c>
      <c r="WZR64" s="857">
        <f t="shared" si="295"/>
        <v>0</v>
      </c>
      <c r="WZS64" s="857">
        <f t="shared" si="295"/>
        <v>0</v>
      </c>
      <c r="WZT64" s="857">
        <f t="shared" si="295"/>
        <v>0</v>
      </c>
      <c r="WZU64" s="857">
        <f t="shared" si="295"/>
        <v>0</v>
      </c>
      <c r="WZV64" s="857">
        <f t="shared" si="295"/>
        <v>0</v>
      </c>
      <c r="WZW64" s="857">
        <f t="shared" si="295"/>
        <v>0</v>
      </c>
      <c r="WZX64" s="857">
        <f t="shared" si="295"/>
        <v>0</v>
      </c>
      <c r="WZY64" s="857">
        <f t="shared" si="295"/>
        <v>0</v>
      </c>
      <c r="WZZ64" s="857">
        <f t="shared" si="295"/>
        <v>0</v>
      </c>
      <c r="XAA64" s="857">
        <f t="shared" si="295"/>
        <v>0</v>
      </c>
      <c r="XAB64" s="857">
        <f t="shared" si="295"/>
        <v>0</v>
      </c>
      <c r="XAC64" s="857">
        <f t="shared" si="295"/>
        <v>0</v>
      </c>
      <c r="XAD64" s="857">
        <f t="shared" si="295"/>
        <v>0</v>
      </c>
      <c r="XAE64" s="857">
        <f t="shared" si="295"/>
        <v>0</v>
      </c>
      <c r="XAF64" s="857">
        <f t="shared" si="295"/>
        <v>0</v>
      </c>
      <c r="XAG64" s="857">
        <f t="shared" si="295"/>
        <v>0</v>
      </c>
      <c r="XAH64" s="857">
        <f t="shared" si="295"/>
        <v>0</v>
      </c>
      <c r="XAI64" s="857">
        <f t="shared" si="295"/>
        <v>0</v>
      </c>
      <c r="XAJ64" s="857">
        <f t="shared" si="295"/>
        <v>0</v>
      </c>
      <c r="XAK64" s="857">
        <f t="shared" si="295"/>
        <v>0</v>
      </c>
      <c r="XAL64" s="857">
        <f t="shared" ref="XAL64:XCW64" si="296">(XAL57-XAL59)*$C$64</f>
        <v>0</v>
      </c>
      <c r="XAM64" s="857">
        <f t="shared" si="296"/>
        <v>0</v>
      </c>
      <c r="XAN64" s="857">
        <f t="shared" si="296"/>
        <v>0</v>
      </c>
      <c r="XAO64" s="857">
        <f t="shared" si="296"/>
        <v>0</v>
      </c>
      <c r="XAP64" s="857">
        <f t="shared" si="296"/>
        <v>0</v>
      </c>
      <c r="XAQ64" s="857">
        <f t="shared" si="296"/>
        <v>0</v>
      </c>
      <c r="XAR64" s="857">
        <f t="shared" si="296"/>
        <v>0</v>
      </c>
      <c r="XAS64" s="857">
        <f t="shared" si="296"/>
        <v>0</v>
      </c>
      <c r="XAT64" s="857">
        <f t="shared" si="296"/>
        <v>0</v>
      </c>
      <c r="XAU64" s="857">
        <f t="shared" si="296"/>
        <v>0</v>
      </c>
      <c r="XAV64" s="857">
        <f t="shared" si="296"/>
        <v>0</v>
      </c>
      <c r="XAW64" s="857">
        <f t="shared" si="296"/>
        <v>0</v>
      </c>
      <c r="XAX64" s="857">
        <f t="shared" si="296"/>
        <v>0</v>
      </c>
      <c r="XAY64" s="857">
        <f t="shared" si="296"/>
        <v>0</v>
      </c>
      <c r="XAZ64" s="857">
        <f t="shared" si="296"/>
        <v>0</v>
      </c>
      <c r="XBA64" s="857">
        <f t="shared" si="296"/>
        <v>0</v>
      </c>
      <c r="XBB64" s="857">
        <f t="shared" si="296"/>
        <v>0</v>
      </c>
      <c r="XBC64" s="857">
        <f t="shared" si="296"/>
        <v>0</v>
      </c>
      <c r="XBD64" s="857">
        <f t="shared" si="296"/>
        <v>0</v>
      </c>
      <c r="XBE64" s="857">
        <f t="shared" si="296"/>
        <v>0</v>
      </c>
      <c r="XBF64" s="857">
        <f t="shared" si="296"/>
        <v>0</v>
      </c>
      <c r="XBG64" s="857">
        <f t="shared" si="296"/>
        <v>0</v>
      </c>
      <c r="XBH64" s="857">
        <f t="shared" si="296"/>
        <v>0</v>
      </c>
      <c r="XBI64" s="857">
        <f t="shared" si="296"/>
        <v>0</v>
      </c>
      <c r="XBJ64" s="857">
        <f t="shared" si="296"/>
        <v>0</v>
      </c>
      <c r="XBK64" s="857">
        <f t="shared" si="296"/>
        <v>0</v>
      </c>
      <c r="XBL64" s="857">
        <f t="shared" si="296"/>
        <v>0</v>
      </c>
      <c r="XBM64" s="857">
        <f t="shared" si="296"/>
        <v>0</v>
      </c>
      <c r="XBN64" s="857">
        <f t="shared" si="296"/>
        <v>0</v>
      </c>
      <c r="XBO64" s="857">
        <f t="shared" si="296"/>
        <v>0</v>
      </c>
      <c r="XBP64" s="857">
        <f t="shared" si="296"/>
        <v>0</v>
      </c>
      <c r="XBQ64" s="857">
        <f t="shared" si="296"/>
        <v>0</v>
      </c>
      <c r="XBR64" s="857">
        <f t="shared" si="296"/>
        <v>0</v>
      </c>
      <c r="XBS64" s="857">
        <f t="shared" si="296"/>
        <v>0</v>
      </c>
      <c r="XBT64" s="857">
        <f t="shared" si="296"/>
        <v>0</v>
      </c>
      <c r="XBU64" s="857">
        <f t="shared" si="296"/>
        <v>0</v>
      </c>
      <c r="XBV64" s="857">
        <f t="shared" si="296"/>
        <v>0</v>
      </c>
      <c r="XBW64" s="857">
        <f t="shared" si="296"/>
        <v>0</v>
      </c>
      <c r="XBX64" s="857">
        <f t="shared" si="296"/>
        <v>0</v>
      </c>
      <c r="XBY64" s="857">
        <f t="shared" si="296"/>
        <v>0</v>
      </c>
      <c r="XBZ64" s="857">
        <f t="shared" si="296"/>
        <v>0</v>
      </c>
      <c r="XCA64" s="857">
        <f t="shared" si="296"/>
        <v>0</v>
      </c>
      <c r="XCB64" s="857">
        <f t="shared" si="296"/>
        <v>0</v>
      </c>
      <c r="XCC64" s="857">
        <f t="shared" si="296"/>
        <v>0</v>
      </c>
      <c r="XCD64" s="857">
        <f t="shared" si="296"/>
        <v>0</v>
      </c>
      <c r="XCE64" s="857">
        <f t="shared" si="296"/>
        <v>0</v>
      </c>
      <c r="XCF64" s="857">
        <f t="shared" si="296"/>
        <v>0</v>
      </c>
      <c r="XCG64" s="857">
        <f t="shared" si="296"/>
        <v>0</v>
      </c>
      <c r="XCH64" s="857">
        <f t="shared" si="296"/>
        <v>0</v>
      </c>
      <c r="XCI64" s="857">
        <f t="shared" si="296"/>
        <v>0</v>
      </c>
      <c r="XCJ64" s="857">
        <f t="shared" si="296"/>
        <v>0</v>
      </c>
      <c r="XCK64" s="857">
        <f t="shared" si="296"/>
        <v>0</v>
      </c>
      <c r="XCL64" s="857">
        <f t="shared" si="296"/>
        <v>0</v>
      </c>
      <c r="XCM64" s="857">
        <f t="shared" si="296"/>
        <v>0</v>
      </c>
      <c r="XCN64" s="857">
        <f t="shared" si="296"/>
        <v>0</v>
      </c>
      <c r="XCO64" s="857">
        <f t="shared" si="296"/>
        <v>0</v>
      </c>
      <c r="XCP64" s="857">
        <f t="shared" si="296"/>
        <v>0</v>
      </c>
      <c r="XCQ64" s="857">
        <f t="shared" si="296"/>
        <v>0</v>
      </c>
      <c r="XCR64" s="857">
        <f t="shared" si="296"/>
        <v>0</v>
      </c>
      <c r="XCS64" s="857">
        <f t="shared" si="296"/>
        <v>0</v>
      </c>
      <c r="XCT64" s="857">
        <f t="shared" si="296"/>
        <v>0</v>
      </c>
      <c r="XCU64" s="857">
        <f t="shared" si="296"/>
        <v>0</v>
      </c>
      <c r="XCV64" s="857">
        <f t="shared" si="296"/>
        <v>0</v>
      </c>
      <c r="XCW64" s="857">
        <f t="shared" si="296"/>
        <v>0</v>
      </c>
      <c r="XCX64" s="857">
        <f t="shared" ref="XCX64:XFD64" si="297">(XCX57-XCX59)*$C$64</f>
        <v>0</v>
      </c>
      <c r="XCY64" s="857">
        <f t="shared" si="297"/>
        <v>0</v>
      </c>
      <c r="XCZ64" s="857">
        <f t="shared" si="297"/>
        <v>0</v>
      </c>
      <c r="XDA64" s="857">
        <f t="shared" si="297"/>
        <v>0</v>
      </c>
      <c r="XDB64" s="857">
        <f t="shared" si="297"/>
        <v>0</v>
      </c>
      <c r="XDC64" s="857">
        <f t="shared" si="297"/>
        <v>0</v>
      </c>
      <c r="XDD64" s="857">
        <f t="shared" si="297"/>
        <v>0</v>
      </c>
      <c r="XDE64" s="857">
        <f t="shared" si="297"/>
        <v>0</v>
      </c>
      <c r="XDF64" s="857">
        <f t="shared" si="297"/>
        <v>0</v>
      </c>
      <c r="XDG64" s="857">
        <f t="shared" si="297"/>
        <v>0</v>
      </c>
      <c r="XDH64" s="857">
        <f t="shared" si="297"/>
        <v>0</v>
      </c>
      <c r="XDI64" s="857">
        <f t="shared" si="297"/>
        <v>0</v>
      </c>
      <c r="XDJ64" s="857">
        <f t="shared" si="297"/>
        <v>0</v>
      </c>
      <c r="XDK64" s="857">
        <f t="shared" si="297"/>
        <v>0</v>
      </c>
      <c r="XDL64" s="857">
        <f t="shared" si="297"/>
        <v>0</v>
      </c>
      <c r="XDM64" s="857">
        <f t="shared" si="297"/>
        <v>0</v>
      </c>
      <c r="XDN64" s="857">
        <f t="shared" si="297"/>
        <v>0</v>
      </c>
      <c r="XDO64" s="857">
        <f t="shared" si="297"/>
        <v>0</v>
      </c>
      <c r="XDP64" s="857">
        <f t="shared" si="297"/>
        <v>0</v>
      </c>
      <c r="XDQ64" s="857">
        <f t="shared" si="297"/>
        <v>0</v>
      </c>
      <c r="XDR64" s="857">
        <f t="shared" si="297"/>
        <v>0</v>
      </c>
      <c r="XDS64" s="857">
        <f t="shared" si="297"/>
        <v>0</v>
      </c>
      <c r="XDT64" s="857">
        <f t="shared" si="297"/>
        <v>0</v>
      </c>
      <c r="XDU64" s="857">
        <f t="shared" si="297"/>
        <v>0</v>
      </c>
      <c r="XDV64" s="857">
        <f t="shared" si="297"/>
        <v>0</v>
      </c>
      <c r="XDW64" s="857">
        <f t="shared" si="297"/>
        <v>0</v>
      </c>
      <c r="XDX64" s="857">
        <f t="shared" si="297"/>
        <v>0</v>
      </c>
      <c r="XDY64" s="857">
        <f t="shared" si="297"/>
        <v>0</v>
      </c>
      <c r="XDZ64" s="857">
        <f t="shared" si="297"/>
        <v>0</v>
      </c>
      <c r="XEA64" s="857">
        <f t="shared" si="297"/>
        <v>0</v>
      </c>
      <c r="XEB64" s="857">
        <f t="shared" si="297"/>
        <v>0</v>
      </c>
      <c r="XEC64" s="857">
        <f t="shared" si="297"/>
        <v>0</v>
      </c>
      <c r="XED64" s="857">
        <f t="shared" si="297"/>
        <v>0</v>
      </c>
      <c r="XEE64" s="857">
        <f t="shared" si="297"/>
        <v>0</v>
      </c>
      <c r="XEF64" s="857">
        <f t="shared" si="297"/>
        <v>0</v>
      </c>
      <c r="XEG64" s="857">
        <f t="shared" si="297"/>
        <v>0</v>
      </c>
      <c r="XEH64" s="857">
        <f t="shared" si="297"/>
        <v>0</v>
      </c>
      <c r="XEI64" s="857">
        <f t="shared" si="297"/>
        <v>0</v>
      </c>
      <c r="XEJ64" s="857">
        <f t="shared" si="297"/>
        <v>0</v>
      </c>
      <c r="XEK64" s="857">
        <f t="shared" si="297"/>
        <v>0</v>
      </c>
      <c r="XEL64" s="857">
        <f t="shared" si="297"/>
        <v>0</v>
      </c>
      <c r="XEM64" s="857">
        <f t="shared" si="297"/>
        <v>0</v>
      </c>
      <c r="XEN64" s="857">
        <f t="shared" si="297"/>
        <v>0</v>
      </c>
      <c r="XEO64" s="857">
        <f t="shared" si="297"/>
        <v>0</v>
      </c>
      <c r="XEP64" s="857">
        <f t="shared" si="297"/>
        <v>0</v>
      </c>
      <c r="XEQ64" s="857">
        <f t="shared" si="297"/>
        <v>0</v>
      </c>
      <c r="XER64" s="857">
        <f t="shared" si="297"/>
        <v>0</v>
      </c>
      <c r="XES64" s="857">
        <f t="shared" si="297"/>
        <v>0</v>
      </c>
      <c r="XET64" s="857">
        <f t="shared" si="297"/>
        <v>0</v>
      </c>
      <c r="XEU64" s="857">
        <f t="shared" si="297"/>
        <v>0</v>
      </c>
      <c r="XEV64" s="857">
        <f t="shared" si="297"/>
        <v>0</v>
      </c>
      <c r="XEW64" s="857">
        <f t="shared" si="297"/>
        <v>0</v>
      </c>
      <c r="XEX64" s="857">
        <f t="shared" si="297"/>
        <v>0</v>
      </c>
      <c r="XEY64" s="857">
        <f t="shared" si="297"/>
        <v>0</v>
      </c>
      <c r="XEZ64" s="857">
        <f t="shared" si="297"/>
        <v>0</v>
      </c>
      <c r="XFA64" s="857">
        <f t="shared" si="297"/>
        <v>0</v>
      </c>
      <c r="XFB64" s="857">
        <f t="shared" si="297"/>
        <v>0</v>
      </c>
      <c r="XFC64" s="857">
        <f t="shared" si="297"/>
        <v>0</v>
      </c>
      <c r="XFD64" s="857">
        <f t="shared" si="297"/>
        <v>0</v>
      </c>
    </row>
    <row r="65" spans="1:19" s="853" customFormat="1">
      <c r="A65" s="858"/>
      <c r="B65" s="858"/>
      <c r="C65" s="863"/>
      <c r="E65" s="860"/>
      <c r="F65" s="861">
        <f t="shared" ref="F65" si="298">E65*$C$62</f>
        <v>0</v>
      </c>
      <c r="G65" s="861">
        <f t="shared" ref="G65:S65" si="299">F65*$C$62</f>
        <v>0</v>
      </c>
      <c r="H65" s="861">
        <f t="shared" si="299"/>
        <v>0</v>
      </c>
      <c r="I65" s="861">
        <f t="shared" si="299"/>
        <v>0</v>
      </c>
      <c r="J65" s="861">
        <f t="shared" si="299"/>
        <v>0</v>
      </c>
      <c r="K65" s="861">
        <f t="shared" si="299"/>
        <v>0</v>
      </c>
      <c r="L65" s="861">
        <f t="shared" si="299"/>
        <v>0</v>
      </c>
      <c r="M65" s="861">
        <f t="shared" si="299"/>
        <v>0</v>
      </c>
      <c r="N65" s="861">
        <f t="shared" si="299"/>
        <v>0</v>
      </c>
      <c r="O65" s="861">
        <f t="shared" si="299"/>
        <v>0</v>
      </c>
      <c r="P65" s="861">
        <f t="shared" si="299"/>
        <v>0</v>
      </c>
      <c r="Q65" s="861">
        <f t="shared" si="299"/>
        <v>0</v>
      </c>
      <c r="R65" s="861">
        <f t="shared" si="299"/>
        <v>0</v>
      </c>
      <c r="S65" s="861">
        <f t="shared" si="299"/>
        <v>0</v>
      </c>
    </row>
    <row r="66" spans="1:19" s="853" customFormat="1">
      <c r="A66" s="855" t="s">
        <v>2718</v>
      </c>
      <c r="C66" s="863"/>
      <c r="E66" s="853">
        <f t="shared" ref="E66:S66" si="300">SUM(E62:E65)</f>
        <v>0</v>
      </c>
      <c r="F66" s="853">
        <f t="shared" si="300"/>
        <v>0</v>
      </c>
      <c r="G66" s="853">
        <f t="shared" si="300"/>
        <v>0</v>
      </c>
      <c r="H66" s="853">
        <f t="shared" si="300"/>
        <v>0</v>
      </c>
      <c r="I66" s="853">
        <f t="shared" si="300"/>
        <v>0</v>
      </c>
      <c r="J66" s="853">
        <f t="shared" si="300"/>
        <v>0</v>
      </c>
      <c r="K66" s="853">
        <f t="shared" si="300"/>
        <v>0</v>
      </c>
      <c r="L66" s="853">
        <f t="shared" si="300"/>
        <v>0</v>
      </c>
      <c r="M66" s="853">
        <f t="shared" si="300"/>
        <v>0</v>
      </c>
      <c r="N66" s="853">
        <f t="shared" si="300"/>
        <v>0</v>
      </c>
      <c r="O66" s="853">
        <f t="shared" si="300"/>
        <v>0</v>
      </c>
      <c r="P66" s="853">
        <f t="shared" si="300"/>
        <v>0</v>
      </c>
      <c r="Q66" s="853">
        <f t="shared" si="300"/>
        <v>0</v>
      </c>
      <c r="R66" s="853">
        <f t="shared" si="300"/>
        <v>0</v>
      </c>
      <c r="S66" s="853">
        <f t="shared" si="300"/>
        <v>0</v>
      </c>
    </row>
    <row r="67" spans="1:19" s="853" customFormat="1">
      <c r="A67" s="855"/>
      <c r="C67" s="863"/>
    </row>
    <row r="68" spans="1:19" s="853" customFormat="1">
      <c r="A68" s="855" t="s">
        <v>2722</v>
      </c>
      <c r="C68" s="863"/>
      <c r="E68" s="855">
        <f t="shared" ref="E68:S68" si="301">E57-E59-E66</f>
        <v>0</v>
      </c>
      <c r="F68" s="855">
        <f t="shared" si="301"/>
        <v>0</v>
      </c>
      <c r="G68" s="855">
        <f t="shared" si="301"/>
        <v>0</v>
      </c>
      <c r="H68" s="855">
        <f t="shared" si="301"/>
        <v>0</v>
      </c>
      <c r="I68" s="855">
        <f t="shared" si="301"/>
        <v>0</v>
      </c>
      <c r="J68" s="855">
        <f t="shared" si="301"/>
        <v>0</v>
      </c>
      <c r="K68" s="855">
        <f t="shared" si="301"/>
        <v>0</v>
      </c>
      <c r="L68" s="855">
        <f t="shared" si="301"/>
        <v>0</v>
      </c>
      <c r="M68" s="855">
        <f t="shared" si="301"/>
        <v>0</v>
      </c>
      <c r="N68" s="855">
        <f t="shared" si="301"/>
        <v>0</v>
      </c>
      <c r="O68" s="855">
        <f t="shared" si="301"/>
        <v>0</v>
      </c>
      <c r="P68" s="855">
        <f t="shared" si="301"/>
        <v>0</v>
      </c>
      <c r="Q68" s="855">
        <f t="shared" si="301"/>
        <v>0</v>
      </c>
      <c r="R68" s="855">
        <f t="shared" si="301"/>
        <v>0</v>
      </c>
      <c r="S68" s="855">
        <f t="shared" si="301"/>
        <v>0</v>
      </c>
    </row>
    <row r="69" spans="1:19" s="853" customFormat="1" ht="13">
      <c r="A69" s="428"/>
      <c r="C69" s="863"/>
    </row>
    <row r="70" spans="1:19" s="145" customFormat="1" ht="13">
      <c r="A70" s="428"/>
      <c r="B70" s="853"/>
      <c r="C70" s="863"/>
      <c r="D70" s="853"/>
      <c r="E70" s="853"/>
      <c r="F70" s="853"/>
      <c r="G70" s="853"/>
      <c r="H70" s="853"/>
      <c r="I70" s="853"/>
      <c r="J70" s="853"/>
      <c r="K70" s="853"/>
      <c r="L70" s="853"/>
      <c r="M70" s="853"/>
      <c r="N70" s="853"/>
      <c r="O70" s="853"/>
      <c r="P70" s="853"/>
      <c r="Q70" s="853"/>
      <c r="R70" s="853"/>
      <c r="S70" s="853"/>
    </row>
    <row r="71" spans="1:19" s="145" customFormat="1">
      <c r="A71" s="853" t="s">
        <v>2723</v>
      </c>
      <c r="B71" s="853"/>
      <c r="C71" s="863"/>
      <c r="D71" s="853"/>
      <c r="E71" s="853"/>
      <c r="F71" s="853"/>
      <c r="G71" s="853"/>
      <c r="H71" s="853"/>
      <c r="I71" s="853"/>
      <c r="J71" s="853"/>
      <c r="K71" s="853"/>
      <c r="L71" s="853"/>
      <c r="M71" s="853"/>
      <c r="N71" s="853"/>
      <c r="O71" s="853"/>
      <c r="P71" s="853"/>
      <c r="Q71" s="853"/>
      <c r="R71" s="853"/>
      <c r="S71" s="853"/>
    </row>
    <row r="72" spans="1:19" s="145" customFormat="1">
      <c r="A72" s="853"/>
      <c r="B72" s="853"/>
      <c r="C72" s="863"/>
      <c r="D72" s="853"/>
      <c r="E72" s="853"/>
      <c r="F72" s="853"/>
      <c r="G72" s="853"/>
      <c r="H72" s="853"/>
      <c r="I72" s="853"/>
      <c r="J72" s="853"/>
      <c r="K72" s="853"/>
      <c r="L72" s="853"/>
      <c r="M72" s="853"/>
      <c r="N72" s="853"/>
      <c r="O72" s="853"/>
      <c r="P72" s="853"/>
      <c r="Q72" s="853"/>
      <c r="R72" s="853"/>
      <c r="S72" s="853"/>
    </row>
    <row r="73" spans="1:19" s="161" customFormat="1" ht="30" customHeight="1">
      <c r="A73" s="2617" t="s">
        <v>2724</v>
      </c>
      <c r="B73" s="2617"/>
      <c r="C73" s="2617"/>
      <c r="D73" s="2617"/>
      <c r="E73" s="2617"/>
      <c r="F73" s="2617"/>
      <c r="G73" s="2617"/>
      <c r="H73" s="2617"/>
      <c r="I73" s="2617"/>
      <c r="J73" s="2617"/>
      <c r="K73" s="2617"/>
      <c r="L73" s="2617"/>
      <c r="M73" s="2617"/>
      <c r="N73" s="2617"/>
      <c r="O73" s="2617"/>
      <c r="P73" s="2617"/>
      <c r="Q73" s="2617"/>
      <c r="R73" s="2617"/>
      <c r="S73" s="2617"/>
    </row>
    <row r="74" spans="1:19"/>
    <row r="75" spans="1:19"/>
    <row r="76" spans="1:19"/>
    <row r="77" spans="1:19"/>
    <row r="78" spans="1:19"/>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1">
    <mergeCell ref="A73:S73"/>
  </mergeCell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6328125" customWidth="1"/>
    <col min="2" max="16384" width="8.81640625" hidden="1"/>
  </cols>
  <sheetData>
    <row r="1" spans="1:1" ht="46.5">
      <c r="A1" s="219" t="s">
        <v>2725</v>
      </c>
    </row>
    <row r="2" spans="1:1" ht="15.5">
      <c r="A2" s="220"/>
    </row>
    <row r="3" spans="1:1" ht="15.5">
      <c r="A3" s="221" t="s">
        <v>2726</v>
      </c>
    </row>
    <row r="4" spans="1:1" ht="15.5">
      <c r="A4" s="221" t="s">
        <v>2727</v>
      </c>
    </row>
    <row r="5" spans="1:1" ht="15.5">
      <c r="A5" s="221" t="s">
        <v>2728</v>
      </c>
    </row>
    <row r="6" spans="1:1" ht="15.5">
      <c r="A6" s="221" t="s">
        <v>2729</v>
      </c>
    </row>
    <row r="7" spans="1:1" ht="15.5">
      <c r="A7" s="221" t="s">
        <v>2730</v>
      </c>
    </row>
    <row r="8" spans="1:1" ht="15.5">
      <c r="A8" s="248" t="s">
        <v>2731</v>
      </c>
    </row>
    <row r="9" spans="1:1" ht="15.5">
      <c r="A9" s="221" t="s">
        <v>2732</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6328125" style="135" customWidth="1"/>
    <col min="2" max="4" width="14.6328125" style="135" customWidth="1"/>
    <col min="5" max="5" width="50.6328125" style="135" customWidth="1"/>
    <col min="6" max="253" width="9.1796875" style="135" customWidth="1"/>
    <col min="254" max="16384" width="9.1796875" style="135"/>
  </cols>
  <sheetData>
    <row r="1" spans="1:6" s="186" customFormat="1" ht="18" customHeight="1">
      <c r="A1" s="412" t="s">
        <v>2733</v>
      </c>
      <c r="D1" s="191"/>
    </row>
    <row r="2" spans="1:6" s="186" customFormat="1" ht="13">
      <c r="A2" s="170" t="s">
        <v>2734</v>
      </c>
      <c r="B2" s="172"/>
      <c r="C2" s="172"/>
      <c r="D2" s="169"/>
      <c r="E2" s="173"/>
      <c r="F2" s="172"/>
    </row>
    <row r="3" spans="1:6" s="253" customFormat="1" ht="80.25" customHeight="1">
      <c r="A3" s="188"/>
      <c r="B3" s="174" t="s">
        <v>2735</v>
      </c>
      <c r="C3" s="174" t="s">
        <v>2736</v>
      </c>
      <c r="D3" s="174" t="s">
        <v>2737</v>
      </c>
      <c r="E3" s="171" t="s">
        <v>2738</v>
      </c>
      <c r="F3" s="171"/>
    </row>
    <row r="4" spans="1:6" s="254" customFormat="1" ht="13">
      <c r="A4" s="175" t="s">
        <v>1759</v>
      </c>
      <c r="B4" s="175"/>
      <c r="C4" s="175"/>
      <c r="D4" s="175"/>
      <c r="E4" s="193"/>
      <c r="F4" s="175"/>
    </row>
    <row r="5" spans="1:6" s="254" customFormat="1">
      <c r="A5" s="266" t="s">
        <v>1760</v>
      </c>
      <c r="B5" s="177">
        <f>'Sources and Uses Budget'!$C4</f>
        <v>643000</v>
      </c>
      <c r="C5" s="177">
        <f>'Sources and Uses Budget'!$C4</f>
        <v>643000</v>
      </c>
      <c r="D5" s="181">
        <f>C5-B5</f>
        <v>0</v>
      </c>
      <c r="E5" s="179"/>
      <c r="F5" s="178"/>
    </row>
    <row r="6" spans="1:6" s="254" customFormat="1">
      <c r="A6" s="266" t="s">
        <v>688</v>
      </c>
      <c r="B6" s="177">
        <f>'Sources and Uses Budget'!$C5</f>
        <v>0</v>
      </c>
      <c r="C6" s="177">
        <f>'Sources and Uses Budget'!$C5</f>
        <v>0</v>
      </c>
      <c r="D6" s="181">
        <f t="shared" ref="D6:D77" si="0">C6-B6</f>
        <v>0</v>
      </c>
      <c r="E6" s="179"/>
      <c r="F6" s="178"/>
    </row>
    <row r="7" spans="1:6" s="254" customFormat="1">
      <c r="A7" s="266" t="s">
        <v>1761</v>
      </c>
      <c r="B7" s="177">
        <f>'Sources and Uses Budget'!$C6</f>
        <v>0</v>
      </c>
      <c r="C7" s="177">
        <f>'Sources and Uses Budget'!$C6</f>
        <v>0</v>
      </c>
      <c r="D7" s="181">
        <f t="shared" si="0"/>
        <v>0</v>
      </c>
      <c r="E7" s="179"/>
      <c r="F7" s="178"/>
    </row>
    <row r="8" spans="1:6" s="254" customFormat="1">
      <c r="A8" s="266" t="s">
        <v>1762</v>
      </c>
      <c r="B8" s="177">
        <f>'Sources and Uses Budget'!$C7</f>
        <v>0</v>
      </c>
      <c r="C8" s="177">
        <f>'Sources and Uses Budget'!$C7</f>
        <v>0</v>
      </c>
      <c r="D8" s="181">
        <f t="shared" si="0"/>
        <v>0</v>
      </c>
      <c r="E8" s="179"/>
      <c r="F8" s="178"/>
    </row>
    <row r="9" spans="1:6" s="254" customFormat="1">
      <c r="A9" s="267" t="s">
        <v>1763</v>
      </c>
      <c r="B9" s="181">
        <f>SUM(B5:B8)</f>
        <v>643000</v>
      </c>
      <c r="C9" s="181">
        <f>SUM(C5:C8)</f>
        <v>643000</v>
      </c>
      <c r="D9" s="181">
        <f t="shared" si="0"/>
        <v>0</v>
      </c>
      <c r="E9" s="179"/>
      <c r="F9" s="178"/>
    </row>
    <row r="10" spans="1:6" s="254" customFormat="1">
      <c r="A10" s="266" t="s">
        <v>1764</v>
      </c>
      <c r="B10" s="177">
        <f>'Sources and Uses Budget'!$C9</f>
        <v>26357000</v>
      </c>
      <c r="C10" s="177">
        <f>'Sources and Uses Budget'!$C9</f>
        <v>26357000</v>
      </c>
      <c r="D10" s="181">
        <f t="shared" si="0"/>
        <v>0</v>
      </c>
      <c r="E10" s="179"/>
      <c r="F10" s="178"/>
    </row>
    <row r="11" spans="1:6" s="254" customFormat="1">
      <c r="A11" s="266" t="s">
        <v>1765</v>
      </c>
      <c r="B11" s="177">
        <f>'Sources and Uses Budget'!$C10</f>
        <v>0</v>
      </c>
      <c r="C11" s="177">
        <f>'Sources and Uses Budget'!$C10</f>
        <v>0</v>
      </c>
      <c r="D11" s="181">
        <f t="shared" si="0"/>
        <v>0</v>
      </c>
      <c r="E11" s="179"/>
      <c r="F11" s="178"/>
    </row>
    <row r="12" spans="1:6" s="254" customFormat="1">
      <c r="A12" s="267" t="s">
        <v>1766</v>
      </c>
      <c r="B12" s="181">
        <f>SUM(B10:B11)</f>
        <v>26357000</v>
      </c>
      <c r="C12" s="181">
        <f>SUM(C10:C11)</f>
        <v>26357000</v>
      </c>
      <c r="D12" s="181">
        <f t="shared" si="0"/>
        <v>0</v>
      </c>
      <c r="E12" s="179"/>
      <c r="F12" s="178"/>
    </row>
    <row r="13" spans="1:6" s="254" customFormat="1">
      <c r="A13" s="267" t="s">
        <v>1767</v>
      </c>
      <c r="B13" s="181">
        <f>SUM(B9+B12)</f>
        <v>27000000</v>
      </c>
      <c r="C13" s="181">
        <f>SUM(C9+C12)</f>
        <v>27000000</v>
      </c>
      <c r="D13" s="181">
        <f t="shared" si="0"/>
        <v>0</v>
      </c>
      <c r="E13" s="179"/>
      <c r="F13" s="178"/>
    </row>
    <row r="14" spans="1:6" s="254" customFormat="1">
      <c r="A14" s="268" t="s">
        <v>1768</v>
      </c>
      <c r="B14" s="177">
        <f>'Sources and Uses Budget'!$C13</f>
        <v>56206</v>
      </c>
      <c r="C14" s="177">
        <f>'Sources and Uses Budget'!$C13</f>
        <v>56206</v>
      </c>
      <c r="D14" s="181">
        <f t="shared" si="0"/>
        <v>0</v>
      </c>
      <c r="E14" s="179"/>
      <c r="F14" s="178"/>
    </row>
    <row r="15" spans="1:6" s="254" customFormat="1" ht="23">
      <c r="A15" s="266" t="s">
        <v>1882</v>
      </c>
      <c r="B15" s="177">
        <f>'Sources and Uses Budget'!$C14</f>
        <v>0</v>
      </c>
      <c r="C15" s="177">
        <f>'Sources and Uses Budget'!$C14</f>
        <v>0</v>
      </c>
      <c r="D15" s="181">
        <f t="shared" si="0"/>
        <v>0</v>
      </c>
      <c r="E15" s="179"/>
      <c r="F15" s="178"/>
    </row>
    <row r="16" spans="1:6" s="254" customFormat="1">
      <c r="A16" s="266" t="s">
        <v>1770</v>
      </c>
      <c r="B16" s="177">
        <f>'Sources and Uses Budget'!$C15</f>
        <v>0</v>
      </c>
      <c r="C16" s="177">
        <f>'Sources and Uses Budget'!$C15</f>
        <v>0</v>
      </c>
      <c r="D16" s="181">
        <f t="shared" si="0"/>
        <v>0</v>
      </c>
      <c r="E16" s="179"/>
      <c r="F16" s="178"/>
    </row>
    <row r="17" spans="1:6" s="254" customFormat="1" ht="13">
      <c r="A17" s="175" t="s">
        <v>1771</v>
      </c>
      <c r="B17" s="175"/>
      <c r="C17" s="175"/>
      <c r="D17" s="175"/>
      <c r="E17" s="193"/>
      <c r="F17" s="175"/>
    </row>
    <row r="18" spans="1:6" s="254" customFormat="1">
      <c r="A18" s="194" t="s">
        <v>1772</v>
      </c>
      <c r="B18" s="177">
        <f>'Sources and Uses Budget'!$C17</f>
        <v>319333</v>
      </c>
      <c r="C18" s="177">
        <f>'Sources and Uses Budget'!$C17</f>
        <v>319333</v>
      </c>
      <c r="D18" s="181">
        <f t="shared" si="0"/>
        <v>0</v>
      </c>
      <c r="E18" s="179"/>
      <c r="F18" s="178"/>
    </row>
    <row r="19" spans="1:6" s="254" customFormat="1">
      <c r="A19" s="194" t="s">
        <v>1773</v>
      </c>
      <c r="B19" s="177">
        <f>'Sources and Uses Budget'!$C18</f>
        <v>12856797</v>
      </c>
      <c r="C19" s="177">
        <f>'Sources and Uses Budget'!$C18</f>
        <v>12856797</v>
      </c>
      <c r="D19" s="181">
        <f t="shared" si="0"/>
        <v>0</v>
      </c>
      <c r="E19" s="179"/>
      <c r="F19" s="178"/>
    </row>
    <row r="20" spans="1:6" s="254" customFormat="1">
      <c r="A20" s="194" t="s">
        <v>1774</v>
      </c>
      <c r="B20" s="177">
        <f>'Sources and Uses Budget'!$C19</f>
        <v>845952</v>
      </c>
      <c r="C20" s="177">
        <f>'Sources and Uses Budget'!$C19</f>
        <v>845952</v>
      </c>
      <c r="D20" s="181">
        <f t="shared" si="0"/>
        <v>0</v>
      </c>
      <c r="E20" s="179"/>
      <c r="F20" s="178"/>
    </row>
    <row r="21" spans="1:6" s="254" customFormat="1">
      <c r="A21" s="194" t="s">
        <v>1775</v>
      </c>
      <c r="B21" s="177">
        <f>'Sources and Uses Budget'!$C20</f>
        <v>500783</v>
      </c>
      <c r="C21" s="177">
        <f>'Sources and Uses Budget'!$C20</f>
        <v>500783</v>
      </c>
      <c r="D21" s="181">
        <f t="shared" si="0"/>
        <v>0</v>
      </c>
      <c r="E21" s="179"/>
      <c r="F21" s="178"/>
    </row>
    <row r="22" spans="1:6" s="254" customFormat="1">
      <c r="A22" s="194" t="s">
        <v>1776</v>
      </c>
      <c r="B22" s="177">
        <f>'Sources and Uses Budget'!$C21</f>
        <v>500783</v>
      </c>
      <c r="C22" s="177">
        <f>'Sources and Uses Budget'!$C21</f>
        <v>500783</v>
      </c>
      <c r="D22" s="181">
        <f t="shared" si="0"/>
        <v>0</v>
      </c>
      <c r="E22" s="179"/>
      <c r="F22" s="178"/>
    </row>
    <row r="23" spans="1:6" s="254" customFormat="1">
      <c r="A23" s="194" t="s">
        <v>1777</v>
      </c>
      <c r="B23" s="177">
        <f>'Sources and Uses Budget'!$C22</f>
        <v>0</v>
      </c>
      <c r="C23" s="177">
        <f>'Sources and Uses Budget'!$C22</f>
        <v>0</v>
      </c>
      <c r="D23" s="181">
        <f t="shared" si="0"/>
        <v>0</v>
      </c>
      <c r="E23" s="179"/>
      <c r="F23" s="178"/>
    </row>
    <row r="24" spans="1:6" s="254" customFormat="1">
      <c r="A24" s="194" t="s">
        <v>1778</v>
      </c>
      <c r="B24" s="177">
        <f>'Sources and Uses Budget'!$C23</f>
        <v>105914</v>
      </c>
      <c r="C24" s="177">
        <f>'Sources and Uses Budget'!$C23</f>
        <v>105914</v>
      </c>
      <c r="D24" s="181">
        <f t="shared" si="0"/>
        <v>0</v>
      </c>
      <c r="E24" s="179"/>
      <c r="F24" s="178"/>
    </row>
    <row r="25" spans="1:6" s="254" customFormat="1">
      <c r="A25" s="408" t="s">
        <v>1779</v>
      </c>
      <c r="B25" s="177">
        <f>'Sources and Uses Budget'!$C24</f>
        <v>120000</v>
      </c>
      <c r="C25" s="177">
        <f>'Sources and Uses Budget'!$C24</f>
        <v>120000</v>
      </c>
      <c r="D25" s="181">
        <f t="shared" si="0"/>
        <v>0</v>
      </c>
      <c r="E25" s="179"/>
      <c r="F25" s="178"/>
    </row>
    <row r="26" spans="1:6" s="254" customFormat="1">
      <c r="A26" s="408" t="str">
        <f>'Sources and Uses Budget'!A25</f>
        <v>Other: Environmental Remediation</v>
      </c>
      <c r="B26" s="177">
        <f>'Sources and Uses Budget'!$C25</f>
        <v>100000</v>
      </c>
      <c r="C26" s="177">
        <f>'Sources and Uses Budget'!$C25</f>
        <v>100000</v>
      </c>
      <c r="D26" s="181">
        <f t="shared" si="0"/>
        <v>0</v>
      </c>
      <c r="E26" s="179"/>
      <c r="F26" s="178"/>
    </row>
    <row r="27" spans="1:6" s="254" customFormat="1" ht="13">
      <c r="A27" s="909" t="s">
        <v>1781</v>
      </c>
      <c r="B27" s="181">
        <f>SUM(B18:B26)</f>
        <v>15349562</v>
      </c>
      <c r="C27" s="181">
        <f>SUM(C18:C26)</f>
        <v>15349562</v>
      </c>
      <c r="D27" s="181">
        <f>SUM(D18:D26)</f>
        <v>0</v>
      </c>
      <c r="E27" s="179"/>
      <c r="F27" s="178"/>
    </row>
    <row r="28" spans="1:6" s="254" customFormat="1" ht="13">
      <c r="A28" s="182" t="s">
        <v>1782</v>
      </c>
      <c r="B28" s="177">
        <f>'Sources and Uses Budget'!$C$27</f>
        <v>1295000</v>
      </c>
      <c r="C28" s="177">
        <f>'Sources and Uses Budget'!$C$27</f>
        <v>1295000</v>
      </c>
      <c r="D28" s="181">
        <f t="shared" si="0"/>
        <v>0</v>
      </c>
      <c r="E28" s="179"/>
      <c r="F28" s="178"/>
    </row>
    <row r="29" spans="1:6" s="254" customFormat="1" ht="13">
      <c r="A29" s="175" t="s">
        <v>1783</v>
      </c>
      <c r="B29" s="175"/>
      <c r="C29" s="175"/>
      <c r="D29" s="175"/>
      <c r="E29" s="193"/>
      <c r="F29" s="175"/>
    </row>
    <row r="30" spans="1:6" s="254" customFormat="1">
      <c r="A30" s="194" t="s">
        <v>1772</v>
      </c>
      <c r="B30" s="177">
        <f>'Sources and Uses Budget'!$C29</f>
        <v>0</v>
      </c>
      <c r="C30" s="177">
        <f>'Sources and Uses Budget'!$C29</f>
        <v>0</v>
      </c>
      <c r="D30" s="181">
        <f t="shared" si="0"/>
        <v>0</v>
      </c>
      <c r="E30" s="179"/>
      <c r="F30" s="178"/>
    </row>
    <row r="31" spans="1:6" s="254" customFormat="1">
      <c r="A31" s="194" t="s">
        <v>1773</v>
      </c>
      <c r="B31" s="177">
        <f>'Sources and Uses Budget'!$C30</f>
        <v>0</v>
      </c>
      <c r="C31" s="177">
        <f>'Sources and Uses Budget'!$C30</f>
        <v>0</v>
      </c>
      <c r="D31" s="181">
        <f t="shared" si="0"/>
        <v>0</v>
      </c>
      <c r="E31" s="179"/>
      <c r="F31" s="178"/>
    </row>
    <row r="32" spans="1:6" s="254" customFormat="1">
      <c r="A32" s="194" t="s">
        <v>1774</v>
      </c>
      <c r="B32" s="177">
        <f>'Sources and Uses Budget'!$C31</f>
        <v>0</v>
      </c>
      <c r="C32" s="177">
        <f>'Sources and Uses Budget'!$C31</f>
        <v>0</v>
      </c>
      <c r="D32" s="181">
        <f t="shared" si="0"/>
        <v>0</v>
      </c>
      <c r="E32" s="179"/>
      <c r="F32" s="178"/>
    </row>
    <row r="33" spans="1:6" s="254" customFormat="1">
      <c r="A33" s="194" t="s">
        <v>1775</v>
      </c>
      <c r="B33" s="177">
        <f>'Sources and Uses Budget'!$C32</f>
        <v>0</v>
      </c>
      <c r="C33" s="177">
        <f>'Sources and Uses Budget'!$C32</f>
        <v>0</v>
      </c>
      <c r="D33" s="181">
        <f t="shared" si="0"/>
        <v>0</v>
      </c>
      <c r="E33" s="179"/>
      <c r="F33" s="178"/>
    </row>
    <row r="34" spans="1:6" s="254" customFormat="1">
      <c r="A34" s="194" t="s">
        <v>1776</v>
      </c>
      <c r="B34" s="177">
        <f>'Sources and Uses Budget'!$C33</f>
        <v>0</v>
      </c>
      <c r="C34" s="177">
        <f>'Sources and Uses Budget'!$C33</f>
        <v>0</v>
      </c>
      <c r="D34" s="181">
        <f t="shared" si="0"/>
        <v>0</v>
      </c>
      <c r="E34" s="179"/>
      <c r="F34" s="178"/>
    </row>
    <row r="35" spans="1:6" s="254" customFormat="1">
      <c r="A35" s="194" t="s">
        <v>1777</v>
      </c>
      <c r="B35" s="177">
        <f>'Sources and Uses Budget'!$C34</f>
        <v>0</v>
      </c>
      <c r="C35" s="177">
        <f>'Sources and Uses Budget'!$C34</f>
        <v>0</v>
      </c>
      <c r="D35" s="181">
        <f t="shared" si="0"/>
        <v>0</v>
      </c>
      <c r="E35" s="179"/>
      <c r="F35" s="178"/>
    </row>
    <row r="36" spans="1:6" s="254" customFormat="1">
      <c r="A36" s="194" t="s">
        <v>1778</v>
      </c>
      <c r="B36" s="177">
        <f>'Sources and Uses Budget'!$C35</f>
        <v>0</v>
      </c>
      <c r="C36" s="177">
        <f>'Sources and Uses Budget'!$C35</f>
        <v>0</v>
      </c>
      <c r="D36" s="181">
        <f t="shared" si="0"/>
        <v>0</v>
      </c>
      <c r="E36" s="179"/>
      <c r="F36" s="178"/>
    </row>
    <row r="37" spans="1:6" s="254" customFormat="1">
      <c r="A37" s="194" t="s">
        <v>1779</v>
      </c>
      <c r="B37" s="177">
        <f>'Sources and Uses Budget'!$C36</f>
        <v>0</v>
      </c>
      <c r="C37" s="177">
        <f>'Sources and Uses Budget'!$C36</f>
        <v>0</v>
      </c>
      <c r="D37" s="181"/>
      <c r="E37" s="179"/>
      <c r="F37" s="178"/>
    </row>
    <row r="38" spans="1:6" s="254" customFormat="1">
      <c r="A38" s="408" t="str">
        <f>'Sources and Uses Budget'!A37</f>
        <v>Other: (Specify)</v>
      </c>
      <c r="B38" s="177">
        <f>'Sources and Uses Budget'!$C37</f>
        <v>0</v>
      </c>
      <c r="C38" s="177">
        <f>'Sources and Uses Budget'!$C37</f>
        <v>0</v>
      </c>
      <c r="D38" s="181">
        <f t="shared" si="0"/>
        <v>0</v>
      </c>
      <c r="E38" s="179"/>
      <c r="F38" s="178"/>
    </row>
    <row r="39" spans="1:6" s="254" customFormat="1" ht="13">
      <c r="A39" s="182" t="s">
        <v>1784</v>
      </c>
      <c r="B39" s="181">
        <f>SUM(B30:B38)</f>
        <v>0</v>
      </c>
      <c r="C39" s="181">
        <f>SUM(C30:C38)</f>
        <v>0</v>
      </c>
      <c r="D39" s="181">
        <f t="shared" si="0"/>
        <v>0</v>
      </c>
      <c r="E39" s="179"/>
      <c r="F39" s="178"/>
    </row>
    <row r="40" spans="1:6" s="254" customFormat="1" ht="13">
      <c r="A40" s="175" t="s">
        <v>1785</v>
      </c>
      <c r="B40" s="175"/>
      <c r="C40" s="175"/>
      <c r="D40" s="175"/>
      <c r="E40" s="193"/>
      <c r="F40" s="175"/>
    </row>
    <row r="41" spans="1:6" s="254" customFormat="1">
      <c r="A41" s="180" t="s">
        <v>1786</v>
      </c>
      <c r="B41" s="177">
        <f>'Sources and Uses Budget'!$C40</f>
        <v>1242323</v>
      </c>
      <c r="C41" s="177">
        <f>'Sources and Uses Budget'!$C40</f>
        <v>1242323</v>
      </c>
      <c r="D41" s="181">
        <f t="shared" si="0"/>
        <v>0</v>
      </c>
      <c r="E41" s="179"/>
      <c r="F41" s="178"/>
    </row>
    <row r="42" spans="1:6" s="254" customFormat="1">
      <c r="A42" s="180" t="s">
        <v>1787</v>
      </c>
      <c r="B42" s="177">
        <f>'Sources and Uses Budget'!$C41</f>
        <v>0</v>
      </c>
      <c r="C42" s="177">
        <f>'Sources and Uses Budget'!$C41</f>
        <v>0</v>
      </c>
      <c r="D42" s="181">
        <f t="shared" si="0"/>
        <v>0</v>
      </c>
      <c r="E42" s="179"/>
      <c r="F42" s="178"/>
    </row>
    <row r="43" spans="1:6" s="254" customFormat="1" ht="13">
      <c r="A43" s="182" t="s">
        <v>1788</v>
      </c>
      <c r="B43" s="181">
        <f>SUM(B41:B42)</f>
        <v>1242323</v>
      </c>
      <c r="C43" s="181">
        <f>SUM(C41:C42)</f>
        <v>1242323</v>
      </c>
      <c r="D43" s="181">
        <f t="shared" si="0"/>
        <v>0</v>
      </c>
      <c r="E43" s="179"/>
      <c r="F43" s="178"/>
    </row>
    <row r="44" spans="1:6" s="254" customFormat="1" ht="13">
      <c r="A44" s="182" t="s">
        <v>1789</v>
      </c>
      <c r="B44" s="177">
        <f>'Sources and Uses Budget'!$C43</f>
        <v>50000</v>
      </c>
      <c r="C44" s="177">
        <f>'Sources and Uses Budget'!$C43</f>
        <v>50000</v>
      </c>
      <c r="D44" s="181">
        <f t="shared" si="0"/>
        <v>0</v>
      </c>
      <c r="E44" s="179"/>
      <c r="F44" s="178"/>
    </row>
    <row r="45" spans="1:6" s="254" customFormat="1" ht="12" customHeight="1">
      <c r="A45" s="175" t="s">
        <v>1790</v>
      </c>
      <c r="B45" s="175"/>
      <c r="C45" s="175"/>
      <c r="D45" s="175"/>
      <c r="E45" s="193"/>
      <c r="F45" s="175"/>
    </row>
    <row r="46" spans="1:6" s="254" customFormat="1">
      <c r="A46" s="194" t="s">
        <v>1791</v>
      </c>
      <c r="B46" s="177">
        <f>'Sources and Uses Budget'!$C45</f>
        <v>2326802</v>
      </c>
      <c r="C46" s="177">
        <f>'Sources and Uses Budget'!$C45</f>
        <v>2326802</v>
      </c>
      <c r="D46" s="181">
        <f t="shared" si="0"/>
        <v>0</v>
      </c>
      <c r="E46" s="179"/>
      <c r="F46" s="178"/>
    </row>
    <row r="47" spans="1:6" s="254" customFormat="1">
      <c r="A47" s="194" t="s">
        <v>1792</v>
      </c>
      <c r="B47" s="177">
        <f>'Sources and Uses Budget'!$C46</f>
        <v>204404</v>
      </c>
      <c r="C47" s="177">
        <f>'Sources and Uses Budget'!$C46</f>
        <v>204404</v>
      </c>
      <c r="D47" s="181">
        <f t="shared" si="0"/>
        <v>0</v>
      </c>
      <c r="E47" s="179"/>
      <c r="F47" s="178"/>
    </row>
    <row r="48" spans="1:6" s="254" customFormat="1" ht="12" customHeight="1">
      <c r="A48" s="1206" t="s">
        <v>1793</v>
      </c>
      <c r="B48" s="177">
        <f>'Sources and Uses Budget'!$C47</f>
        <v>25000</v>
      </c>
      <c r="C48" s="177">
        <f>'Sources and Uses Budget'!$C47</f>
        <v>25000</v>
      </c>
      <c r="D48" s="181">
        <f t="shared" si="0"/>
        <v>0</v>
      </c>
      <c r="E48" s="179"/>
      <c r="F48" s="178"/>
    </row>
    <row r="49" spans="1:6" s="254" customFormat="1">
      <c r="A49" s="194" t="s">
        <v>1794</v>
      </c>
      <c r="B49" s="177">
        <f>'Sources and Uses Budget'!$C48</f>
        <v>80092</v>
      </c>
      <c r="C49" s="177">
        <f>'Sources and Uses Budget'!$C48</f>
        <v>80092</v>
      </c>
      <c r="D49" s="181">
        <f t="shared" si="0"/>
        <v>0</v>
      </c>
      <c r="E49" s="179"/>
      <c r="F49" s="178"/>
    </row>
    <row r="50" spans="1:6" s="254" customFormat="1">
      <c r="A50" s="194" t="s">
        <v>1795</v>
      </c>
      <c r="B50" s="177">
        <f>'Sources and Uses Budget'!$C49</f>
        <v>213435</v>
      </c>
      <c r="C50" s="177">
        <f>'Sources and Uses Budget'!$C49</f>
        <v>213435</v>
      </c>
      <c r="D50" s="181">
        <f t="shared" si="0"/>
        <v>0</v>
      </c>
      <c r="E50" s="179"/>
      <c r="F50" s="178"/>
    </row>
    <row r="51" spans="1:6" s="254" customFormat="1">
      <c r="A51" s="194" t="s">
        <v>1796</v>
      </c>
      <c r="B51" s="177">
        <f>'Sources and Uses Budget'!$C50</f>
        <v>100000</v>
      </c>
      <c r="C51" s="177">
        <f>'Sources and Uses Budget'!$C50</f>
        <v>100000</v>
      </c>
      <c r="D51" s="181">
        <f t="shared" si="0"/>
        <v>0</v>
      </c>
      <c r="E51" s="179"/>
      <c r="F51" s="178"/>
    </row>
    <row r="52" spans="1:6" s="254" customFormat="1">
      <c r="A52" s="194" t="s">
        <v>1797</v>
      </c>
      <c r="B52" s="177">
        <f>'Sources and Uses Budget'!$C51</f>
        <v>5000</v>
      </c>
      <c r="C52" s="177">
        <f>'Sources and Uses Budget'!$C51</f>
        <v>5000</v>
      </c>
      <c r="D52" s="181">
        <f t="shared" si="0"/>
        <v>0</v>
      </c>
      <c r="E52" s="179"/>
      <c r="F52" s="178"/>
    </row>
    <row r="53" spans="1:6" s="254" customFormat="1">
      <c r="A53" s="194" t="s">
        <v>1798</v>
      </c>
      <c r="B53" s="177">
        <f>'Sources and Uses Budget'!$C52</f>
        <v>298158</v>
      </c>
      <c r="C53" s="177">
        <f>'Sources and Uses Budget'!$C52</f>
        <v>298158</v>
      </c>
      <c r="D53" s="181">
        <f t="shared" si="0"/>
        <v>0</v>
      </c>
      <c r="E53" s="179"/>
      <c r="F53" s="178"/>
    </row>
    <row r="54" spans="1:6" s="254" customFormat="1">
      <c r="A54" s="408" t="str">
        <f>'Sources and Uses Budget'!A53</f>
        <v>Other: (Specify)</v>
      </c>
      <c r="B54" s="177">
        <f>'Sources and Uses Budget'!$C53</f>
        <v>0</v>
      </c>
      <c r="C54" s="177">
        <f>'Sources and Uses Budget'!$C53</f>
        <v>0</v>
      </c>
      <c r="D54" s="181">
        <f t="shared" si="0"/>
        <v>0</v>
      </c>
      <c r="E54" s="179"/>
      <c r="F54" s="178"/>
    </row>
    <row r="55" spans="1:6" s="255" customFormat="1" ht="13">
      <c r="A55" s="182" t="s">
        <v>1799</v>
      </c>
      <c r="B55" s="184">
        <f>SUM(B46:B54)</f>
        <v>3252891</v>
      </c>
      <c r="C55" s="184">
        <f>SUM(C46:C54)</f>
        <v>3252891</v>
      </c>
      <c r="D55" s="181">
        <f t="shared" si="0"/>
        <v>0</v>
      </c>
      <c r="E55" s="179"/>
      <c r="F55" s="178"/>
    </row>
    <row r="56" spans="1:6" s="254" customFormat="1" ht="13">
      <c r="A56" s="175" t="s">
        <v>1355</v>
      </c>
      <c r="B56" s="175"/>
      <c r="C56" s="175"/>
      <c r="D56" s="175"/>
      <c r="E56" s="193"/>
      <c r="F56" s="175"/>
    </row>
    <row r="57" spans="1:6" s="254" customFormat="1">
      <c r="A57" s="180" t="s">
        <v>1800</v>
      </c>
      <c r="B57" s="177">
        <f>'Sources and Uses Budget'!$C56</f>
        <v>86640</v>
      </c>
      <c r="C57" s="177">
        <f>'Sources and Uses Budget'!$C56</f>
        <v>86640</v>
      </c>
      <c r="D57" s="181">
        <f t="shared" si="0"/>
        <v>0</v>
      </c>
      <c r="E57" s="179"/>
      <c r="F57" s="178"/>
    </row>
    <row r="58" spans="1:6" s="254" customFormat="1" ht="12" customHeight="1">
      <c r="A58" s="180" t="s">
        <v>1793</v>
      </c>
      <c r="B58" s="177">
        <f>'Sources and Uses Budget'!$C57</f>
        <v>10000</v>
      </c>
      <c r="C58" s="177">
        <f>'Sources and Uses Budget'!$C57</f>
        <v>10000</v>
      </c>
      <c r="D58" s="181">
        <f t="shared" si="0"/>
        <v>0</v>
      </c>
      <c r="E58" s="179"/>
      <c r="F58" s="178"/>
    </row>
    <row r="59" spans="1:6" s="254" customFormat="1">
      <c r="A59" s="180" t="s">
        <v>1796</v>
      </c>
      <c r="B59" s="177">
        <f>'Sources and Uses Budget'!$C58</f>
        <v>0</v>
      </c>
      <c r="C59" s="177">
        <f>'Sources and Uses Budget'!$C58</f>
        <v>0</v>
      </c>
      <c r="D59" s="181">
        <f t="shared" si="0"/>
        <v>0</v>
      </c>
      <c r="E59" s="179"/>
      <c r="F59" s="178"/>
    </row>
    <row r="60" spans="1:6" s="254" customFormat="1">
      <c r="A60" s="180" t="s">
        <v>1797</v>
      </c>
      <c r="B60" s="177">
        <f>'Sources and Uses Budget'!$C59</f>
        <v>0</v>
      </c>
      <c r="C60" s="177">
        <f>'Sources and Uses Budget'!$C59</f>
        <v>0</v>
      </c>
      <c r="D60" s="181">
        <f t="shared" si="0"/>
        <v>0</v>
      </c>
      <c r="E60" s="179"/>
      <c r="F60" s="178"/>
    </row>
    <row r="61" spans="1:6" s="254" customFormat="1">
      <c r="A61" s="180" t="s">
        <v>1798</v>
      </c>
      <c r="B61" s="177">
        <f>'Sources and Uses Budget'!$C60</f>
        <v>0</v>
      </c>
      <c r="C61" s="177">
        <f>'Sources and Uses Budget'!$C60</f>
        <v>0</v>
      </c>
      <c r="D61" s="181">
        <f t="shared" si="0"/>
        <v>0</v>
      </c>
      <c r="E61" s="179"/>
      <c r="F61" s="178"/>
    </row>
    <row r="62" spans="1:6" s="254" customFormat="1">
      <c r="A62" s="910" t="str">
        <f>'Sources and Uses Budget'!A61</f>
        <v>Other: (Specify)</v>
      </c>
      <c r="B62" s="177">
        <f>'Sources and Uses Budget'!$C61</f>
        <v>0</v>
      </c>
      <c r="C62" s="177">
        <f>'Sources and Uses Budget'!$C61</f>
        <v>0</v>
      </c>
      <c r="D62" s="181">
        <f t="shared" si="0"/>
        <v>0</v>
      </c>
      <c r="E62" s="179"/>
      <c r="F62" s="178"/>
    </row>
    <row r="63" spans="1:6" s="254" customFormat="1" ht="13.75" customHeight="1">
      <c r="A63" s="182" t="s">
        <v>1801</v>
      </c>
      <c r="B63" s="181">
        <f>SUM(B57:B62)</f>
        <v>96640</v>
      </c>
      <c r="C63" s="181">
        <f>SUM(C57:C62)</f>
        <v>96640</v>
      </c>
      <c r="D63" s="181">
        <f t="shared" si="0"/>
        <v>0</v>
      </c>
      <c r="E63" s="179"/>
      <c r="F63" s="178"/>
    </row>
    <row r="64" spans="1:6" s="254" customFormat="1" ht="13">
      <c r="A64" s="185" t="s">
        <v>1802</v>
      </c>
      <c r="B64" s="181">
        <f>SUM(B9+B12+B14+B15+B17+B26+B28+B39+B43+B44+B55+B63)</f>
        <v>33093060</v>
      </c>
      <c r="C64" s="181">
        <f>SUM(C9+C12+C14+C15+C17+C26+C28+C39+C43+C44+C55+C63)</f>
        <v>33093060</v>
      </c>
      <c r="D64" s="181">
        <f t="shared" si="0"/>
        <v>0</v>
      </c>
      <c r="E64" s="179"/>
      <c r="F64" s="178"/>
    </row>
    <row r="65" spans="1:6" s="254" customFormat="1" ht="24">
      <c r="A65" s="104" t="s">
        <v>1803</v>
      </c>
      <c r="B65" s="175"/>
      <c r="C65" s="175"/>
      <c r="D65" s="175"/>
      <c r="E65" s="193"/>
      <c r="F65" s="175"/>
    </row>
    <row r="66" spans="1:6" s="254" customFormat="1">
      <c r="A66" s="194" t="s">
        <v>1804</v>
      </c>
      <c r="B66" s="177">
        <f>'Sources and Uses Budget'!$C65</f>
        <v>60000</v>
      </c>
      <c r="C66" s="177">
        <f>'Sources and Uses Budget'!$C65</f>
        <v>60000</v>
      </c>
      <c r="D66" s="181">
        <f t="shared" si="0"/>
        <v>0</v>
      </c>
      <c r="E66" s="179"/>
      <c r="F66" s="178"/>
    </row>
    <row r="67" spans="1:6" s="254" customFormat="1" ht="23">
      <c r="A67" s="194" t="s">
        <v>1805</v>
      </c>
      <c r="B67" s="177">
        <f>'Sources and Uses Budget'!$C66</f>
        <v>0</v>
      </c>
      <c r="C67" s="177">
        <f>'Sources and Uses Budget'!$C66</f>
        <v>0</v>
      </c>
      <c r="D67" s="181"/>
      <c r="E67" s="179"/>
      <c r="F67" s="178"/>
    </row>
    <row r="68" spans="1:6" s="254" customFormat="1" ht="23">
      <c r="A68" s="194" t="s">
        <v>1806</v>
      </c>
      <c r="B68" s="177">
        <f>'Sources and Uses Budget'!$C67</f>
        <v>0</v>
      </c>
      <c r="C68" s="177">
        <f>'Sources and Uses Budget'!$C67</f>
        <v>0</v>
      </c>
      <c r="D68" s="181"/>
      <c r="E68" s="179"/>
      <c r="F68" s="178"/>
    </row>
    <row r="69" spans="1:6" s="254" customFormat="1">
      <c r="A69" s="194" t="s">
        <v>1807</v>
      </c>
      <c r="B69" s="177">
        <f>'Sources and Uses Budget'!$C68</f>
        <v>0</v>
      </c>
      <c r="C69" s="177">
        <f>'Sources and Uses Budget'!$C68</f>
        <v>0</v>
      </c>
      <c r="D69" s="181"/>
      <c r="E69" s="179"/>
      <c r="F69" s="178"/>
    </row>
    <row r="70" spans="1:6" s="254" customFormat="1">
      <c r="A70" s="408" t="str">
        <f>'Sources and Uses Budget'!A69</f>
        <v>Owner Legal</v>
      </c>
      <c r="B70" s="177">
        <f>'Sources and Uses Budget'!$C69</f>
        <v>160000</v>
      </c>
      <c r="C70" s="177">
        <f>'Sources and Uses Budget'!$C69</f>
        <v>160000</v>
      </c>
      <c r="D70" s="181">
        <f t="shared" si="0"/>
        <v>0</v>
      </c>
      <c r="E70" s="179"/>
      <c r="F70" s="178"/>
    </row>
    <row r="71" spans="1:6" s="254" customFormat="1">
      <c r="A71" s="106" t="s">
        <v>1808</v>
      </c>
      <c r="B71" s="181">
        <f>SUM(B66:B70)</f>
        <v>220000</v>
      </c>
      <c r="C71" s="181">
        <f>SUM(C66:C70)</f>
        <v>220000</v>
      </c>
      <c r="D71" s="181">
        <f t="shared" si="0"/>
        <v>0</v>
      </c>
      <c r="E71" s="179"/>
      <c r="F71" s="178"/>
    </row>
    <row r="72" spans="1:6" s="254" customFormat="1" ht="13">
      <c r="A72" s="175" t="s">
        <v>1809</v>
      </c>
      <c r="B72" s="175"/>
      <c r="C72" s="175"/>
      <c r="D72" s="175"/>
      <c r="E72" s="193"/>
      <c r="F72" s="175"/>
    </row>
    <row r="73" spans="1:6" s="254" customFormat="1">
      <c r="A73" s="180" t="s">
        <v>1810</v>
      </c>
      <c r="B73" s="177">
        <f>'Sources and Uses Budget'!$C72</f>
        <v>0</v>
      </c>
      <c r="C73" s="177">
        <f>'Sources and Uses Budget'!$C72</f>
        <v>0</v>
      </c>
      <c r="D73" s="181">
        <f t="shared" si="0"/>
        <v>0</v>
      </c>
      <c r="E73" s="179"/>
      <c r="F73" s="178"/>
    </row>
    <row r="74" spans="1:6" s="254" customFormat="1">
      <c r="A74" s="180" t="s">
        <v>1811</v>
      </c>
      <c r="B74" s="177">
        <f>'Sources and Uses Budget'!$C73</f>
        <v>0</v>
      </c>
      <c r="C74" s="177">
        <f>'Sources and Uses Budget'!$C73</f>
        <v>0</v>
      </c>
      <c r="D74" s="181">
        <f t="shared" si="0"/>
        <v>0</v>
      </c>
      <c r="E74" s="179"/>
      <c r="F74" s="178"/>
    </row>
    <row r="75" spans="1:6" s="254" customFormat="1">
      <c r="A75" s="196" t="s">
        <v>1812</v>
      </c>
      <c r="B75" s="177">
        <f>'Sources and Uses Budget'!$C74</f>
        <v>0</v>
      </c>
      <c r="C75" s="177">
        <f>'Sources and Uses Budget'!$C74</f>
        <v>0</v>
      </c>
      <c r="D75" s="181">
        <f t="shared" si="0"/>
        <v>0</v>
      </c>
      <c r="E75" s="179"/>
      <c r="F75" s="178"/>
    </row>
    <row r="76" spans="1:6" s="254" customFormat="1">
      <c r="A76" s="180" t="s">
        <v>1813</v>
      </c>
      <c r="B76" s="177">
        <f>'Sources and Uses Budget'!$C75</f>
        <v>429068</v>
      </c>
      <c r="C76" s="177">
        <f>'Sources and Uses Budget'!$C75</f>
        <v>429068</v>
      </c>
      <c r="D76" s="181">
        <f t="shared" si="0"/>
        <v>0</v>
      </c>
      <c r="E76" s="179"/>
      <c r="F76" s="178"/>
    </row>
    <row r="77" spans="1:6" s="254" customFormat="1">
      <c r="A77" s="183" t="s">
        <v>1780</v>
      </c>
      <c r="B77" s="177">
        <f>'Sources and Uses Budget'!$C76</f>
        <v>121387</v>
      </c>
      <c r="C77" s="177">
        <f>'Sources and Uses Budget'!$C76</f>
        <v>121387</v>
      </c>
      <c r="D77" s="181">
        <f t="shared" si="0"/>
        <v>0</v>
      </c>
      <c r="E77" s="179"/>
      <c r="F77" s="178"/>
    </row>
    <row r="78" spans="1:6" s="254" customFormat="1" ht="13">
      <c r="A78" s="182" t="s">
        <v>1814</v>
      </c>
      <c r="B78" s="181">
        <f>SUM(B73:B77)</f>
        <v>550455</v>
      </c>
      <c r="C78" s="181">
        <f>SUM(C73:C77)</f>
        <v>550455</v>
      </c>
      <c r="D78" s="181">
        <f t="shared" ref="D78:D106" si="1">C78-B78</f>
        <v>0</v>
      </c>
      <c r="E78" s="179"/>
      <c r="F78" s="178"/>
    </row>
    <row r="79" spans="1:6" s="254" customFormat="1" ht="13">
      <c r="A79" s="175" t="s">
        <v>1815</v>
      </c>
      <c r="B79" s="175"/>
      <c r="C79" s="175"/>
      <c r="D79" s="175"/>
      <c r="E79" s="193"/>
      <c r="F79" s="175"/>
    </row>
    <row r="80" spans="1:6" s="254" customFormat="1">
      <c r="A80" s="409" t="s">
        <v>1816</v>
      </c>
      <c r="B80" s="177">
        <f>'Sources and Uses Budget'!$C79</f>
        <v>2296448</v>
      </c>
      <c r="C80" s="177">
        <f>'Sources and Uses Budget'!$C79</f>
        <v>2296448</v>
      </c>
      <c r="D80" s="181">
        <f t="shared" si="1"/>
        <v>0</v>
      </c>
      <c r="E80" s="179"/>
      <c r="F80" s="178"/>
    </row>
    <row r="81" spans="1:6" s="254" customFormat="1">
      <c r="A81" s="409" t="s">
        <v>1817</v>
      </c>
      <c r="B81" s="177">
        <f>'Sources and Uses Budget'!$C80</f>
        <v>318834</v>
      </c>
      <c r="C81" s="177">
        <f>'Sources and Uses Budget'!$C80</f>
        <v>318834</v>
      </c>
      <c r="D81" s="181">
        <f>C81-B81</f>
        <v>0</v>
      </c>
      <c r="E81" s="179"/>
      <c r="F81" s="178"/>
    </row>
    <row r="82" spans="1:6" s="254" customFormat="1" ht="13">
      <c r="A82" s="182" t="s">
        <v>1818</v>
      </c>
      <c r="B82" s="181">
        <f>SUM(B80:B81)</f>
        <v>2615282</v>
      </c>
      <c r="C82" s="181">
        <f>SUM(C80:C81)</f>
        <v>2615282</v>
      </c>
      <c r="D82" s="181">
        <f t="shared" si="1"/>
        <v>0</v>
      </c>
      <c r="E82" s="179"/>
      <c r="F82" s="178"/>
    </row>
    <row r="83" spans="1:6" s="254" customFormat="1" ht="13">
      <c r="A83" s="175" t="s">
        <v>1819</v>
      </c>
      <c r="B83" s="175"/>
      <c r="C83" s="175"/>
      <c r="D83" s="175"/>
      <c r="E83" s="193"/>
      <c r="F83" s="175"/>
    </row>
    <row r="84" spans="1:6" s="254" customFormat="1" ht="13.75" customHeight="1">
      <c r="A84" s="180" t="s">
        <v>2739</v>
      </c>
      <c r="B84" s="177">
        <f>'Sources and Uses Budget'!$C83</f>
        <v>81757</v>
      </c>
      <c r="C84" s="177">
        <f>'Sources and Uses Budget'!$C83</f>
        <v>81757</v>
      </c>
      <c r="D84" s="181">
        <f t="shared" si="1"/>
        <v>0</v>
      </c>
      <c r="E84" s="179"/>
      <c r="F84" s="178"/>
    </row>
    <row r="85" spans="1:6" s="254" customFormat="1">
      <c r="A85" s="180" t="s">
        <v>1821</v>
      </c>
      <c r="B85" s="177">
        <f>'Sources and Uses Budget'!$C84</f>
        <v>30000</v>
      </c>
      <c r="C85" s="177">
        <f>'Sources and Uses Budget'!$C84</f>
        <v>30000</v>
      </c>
      <c r="D85" s="181">
        <f t="shared" si="1"/>
        <v>0</v>
      </c>
      <c r="E85" s="179"/>
      <c r="F85" s="178"/>
    </row>
    <row r="86" spans="1:6" s="254" customFormat="1">
      <c r="A86" s="180" t="s">
        <v>1822</v>
      </c>
      <c r="B86" s="177">
        <f>'Sources and Uses Budget'!$C85</f>
        <v>0</v>
      </c>
      <c r="C86" s="177">
        <f>'Sources and Uses Budget'!$C85</f>
        <v>0</v>
      </c>
      <c r="D86" s="181">
        <f t="shared" si="1"/>
        <v>0</v>
      </c>
      <c r="E86" s="179"/>
      <c r="F86" s="178"/>
    </row>
    <row r="87" spans="1:6" s="254" customFormat="1">
      <c r="A87" s="180" t="s">
        <v>1823</v>
      </c>
      <c r="B87" s="177">
        <f>'Sources and Uses Budget'!$C86</f>
        <v>0</v>
      </c>
      <c r="C87" s="177">
        <f>'Sources and Uses Budget'!$C86</f>
        <v>0</v>
      </c>
      <c r="D87" s="181">
        <f t="shared" si="1"/>
        <v>0</v>
      </c>
      <c r="E87" s="179"/>
      <c r="F87" s="178"/>
    </row>
    <row r="88" spans="1:6" s="254" customFormat="1">
      <c r="A88" s="180" t="s">
        <v>1824</v>
      </c>
      <c r="B88" s="177">
        <f>'Sources and Uses Budget'!$C87</f>
        <v>0</v>
      </c>
      <c r="C88" s="177">
        <f>'Sources and Uses Budget'!$C87</f>
        <v>0</v>
      </c>
      <c r="D88" s="181">
        <f t="shared" si="1"/>
        <v>0</v>
      </c>
      <c r="E88" s="179"/>
      <c r="F88" s="178"/>
    </row>
    <row r="89" spans="1:6" s="254" customFormat="1">
      <c r="A89" s="180" t="s">
        <v>1825</v>
      </c>
      <c r="B89" s="177">
        <f>'Sources and Uses Budget'!$C88</f>
        <v>17000</v>
      </c>
      <c r="C89" s="177">
        <f>'Sources and Uses Budget'!$C88</f>
        <v>17000</v>
      </c>
      <c r="D89" s="181">
        <f t="shared" si="1"/>
        <v>0</v>
      </c>
      <c r="E89" s="179"/>
      <c r="F89" s="178"/>
    </row>
    <row r="90" spans="1:6" s="254" customFormat="1">
      <c r="A90" s="180" t="s">
        <v>1826</v>
      </c>
      <c r="B90" s="177">
        <f>'Sources and Uses Budget'!$C89</f>
        <v>100000</v>
      </c>
      <c r="C90" s="177">
        <f>'Sources and Uses Budget'!$C89</f>
        <v>100000</v>
      </c>
      <c r="D90" s="181">
        <f t="shared" si="1"/>
        <v>0</v>
      </c>
      <c r="E90" s="179"/>
      <c r="F90" s="178"/>
    </row>
    <row r="91" spans="1:6" s="254" customFormat="1">
      <c r="A91" s="180" t="s">
        <v>1827</v>
      </c>
      <c r="B91" s="177">
        <f>'Sources and Uses Budget'!$C90</f>
        <v>15000</v>
      </c>
      <c r="C91" s="177">
        <f>'Sources and Uses Budget'!$C90</f>
        <v>15000</v>
      </c>
      <c r="D91" s="181">
        <f t="shared" si="1"/>
        <v>0</v>
      </c>
      <c r="E91" s="179"/>
      <c r="F91" s="178"/>
    </row>
    <row r="92" spans="1:6" s="254" customFormat="1">
      <c r="A92" s="180" t="s">
        <v>1828</v>
      </c>
      <c r="B92" s="177">
        <f>'Sources and Uses Budget'!$C91</f>
        <v>0</v>
      </c>
      <c r="C92" s="177">
        <f>'Sources and Uses Budget'!$C91</f>
        <v>0</v>
      </c>
      <c r="D92" s="181">
        <f t="shared" si="1"/>
        <v>0</v>
      </c>
      <c r="E92" s="179"/>
      <c r="F92" s="178"/>
    </row>
    <row r="93" spans="1:6" s="254" customFormat="1">
      <c r="A93" s="409" t="s">
        <v>1829</v>
      </c>
      <c r="B93" s="177">
        <f>'Sources and Uses Budget'!$C92</f>
        <v>25000</v>
      </c>
      <c r="C93" s="177">
        <f>'Sources and Uses Budget'!$C92</f>
        <v>25000</v>
      </c>
      <c r="D93" s="181">
        <f t="shared" si="1"/>
        <v>0</v>
      </c>
      <c r="E93" s="179"/>
      <c r="F93" s="178"/>
    </row>
    <row r="94" spans="1:6" s="254" customFormat="1">
      <c r="A94" s="183" t="s">
        <v>1780</v>
      </c>
      <c r="B94" s="177">
        <f>'Sources and Uses Budget'!$C93</f>
        <v>0</v>
      </c>
      <c r="C94" s="177">
        <f>'Sources and Uses Budget'!$C93</f>
        <v>0</v>
      </c>
      <c r="D94" s="181">
        <f t="shared" si="1"/>
        <v>0</v>
      </c>
      <c r="E94" s="179"/>
      <c r="F94" s="178"/>
    </row>
    <row r="95" spans="1:6" s="254" customFormat="1">
      <c r="A95" s="183" t="s">
        <v>1780</v>
      </c>
      <c r="B95" s="177">
        <f>'Sources and Uses Budget'!$C94</f>
        <v>0</v>
      </c>
      <c r="C95" s="177">
        <f>'Sources and Uses Budget'!$C94</f>
        <v>0</v>
      </c>
      <c r="D95" s="181">
        <f t="shared" si="1"/>
        <v>0</v>
      </c>
      <c r="E95" s="179"/>
      <c r="F95" s="178"/>
    </row>
    <row r="96" spans="1:6" s="254" customFormat="1">
      <c r="A96" s="183" t="s">
        <v>1780</v>
      </c>
      <c r="B96" s="177">
        <f>'Sources and Uses Budget'!$C95</f>
        <v>0</v>
      </c>
      <c r="C96" s="177">
        <f>'Sources and Uses Budget'!$C95</f>
        <v>0</v>
      </c>
      <c r="D96" s="181">
        <f t="shared" si="1"/>
        <v>0</v>
      </c>
      <c r="E96" s="179"/>
      <c r="F96" s="178"/>
    </row>
    <row r="97" spans="1:6" s="254" customFormat="1" ht="13">
      <c r="A97" s="182" t="s">
        <v>1830</v>
      </c>
      <c r="B97" s="181">
        <f>SUM(B84:B96)</f>
        <v>268757</v>
      </c>
      <c r="C97" s="181">
        <f>SUM(C84:C96)</f>
        <v>268757</v>
      </c>
      <c r="D97" s="181">
        <f t="shared" si="1"/>
        <v>0</v>
      </c>
      <c r="E97" s="179"/>
      <c r="F97" s="178"/>
    </row>
    <row r="98" spans="1:6" s="254" customFormat="1" ht="13">
      <c r="A98" s="182" t="s">
        <v>1831</v>
      </c>
      <c r="B98" s="181">
        <f>SUM(B64+B71+B78+B82+B97)</f>
        <v>36747554</v>
      </c>
      <c r="C98" s="181">
        <f>SUM(C64+C71+C78+C82+C97)</f>
        <v>36747554</v>
      </c>
      <c r="D98" s="181">
        <f t="shared" si="1"/>
        <v>0</v>
      </c>
      <c r="E98" s="179"/>
      <c r="F98" s="178"/>
    </row>
    <row r="99" spans="1:6" s="254" customFormat="1" ht="13">
      <c r="A99" s="175" t="s">
        <v>1832</v>
      </c>
      <c r="B99" s="175"/>
      <c r="C99" s="175"/>
      <c r="D99" s="175"/>
      <c r="E99" s="193"/>
      <c r="F99" s="175"/>
    </row>
    <row r="100" spans="1:6" s="254" customFormat="1">
      <c r="A100" s="194" t="s">
        <v>1833</v>
      </c>
      <c r="B100" s="177">
        <f>'Sources and Uses Budget'!$C99</f>
        <v>4748033</v>
      </c>
      <c r="C100" s="177">
        <f>'Sources and Uses Budget'!$C99</f>
        <v>4748033</v>
      </c>
      <c r="D100" s="181">
        <f t="shared" si="1"/>
        <v>0</v>
      </c>
      <c r="E100" s="179"/>
      <c r="F100" s="178"/>
    </row>
    <row r="101" spans="1:6" s="254" customFormat="1">
      <c r="A101" s="194" t="s">
        <v>1834</v>
      </c>
      <c r="B101" s="177">
        <f>'Sources and Uses Budget'!$C100</f>
        <v>0</v>
      </c>
      <c r="C101" s="177">
        <f>'Sources and Uses Budget'!$C100</f>
        <v>0</v>
      </c>
      <c r="D101" s="181">
        <f t="shared" si="1"/>
        <v>0</v>
      </c>
      <c r="E101" s="179"/>
      <c r="F101" s="178"/>
    </row>
    <row r="102" spans="1:6" s="254" customFormat="1">
      <c r="A102" s="194" t="s">
        <v>1835</v>
      </c>
      <c r="B102" s="177">
        <f>'Sources and Uses Budget'!$C101</f>
        <v>0</v>
      </c>
      <c r="C102" s="177">
        <f>'Sources and Uses Budget'!$C101</f>
        <v>0</v>
      </c>
      <c r="D102" s="181">
        <f t="shared" si="1"/>
        <v>0</v>
      </c>
      <c r="E102" s="179"/>
      <c r="F102" s="178"/>
    </row>
    <row r="103" spans="1:6" s="254" customFormat="1" ht="12" customHeight="1">
      <c r="A103" s="194" t="s">
        <v>1836</v>
      </c>
      <c r="B103" s="177">
        <f>'Sources and Uses Budget'!$C102</f>
        <v>0</v>
      </c>
      <c r="C103" s="177">
        <f>'Sources and Uses Budget'!$C102</f>
        <v>0</v>
      </c>
      <c r="D103" s="181">
        <f t="shared" si="1"/>
        <v>0</v>
      </c>
      <c r="E103" s="179"/>
      <c r="F103" s="178"/>
    </row>
    <row r="104" spans="1:6" s="254" customFormat="1">
      <c r="A104" s="910" t="str">
        <f>'Sources and Uses Budget'!A103</f>
        <v>Other: (Specify)</v>
      </c>
      <c r="B104" s="177">
        <f>'Sources and Uses Budget'!$C103</f>
        <v>0</v>
      </c>
      <c r="C104" s="177">
        <f>'Sources and Uses Budget'!$C103</f>
        <v>0</v>
      </c>
      <c r="D104" s="181">
        <f t="shared" si="1"/>
        <v>0</v>
      </c>
      <c r="E104" s="179"/>
      <c r="F104" s="178"/>
    </row>
    <row r="105" spans="1:6" s="254" customFormat="1" ht="13">
      <c r="A105" s="182" t="s">
        <v>1837</v>
      </c>
      <c r="B105" s="181">
        <f>SUM(B100:B104)</f>
        <v>4748033</v>
      </c>
      <c r="C105" s="181">
        <f>SUM(C100:C104)</f>
        <v>4748033</v>
      </c>
      <c r="D105" s="181">
        <f t="shared" si="1"/>
        <v>0</v>
      </c>
      <c r="E105" s="179"/>
      <c r="F105" s="178"/>
    </row>
    <row r="106" spans="1:6" s="254" customFormat="1" ht="13">
      <c r="A106" s="182" t="s">
        <v>1838</v>
      </c>
      <c r="B106" s="184">
        <f>SUM(B98+B105)</f>
        <v>41495587</v>
      </c>
      <c r="C106" s="184">
        <f>SUM(C98+C105)</f>
        <v>41495587</v>
      </c>
      <c r="D106" s="181">
        <f t="shared" si="1"/>
        <v>0</v>
      </c>
      <c r="E106" s="179"/>
      <c r="F106" s="178"/>
    </row>
    <row r="107" spans="1:6" s="254" customFormat="1" ht="13">
      <c r="A107" s="188" t="s">
        <v>2740</v>
      </c>
      <c r="B107" s="189"/>
      <c r="C107" s="190"/>
      <c r="D107" s="192"/>
      <c r="E107" s="176"/>
      <c r="F107" s="187"/>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9FF4655EE39E4C8C15D1336A709346" ma:contentTypeVersion="6" ma:contentTypeDescription="Create a new document." ma:contentTypeScope="" ma:versionID="fb0046d08ff5d0532b70c998d3feacc6">
  <xsd:schema xmlns:xsd="http://www.w3.org/2001/XMLSchema" xmlns:xs="http://www.w3.org/2001/XMLSchema" xmlns:p="http://schemas.microsoft.com/office/2006/metadata/properties" xmlns:ns2="df676585-4996-4b41-a86e-64013e6bb341" xmlns:ns3="3fe0e792-f309-46ac-9b30-b2462af50ece" targetNamespace="http://schemas.microsoft.com/office/2006/metadata/properties" ma:root="true" ma:fieldsID="242e6d85664f1b3d0182ed9c1af729dc" ns2:_="" ns3:_="">
    <xsd:import namespace="df676585-4996-4b41-a86e-64013e6bb341"/>
    <xsd:import namespace="3fe0e792-f309-46ac-9b30-b2462af50ece"/>
    <xsd:element name="properties">
      <xsd:complexType>
        <xsd:sequence>
          <xsd:element name="documentManagement">
            <xsd:complexType>
              <xsd:all>
                <xsd:element ref="ns2:IncludeDoc" minOccurs="0"/>
                <xsd:element ref="ns2:FlowMerge"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676585-4996-4b41-a86e-64013e6bb341" elementFormDefault="qualified">
    <xsd:import namespace="http://schemas.microsoft.com/office/2006/documentManagement/types"/>
    <xsd:import namespace="http://schemas.microsoft.com/office/infopath/2007/PartnerControls"/>
    <xsd:element name="IncludeDoc" ma:index="8" nillable="true" ma:displayName="IncludeDoc" ma:default="0" ma:description="Include document in Flow Merge?" ma:internalName="IncludeDoc">
      <xsd:simpleType>
        <xsd:restriction base="dms:Boolean"/>
      </xsd:simpleType>
    </xsd:element>
    <xsd:element name="FlowMerge" ma:index="9" nillable="true" ma:displayName="FlowMerge" ma:description="Merge documents together." ma:internalName="FlowMerg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e0e792-f309-46ac-9b30-b2462af50ec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8d257eed-2230-4794-a0a4-0a3004274d28"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ncludeDoc xmlns="df676585-4996-4b41-a86e-64013e6bb341">false</IncludeDoc>
    <FlowMerge xmlns="df676585-4996-4b41-a86e-64013e6bb341" xsi:nil="true"/>
  </documentManagement>
</p:properties>
</file>

<file path=customXml/itemProps1.xml><?xml version="1.0" encoding="utf-8"?>
<ds:datastoreItem xmlns:ds="http://schemas.openxmlformats.org/officeDocument/2006/customXml" ds:itemID="{948A2759-C77E-407F-81F1-B71BAF2A6E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676585-4996-4b41-a86e-64013e6bb341"/>
    <ds:schemaRef ds:uri="3fe0e792-f309-46ac-9b30-b2462af50e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F41FD3-FC30-450E-8CB0-4870D0720EC2}">
  <ds:schemaRefs>
    <ds:schemaRef ds:uri="Microsoft.SharePoint.Taxonomy.ContentTypeSync"/>
  </ds:schemaRefs>
</ds:datastoreItem>
</file>

<file path=customXml/itemProps3.xml><?xml version="1.0" encoding="utf-8"?>
<ds:datastoreItem xmlns:ds="http://schemas.openxmlformats.org/officeDocument/2006/customXml" ds:itemID="{1FFD3584-51A2-45A5-8DD7-77F9F98CCD2E}">
  <ds:schemaRefs>
    <ds:schemaRef ds:uri="http://schemas.microsoft.com/sharepoint/v3/contenttype/forms"/>
  </ds:schemaRefs>
</ds:datastoreItem>
</file>

<file path=customXml/itemProps4.xml><?xml version="1.0" encoding="utf-8"?>
<ds:datastoreItem xmlns:ds="http://schemas.openxmlformats.org/officeDocument/2006/customXml" ds:itemID="{A2281BEA-0CCD-49DA-9867-ACD8AB5CBB2F}">
  <ds:schemaRefs>
    <ds:schemaRef ds:uri="http://schemas.microsoft.com/office/2006/metadata/properties"/>
    <ds:schemaRef ds:uri="http://schemas.microsoft.com/office/infopath/2007/PartnerControls"/>
    <ds:schemaRef ds:uri="df676585-4996-4b41-a86e-64013e6bb341"/>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Bronson Viscarra</cp:lastModifiedBy>
  <cp:revision/>
  <dcterms:created xsi:type="dcterms:W3CDTF">2007-12-27T18:26:28Z</dcterms:created>
  <dcterms:modified xsi:type="dcterms:W3CDTF">2025-09-05T21:51:46Z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0x010100C99FF4655EE39E4C8C15D1336A709346</vt:lpwstr>
  </property>
</Properties>
</file>