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74991994069/WOPIServiceId_TP_BOX_2/WOPIUserId_-/"/>
    </mc:Choice>
  </mc:AlternateContent>
  <xr:revisionPtr revIDLastSave="70" documentId="14_{E0E1979C-27FA-4705-B0A8-9634A72FC156}" xr6:coauthVersionLast="47" xr6:coauthVersionMax="47" xr10:uidLastSave="{0B2CDDC3-1FA7-4A23-B40D-8556235B6F8E}"/>
  <bookViews>
    <workbookView xWindow="-90" yWindow="-90" windowWidth="19380" windowHeight="1026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99" i="3" l="1"/>
  <c r="AB50" i="15"/>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T45" i="21"/>
  <c r="S47"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S42" i="4" s="1"/>
  <c r="E42" i="13" s="1"/>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E40" i="13"/>
  <c r="S38" i="4"/>
  <c r="E38" i="13" s="1"/>
  <c r="S81" i="4"/>
  <c r="E81" i="13" s="1"/>
  <c r="D35" i="11"/>
  <c r="E65" i="13"/>
  <c r="S54" i="4"/>
  <c r="E54" i="13" s="1"/>
  <c r="S96" i="4"/>
  <c r="E96" i="13" s="1"/>
  <c r="E29" i="13"/>
  <c r="E52" i="13"/>
  <c r="E89" i="13"/>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0" i="21"/>
  <c r="P20" i="21" s="1" a="1"/>
  <c r="P20" i="21" s="1"/>
  <c r="S20" i="21" s="1"/>
  <c r="O28" i="21"/>
  <c r="P28" i="21" s="1" a="1"/>
  <c r="P28" i="21" s="1"/>
  <c r="S28" i="21" s="1"/>
  <c r="O24" i="21"/>
  <c r="P24" i="21" s="1" a="1"/>
  <c r="P24" i="21" s="1"/>
  <c r="S24" i="21" s="1"/>
  <c r="D64" i="11"/>
  <c r="B105" i="4"/>
  <c r="BE101" i="3"/>
  <c r="AK84" i="20"/>
  <c r="AK191" i="20" s="1"/>
  <c r="T811" i="20" s="1"/>
  <c r="AF811" i="20" s="1"/>
  <c r="BE76" i="3" s="1"/>
  <c r="D13" i="11"/>
  <c r="B97" i="13"/>
  <c r="B97" i="4"/>
  <c r="AZ1046" i="3"/>
  <c r="S105" i="4"/>
  <c r="E97" i="13"/>
  <c r="B105" i="13"/>
  <c r="AG269" i="20"/>
  <c r="O58" i="7"/>
  <c r="Q53" i="7"/>
  <c r="T105" i="4"/>
  <c r="H97" i="13"/>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29" i="3"/>
  <c r="AJ1007" i="3"/>
  <c r="AJ1041" i="3"/>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<sst xmlns="http://schemas.openxmlformats.org/spreadsheetml/2006/main" count="5044" uniqueCount="2764">
  <si>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</si>
  <si>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</si>
  <si>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</si>
  <si>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</si>
  <si>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</si>
  <si>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</si>
  <si>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</si>
  <si>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</si>
  <si>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</si>
  <si>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</si>
  <si>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</si>
  <si>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</si>
  <si>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</si>
  <si>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</si>
  <si>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</si>
  <si>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</si>
  <si>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</si>
  <si>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</si>
  <si>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</si>
  <si>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</si>
  <si>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</si>
  <si>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</si>
  <si>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</si>
  <si>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</si>
  <si>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</si>
  <si>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</si>
  <si>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</si>
  <si>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</si>
  <si>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</si>
  <si>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</si>
  <si>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</si>
  <si>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</si>
  <si>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</si>
  <si>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</si>
  <si>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</si>
  <si>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</si>
  <si>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</si>
  <si>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</si>
  <si>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</si>
  <si>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</si>
  <si>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</si>
  <si>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</si>
  <si>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</si>
  <si>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</si>
  <si>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</si>
  <si>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</si>
  <si>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</si>
  <si>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</si>
  <si>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</si>
  <si>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</si>
  <si>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</si>
  <si>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</si>
  <si>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</si>
  <si>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</si>
  <si>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</si>
  <si>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</si>
  <si>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</si>
  <si>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</si>
  <si>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</si>
  <si>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</si>
  <si>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</si>
  <si>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</si>
  <si>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</si>
  <si>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</si>
  <si>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</si>
  <si>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</si>
  <si>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</si>
  <si>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</si>
  <si>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</si>
  <si>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</si>
  <si>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</si>
  <si>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</si>
  <si>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</si>
  <si>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</si>
  <si>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</si>
  <si>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</si>
  <si>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</si>
  <si>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</si>
  <si>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</si>
  <si>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</si>
  <si>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</si>
  <si>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</si>
  <si>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</si>
  <si>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</si>
  <si>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</si>
  <si>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</si>
  <si>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</si>
  <si>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</si>
  <si>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</si>
  <si>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</si>
  <si>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</si>
  <si>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</si>
  <si>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</si>
  <si>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</si>
  <si>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</si>
  <si>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</si>
  <si>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</si>
  <si>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</si>
  <si>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</si>
  <si>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</si>
  <si>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</si>
  <si>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</si>
  <si>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</si>
  <si>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</si>
  <si>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</si>
  <si>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</si>
  <si>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</si>
  <si>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</si>
  <si>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</si>
  <si>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</si>
  <si>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</si>
  <si>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</si>
  <si>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</si>
  <si>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</si>
  <si>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</si>
  <si>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</si>
  <si>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</si>
  <si>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</si>
  <si>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</si>
  <si>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</si>
  <si>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</si>
  <si>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</si>
  <si>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</si>
  <si>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</si>
  <si>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</si>
  <si>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</si>
  <si>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</si>
  <si>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</si>
  <si>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</si>
  <si>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</si>
  <si>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</si>
  <si>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</si>
  <si>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</si>
  <si>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</si>
  <si>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</si>
  <si>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</si>
  <si>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</si>
  <si>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</si>
  <si>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</si>
  <si>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</si>
  <si>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</si>
  <si>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</si>
  <si>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</si>
  <si>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</si>
  <si>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</si>
  <si>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</si>
  <si>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</si>
  <si>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</si>
  <si>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</si>
  <si>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</si>
  <si>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</si>
  <si>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</si>
  <si>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</si>
  <si>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</si>
  <si>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</si>
  <si>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</si>
  <si>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</si>
  <si>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</si>
  <si>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</si>
  <si>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</si>
  <si>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</si>
  <si>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</si>
  <si>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</si>
  <si>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</si>
  <si>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</si>
  <si>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</si>
  <si>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</si>
  <si>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</si>
  <si>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</si>
  <si>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</si>
  <si>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</si>
  <si>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</si>
  <si>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</si>
  <si>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</si>
  <si>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</si>
  <si>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</si>
  <si>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</si>
  <si>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</si>
  <si>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</si>
  <si>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</si>
  <si>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</si>
  <si>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</si>
  <si>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</si>
  <si>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</si>
  <si>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</si>
  <si>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</si>
  <si>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</si>
  <si>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</si>
  <si>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</si>
  <si>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</si>
  <si>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</si>
  <si>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</si>
  <si>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</si>
  <si>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</si>
  <si>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</si>
  <si>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</si>
  <si>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</si>
  <si>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</si>
  <si>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</si>
  <si>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</si>
  <si>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</si>
  <si>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</si>
  <si>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</si>
  <si>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</si>
  <si>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</si>
  <si>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</si>
  <si>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</si>
  <si>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</si>
  <si>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</si>
  <si>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</si>
  <si>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</si>
  <si>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</si>
  <si>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</si>
  <si>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</si>
  <si>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</si>
  <si>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</si>
  <si>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</si>
  <si>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</si>
  <si>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</si>
  <si>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</si>
  <si>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</si>
  <si>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</si>
  <si>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</si>
  <si>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</si>
  <si>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</si>
  <si>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</si>
  <si>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</si>
  <si>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</si>
  <si>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</si>
  <si>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</si>
  <si>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</si>
  <si>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</si>
  <si>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</si>
  <si>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</si>
  <si>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</si>
  <si>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</si>
  <si>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</si>
  <si>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</si>
  <si>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</si>
  <si>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</si>
  <si>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</si>
  <si>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</si>
  <si>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</si>
  <si>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</si>
  <si>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</si>
  <si>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</si>
  <si>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</si>
  <si>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</si>
  <si>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</si>
  <si>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</si>
  <si>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</si>
  <si>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</si>
  <si>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</si>
  <si>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</si>
  <si>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</si>
  <si>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</si>
  <si>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</si>
  <si>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</si>
  <si>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</si>
  <si>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</si>
  <si>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</si>
  <si>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</si>
  <si>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</si>
  <si>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</si>
  <si>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</si>
  <si>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</si>
  <si>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</si>
  <si>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</si>
  <si>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</si>
  <si>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</si>
  <si>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</si>
  <si>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</si>
  <si>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</si>
  <si>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</si>
  <si>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</si>
  <si>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</si>
  <si>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</si>
  <si>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</si>
  <si>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</si>
  <si>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</si>
  <si>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</si>
  <si>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</si>
  <si>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</si>
  <si>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</si>
  <si>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</si>
  <si>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</si>
  <si>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</si>
  <si>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</si>
  <si>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</si>
  <si>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</si>
  <si>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</si>
  <si>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</si>
  <si>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</si>
  <si>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</si>
  <si>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</si>
  <si>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</si>
  <si>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</si>
  <si>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</si>
  <si>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</si>
  <si>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</si>
  <si>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</si>
  <si>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</si>
  <si>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</si>
  <si>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</si>
  <si>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</si>
  <si>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</si>
  <si>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</si>
  <si>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</si>
  <si>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</si>
  <si>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</si>
  <si>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</si>
  <si>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</si>
  <si>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</si>
  <si>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</si>
  <si>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</si>
  <si>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</si>
  <si>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</si>
  <si>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</si>
  <si>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</si>
  <si>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</si>
  <si>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</si>
  <si>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</si>
  <si>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</si>
  <si>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</si>
  <si>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</si>
  <si>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</si>
  <si>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</si>
  <si>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</si>
  <si>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</si>
  <si>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</si>
  <si>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</si>
  <si>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</si>
  <si>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</si>
  <si>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</si>
  <si>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</si>
  <si>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</si>
  <si>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</si>
  <si>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</si>
  <si>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</si>
  <si>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</si>
  <si>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</si>
  <si>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</si>
  <si>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</si>
  <si>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</si>
  <si>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</si>
  <si>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</si>
  <si>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</si>
  <si>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</si>
  <si>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</si>
  <si>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</si>
  <si>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</si>
  <si>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</si>
  <si>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</si>
  <si>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</si>
  <si>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</si>
  <si>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</si>
  <si>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</si>
  <si>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</si>
  <si>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</si>
  <si>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</si>
  <si>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</si>
  <si>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</si>
  <si>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</si>
  <si>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</si>
  <si>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</si>
  <si>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</si>
  <si>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</si>
  <si>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</si>
  <si>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</si>
  <si>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</si>
  <si>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</si>
  <si>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</si>
  <si>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</si>
  <si>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</si>
  <si>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</si>
  <si>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</si>
  <si>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</si>
  <si>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</si>
  <si>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</si>
  <si>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</si>
  <si>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</si>
  <si>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</si>
  <si>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</si>
  <si>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</si>
  <si>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</si>
  <si>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</si>
  <si>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</si>
  <si>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</si>
  <si>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</si>
  <si>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</si>
  <si>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</si>
  <si>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</si>
  <si>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</si>
  <si>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</si>
  <si>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</si>
  <si>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</si>
  <si>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</si>
  <si>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</si>
  <si>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</si>
  <si>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</si>
  <si>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</si>
  <si>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</si>
  <si>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</si>
  <si>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</si>
  <si>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</si>
  <si>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</si>
  <si>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</si>
  <si>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</si>
  <si>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</si>
  <si>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</si>
  <si>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</si>
  <si>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</si>
  <si>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</si>
  <si>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</si>
  <si>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</si>
  <si>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</si>
  <si>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</si>
  <si>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</si>
  <si>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</si>
  <si>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</si>
  <si>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</si>
  <si>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</si>
  <si>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</si>
  <si>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</si>
  <si>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</si>
  <si>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</si>
  <si>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</si>
  <si>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</si>
  <si>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</si>
  <si>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</si>
  <si>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</si>
  <si>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</si>
  <si>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</si>
  <si>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</si>
  <si>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</si>
  <si>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</si>
  <si>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</si>
  <si>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</si>
  <si>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</si>
  <si>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</si>
  <si>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</si>
  <si>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</si>
  <si>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</si>
  <si>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</si>
  <si>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</si>
  <si>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</si>
  <si>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</si>
  <si>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</si>
  <si>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</si>
  <si>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</si>
  <si>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</si>
  <si>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</si>
  <si>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</si>
  <si>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</si>
  <si>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</si>
  <si>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</si>
  <si>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</si>
  <si>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</si>
  <si>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</si>
  <si>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</si>
  <si>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</si>
  <si>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</si>
  <si>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</si>
  <si>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</si>
  <si>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</si>
  <si>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</si>
  <si>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</si>
  <si>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</si>
  <si>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</si>
  <si>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</si>
  <si>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</si>
  <si>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</si>
  <si>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</si>
  <si>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</si>
  <si>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</si>
  <si>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</si>
  <si>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</si>
  <si>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</si>
  <si>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</si>
  <si>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</si>
  <si>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</si>
  <si>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</si>
  <si>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</si>
  <si>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</si>
  <si>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</si>
  <si>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</si>
  <si>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</si>
  <si>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</si>
  <si>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</si>
  <si>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</si>
  <si>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</si>
  <si>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</si>
  <si>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</si>
  <si>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</si>
  <si>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</si>
  <si>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</si>
  <si>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</si>
  <si>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</si>
  <si>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</si>
  <si>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</si>
  <si>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</si>
  <si>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</si>
  <si>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</si>
  <si>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</si>
  <si>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</si>
  <si>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</si>
  <si>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</si>
  <si>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</si>
  <si>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</si>
  <si>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</si>
  <si>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</si>
  <si>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</si>
  <si>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</si>
  <si>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</si>
  <si>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</si>
  <si>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</si>
  <si>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</si>
  <si>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</si>
  <si>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</si>
  <si>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</si>
  <si>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</si>
  <si>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</si>
  <si>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</si>
  <si>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</si>
  <si>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</si>
  <si>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</si>
  <si>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</si>
  <si>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</si>
  <si>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</si>
  <si>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</si>
  <si>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</si>
  <si>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</si>
  <si>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</si>
  <si>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</si>
  <si>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</si>
  <si>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</si>
  <si>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</si>
  <si>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</si>
  <si>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</si>
  <si>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</si>
  <si>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</si>
  <si>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</si>
  <si>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</si>
  <si>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</si>
  <si>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</si>
  <si>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</si>
  <si>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</si>
  <si>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</si>
  <si>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</si>
  <si>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</si>
  <si>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</si>
  <si>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</si>
  <si>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</si>
  <si>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</si>
  <si>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</si>
  <si>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</si>
  <si>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</si>
  <si>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</si>
  <si>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</si>
  <si>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</si>
  <si>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</si>
  <si>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</si>
  <si>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</si>
  <si>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</si>
  <si>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</si>
  <si>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</si>
  <si>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</si>
  <si>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</si>
  <si>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</si>
  <si>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</si>
  <si>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</si>
  <si>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</si>
  <si>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</si>
  <si>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</si>
  <si>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</si>
  <si>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</si>
  <si>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</si>
  <si>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</si>
  <si>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</si>
  <si>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</si>
  <si>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</si>
  <si>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</si>
  <si>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</si>
  <si>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</si>
  <si>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</si>
  <si>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</si>
  <si>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</si>
  <si>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</si>
  <si>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</si>
  <si>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</si>
  <si>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</si>
  <si>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</si>
  <si>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</si>
  <si>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</si>
  <si>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</si>
  <si>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</si>
  <si>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</si>
  <si>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</si>
  <si>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</si>
  <si>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</si>
  <si>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</si>
  <si>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</si>
  <si>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</si>
  <si>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</si>
  <si>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</si>
  <si>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</si>
  <si>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</si>
  <si>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</si>
  <si>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</si>
  <si>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</si>
  <si>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</si>
  <si>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</si>
  <si>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</si>
  <si>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</si>
  <si>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</si>
  <si>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</si>
  <si>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</si>
  <si>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</si>
  <si>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</si>
  <si>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</si>
  <si>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</si>
  <si>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</si>
  <si>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</si>
  <si>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</si>
  <si>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</si>
  <si>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</si>
  <si>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</si>
  <si>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</si>
  <si>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</si>
  <si>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</si>
  <si>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</si>
  <si>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</si>
  <si>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</si>
  <si>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</si>
  <si>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</si>
  <si>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</si>
  <si>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</si>
  <si>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</si>
  <si>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</si>
  <si>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</si>
  <si>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</si>
  <si>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</si>
  <si>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</si>
  <si>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</si>
  <si>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</si>
  <si>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</si>
  <si>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</si>
  <si>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</si>
  <si>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</si>
  <si>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</si>
  <si>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</si>
  <si>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</si>
  <si>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</si>
  <si>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</si>
  <si>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</si>
  <si>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</si>
  <si>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</si>
  <si>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</si>
  <si>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</si>
  <si>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</si>
  <si>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</si>
  <si>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</si>
  <si>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</si>
  <si>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</si>
  <si>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</si>
  <si>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</si>
  <si>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</si>
  <si>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</si>
  <si>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</si>
  <si>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</si>
  <si>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</si>
  <si>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</si>
  <si>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</si>
  <si>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</si>
  <si>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</si>
  <si>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</si>
  <si>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</si>
  <si>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</si>
  <si>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</si>
  <si>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</si>
  <si>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</si>
  <si>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</si>
  <si>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</si>
  <si>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</si>
  <si>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</si>
  <si>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</si>
  <si>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</si>
  <si>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</si>
  <si>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</si>
  <si>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</si>
  <si>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</si>
  <si>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</si>
  <si>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</si>
  <si>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</si>
  <si>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</si>
  <si>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</si>
  <si>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</si>
  <si>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</si>
  <si>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</si>
  <si>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</si>
  <si>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</si>
  <si>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</si>
  <si>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</si>
  <si>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</si>
  <si>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</si>
  <si>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</si>
  <si>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</si>
  <si>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</si>
  <si>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</si>
  <si>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</si>
  <si>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</si>
  <si>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</si>
  <si>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</si>
  <si>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</si>
  <si>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</si>
  <si>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</si>
  <si>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</si>
  <si>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</si>
  <si>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</si>
  <si>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</si>
  <si>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</si>
  <si>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</si>
  <si>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</si>
  <si>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</si>
  <si>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</si>
  <si>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</si>
  <si>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</si>
  <si>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</si>
  <si>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</si>
  <si>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</si>
  <si>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</si>
  <si>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</si>
  <si>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</si>
  <si>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</si>
  <si>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</si>
  <si>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</si>
  <si>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</si>
  <si>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</si>
  <si>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</si>
  <si>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</si>
  <si>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</si>
  <si>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</si>
  <si>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</si>
  <si>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</si>
  <si>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</si>
  <si>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</si>
  <si>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</si>
  <si>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</si>
  <si>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</si>
  <si>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</si>
  <si>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</si>
  <si>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</si>
  <si>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</si>
  <si>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</si>
  <si>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</si>
  <si>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</si>
  <si>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</si>
  <si>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</si>
  <si>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</si>
  <si>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</si>
  <si>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</si>
  <si>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</si>
  <si>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</si>
  <si>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</si>
  <si>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</si>
  <si>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</si>
  <si>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</si>
  <si>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</si>
  <si>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</si>
  <si>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</si>
  <si>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</si>
  <si>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</si>
  <si>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</si>
  <si>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</si>
  <si>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</si>
  <si>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</si>
  <si>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</si>
  <si>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</si>
  <si>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</si>
  <si>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</si>
  <si>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</si>
  <si>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</si>
  <si>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</si>
  <si>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</si>
  <si>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</si>
  <si>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</si>
  <si>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</si>
  <si>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</si>
  <si>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</si>
  <si>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</si>
  <si>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</si>
  <si>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</si>
  <si>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</si>
  <si>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</si>
  <si>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</si>
  <si>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</si>
  <si>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</si>
  <si>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</si>
  <si>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</si>
  <si>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</si>
  <si>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</si>
  <si>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</si>
  <si>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</si>
  <si>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</si>
  <si>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</si>
  <si>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</si>
  <si>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</si>
  <si>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</si>
  <si>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</si>
  <si>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</si>
  <si>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</si>
  <si>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</si>
  <si>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</si>
  <si>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</si>
  <si>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</si>
  <si>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</si>
  <si>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</si>
  <si>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</si>
  <si>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</si>
  <si>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</si>
  <si>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</si>
  <si>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</si>
  <si>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</si>
  <si>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</si>
  <si>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</si>
  <si>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</si>
  <si>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</si>
  <si>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</si>
  <si>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</si>
  <si>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</si>
  <si>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</si>
  <si>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</si>
  <si>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</si>
  <si>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</si>
  <si>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</si>
  <si>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</si>
  <si>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</si>
  <si>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</si>
  <si>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</si>
  <si>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</si>
  <si>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</si>
  <si>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</si>
  <si>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</si>
  <si>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</si>
  <si>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</si>
  <si>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</si>
  <si>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</si>
  <si>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</si>
  <si>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</si>
  <si>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</si>
  <si>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</si>
  <si>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</si>
  <si>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</si>
  <si>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</si>
  <si>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</si>
  <si>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</si>
  <si>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</si>
  <si>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</si>
  <si>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</si>
  <si>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</si>
  <si>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</si>
  <si>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</si>
  <si>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</si>
  <si>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</si>
  <si>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</si>
  <si>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</si>
  <si>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</si>
  <si>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</si>
  <si>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</si>
  <si>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</si>
  <si>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</si>
  <si>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</si>
  <si>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</si>
  <si>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</si>
  <si>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</si>
  <si>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</si>
  <si>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</si>
  <si>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</si>
  <si>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</si>
  <si>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</si>
  <si>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</si>
  <si>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</si>
  <si>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</si>
  <si>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</si>
  <si>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</si>
  <si>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</si>
  <si>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</si>
  <si>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</si>
  <si>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</si>
  <si>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</si>
  <si>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</si>
  <si>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</si>
  <si>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</si>
  <si>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</si>
  <si>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</si>
  <si>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</si>
  <si>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</si>
  <si>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</si>
  <si>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</si>
  <si>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</si>
  <si>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</si>
  <si>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</si>
  <si>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</si>
  <si>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</si>
  <si>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</si>
  <si>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</si>
  <si>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</si>
  <si>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</si>
  <si>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</si>
  <si>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</si>
  <si>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</si>
  <si>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</si>
  <si>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</si>
  <si>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</si>
  <si>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</si>
  <si>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</si>
  <si>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</si>
  <si>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</si>
  <si>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</si>
  <si>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</si>
  <si>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</si>
  <si>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</si>
  <si>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</si>
  <si>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</si>
  <si>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</si>
  <si>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</si>
  <si>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</si>
  <si>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</si>
  <si>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</si>
  <si>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</si>
  <si>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</si>
  <si>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</si>
  <si>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</si>
  <si>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</si>
  <si>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</si>
  <si>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</si>
  <si>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</si>
  <si>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</si>
  <si>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</si>
  <si>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</si>
  <si>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</si>
  <si>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</si>
  <si>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</si>
  <si>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</si>
  <si>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</si>
  <si>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</si>
  <si>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</si>
  <si>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</si>
  <si>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</si>
  <si>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</si>
  <si>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</si>
  <si>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</si>
  <si>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</si>
  <si>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</si>
  <si>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</si>
  <si>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</si>
  <si>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</si>
  <si>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</si>
  <si>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</si>
  <si>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</si>
  <si>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</si>
  <si>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</si>
  <si>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</si>
  <si>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</si>
  <si>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</si>
  <si>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</si>
  <si>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</si>
  <si>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</si>
  <si>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</si>
  <si>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</si>
  <si>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</si>
  <si>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</si>
  <si>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</si>
  <si>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</si>
  <si>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</si>
  <si>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</si>
  <si>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</si>
  <si>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</si>
  <si>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</si>
  <si>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</si>
  <si>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</si>
  <si>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</si>
  <si>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</si>
  <si>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</si>
  <si>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</si>
  <si>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</si>
  <si>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</si>
  <si>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</si>
  <si>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</si>
  <si>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</si>
  <si>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</si>
  <si>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</si>
  <si>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</si>
  <si>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</si>
  <si>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</si>
  <si>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</si>
  <si>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</si>
  <si>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</si>
  <si>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</si>
  <si>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</si>
  <si>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</si>
  <si>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</si>
  <si>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</si>
  <si>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</si>
  <si>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</si>
  <si>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</si>
  <si>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</si>
  <si>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</si>
  <si>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</si>
  <si>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</si>
  <si>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</si>
  <si>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</si>
  <si>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</si>
  <si>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</si>
  <si>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</si>
  <si>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</si>
  <si>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</si>
  <si>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</si>
  <si>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</si>
  <si>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</si>
  <si>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</si>
  <si>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</si>
  <si>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</si>
  <si>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</si>
  <si>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</si>
  <si>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</si>
  <si>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</si>
  <si>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</si>
  <si>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</si>
  <si>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</si>
  <si>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</si>
  <si>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</si>
  <si>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</si>
  <si>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</si>
  <si>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</si>
  <si>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</si>
  <si>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</si>
  <si>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</si>
  <si>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</si>
  <si>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</si>
  <si>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</si>
  <si>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</si>
  <si>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</si>
  <si>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</si>
  <si>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</si>
  <si>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</si>
  <si>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</si>
  <si>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</si>
  <si>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</si>
  <si>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</si>
  <si>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</si>
  <si>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</si>
  <si>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</si>
  <si>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</si>
  <si>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</si>
  <si>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</si>
  <si>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</si>
  <si>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</si>
  <si>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</si>
  <si>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</si>
  <si>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</si>
  <si>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</si>
  <si>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</si>
  <si>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</si>
  <si>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</si>
  <si>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</si>
  <si>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</si>
  <si>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</si>
  <si>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</si>
  <si>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</si>
  <si>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</si>
  <si>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</si>
  <si>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</si>
  <si>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</si>
  <si>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</si>
  <si>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</si>
  <si>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</si>
  <si>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</si>
  <si>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</si>
  <si>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</si>
  <si>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</si>
  <si>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</si>
  <si>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</si>
  <si>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</si>
  <si>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</si>
  <si>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</si>
  <si>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</si>
  <si>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</si>
  <si>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</si>
  <si>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</si>
  <si>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</si>
  <si>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</si>
  <si>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</si>
  <si>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</si>
  <si>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</si>
  <si>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</si>
  <si>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</si>
  <si>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</si>
  <si>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</si>
  <si>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</si>
  <si>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</si>
  <si>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</si>
  <si>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</si>
  <si>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</si>
  <si>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</si>
  <si>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</si>
  <si>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</si>
  <si>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</si>
  <si>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</si>
  <si>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</si>
  <si>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</si>
  <si>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</si>
  <si>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</si>
  <si>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</si>
  <si>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</si>
  <si>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</si>
  <si>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</si>
  <si>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</si>
  <si>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</si>
  <si>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</si>
  <si>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</si>
  <si>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</si>
  <si>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</si>
  <si>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</si>
  <si>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</si>
  <si>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</si>
  <si>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</si>
  <si>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</si>
  <si>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</si>
  <si>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</si>
  <si>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</si>
  <si>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</si>
  <si>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</si>
  <si>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</si>
  <si>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</si>
  <si>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</si>
  <si>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</si>
  <si>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</si>
  <si>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</si>
  <si>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</si>
  <si>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</si>
  <si>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</si>
  <si>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</si>
  <si>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</si>
  <si>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</si>
  <si>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</si>
  <si>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</si>
  <si>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</si>
  <si>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</si>
  <si>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</si>
  <si>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</si>
  <si>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</si>
  <si>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</si>
  <si>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</si>
  <si>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</si>
  <si>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</si>
  <si>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</si>
  <si>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</si>
  <si>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</si>
  <si>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</si>
  <si>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</si>
  <si>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</si>
  <si>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</si>
  <si>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</si>
  <si>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</si>
  <si>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</si>
  <si>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</si>
  <si>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</si>
  <si>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</si>
  <si>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</si>
  <si>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</si>
  <si>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</si>
  <si>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</si>
  <si>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</si>
  <si>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</si>
  <si>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</si>
  <si>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</si>
  <si>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</si>
  <si>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</si>
  <si>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</si>
  <si>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</si>
  <si>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</si>
  <si>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</si>
  <si>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</si>
  <si>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</si>
  <si>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</si>
  <si>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</si>
  <si>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</si>
  <si>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</si>
  <si>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</si>
  <si>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</si>
  <si>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</si>
  <si>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</si>
  <si>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</si>
  <si>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</si>
  <si>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</si>
  <si>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</si>
  <si>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</si>
  <si>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</si>
  <si>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</si>
  <si>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</si>
  <si>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</si>
  <si>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</si>
  <si>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</si>
  <si>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</si>
  <si>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</si>
  <si>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</si>
  <si>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</si>
  <si>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</si>
  <si>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</si>
  <si>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</si>
  <si>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</si>
  <si>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</si>
  <si>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</si>
  <si>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</si>
  <si>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</si>
  <si>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</si>
  <si>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</si>
  <si>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</si>
  <si>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</si>
  <si>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</si>
  <si>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</si>
  <si>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</si>
  <si>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</si>
  <si>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</si>
  <si>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</si>
  <si>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</si>
  <si>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</si>
  <si>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</si>
  <si>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</si>
  <si>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</si>
  <si>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</si>
  <si>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</si>
  <si>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</si>
  <si>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</si>
  <si>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</si>
  <si>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</si>
  <si>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</si>
  <si>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</si>
  <si>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</si>
  <si>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</si>
  <si>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</si>
  <si>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</si>
  <si>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</si>
  <si>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</si>
  <si>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</si>
  <si>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</si>
  <si>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</si>
  <si>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</si>
  <si>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</si>
  <si>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</si>
  <si>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</si>
  <si>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</si>
  <si>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</si>
  <si>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</si>
  <si>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</si>
  <si>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</si>
  <si>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</si>
  <si>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</si>
  <si>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</si>
  <si>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</si>
  <si>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</si>
  <si>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</si>
  <si>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</si>
  <si>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</si>
  <si>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</si>
  <si>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</si>
  <si>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</si>
  <si>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</si>
  <si>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</si>
  <si>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</si>
  <si>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</si>
  <si>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</si>
  <si>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</si>
  <si>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</si>
  <si>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</si>
  <si>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</si>
  <si>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</si>
  <si>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</si>
  <si>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</si>
  <si>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</si>
  <si>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</si>
  <si>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</si>
  <si>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</si>
  <si>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</si>
  <si>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</si>
  <si>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</si>
  <si>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</si>
  <si>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</si>
  <si>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</si>
  <si>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</si>
  <si>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</si>
  <si>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</si>
  <si>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</si>
  <si>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</si>
  <si>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</si>
  <si>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</si>
  <si>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</si>
  <si>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</si>
  <si>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</si>
  <si>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</si>
  <si>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</si>
  <si>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</si>
  <si>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</si>
  <si>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</si>
  <si>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</si>
  <si>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</si>
  <si>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</si>
  <si>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</si>
  <si>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</si>
  <si>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</si>
  <si>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</si>
  <si>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</si>
  <si>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</si>
  <si>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</si>
  <si>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</si>
  <si>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</si>
  <si>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</si>
  <si>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</si>
  <si>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</si>
  <si>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</si>
  <si>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</si>
  <si>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</si>
  <si>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</si>
  <si>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</si>
  <si>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</si>
  <si>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</si>
  <si>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</si>
  <si>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</si>
  <si>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</si>
  <si>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</si>
  <si>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</si>
  <si>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</si>
  <si>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</si>
  <si>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</si>
  <si>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</si>
  <si>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</si>
  <si>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</si>
  <si>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</si>
  <si>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</si>
  <si>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</si>
  <si>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</si>
  <si>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</si>
  <si>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</si>
  <si>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</si>
  <si>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</si>
  <si>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</si>
  <si>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</si>
  <si>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</si>
  <si>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</si>
  <si>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</si>
  <si>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</si>
  <si>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</si>
  <si>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</si>
  <si>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</si>
  <si>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</si>
  <si>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</si>
  <si>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</si>
  <si>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</si>
  <si>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</si>
  <si>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</si>
  <si>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</si>
  <si>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</si>
  <si>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</si>
  <si>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</si>
  <si>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</si>
  <si>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</si>
  <si>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</si>
  <si>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</si>
  <si>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</si>
  <si>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</si>
  <si>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</si>
  <si>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</si>
  <si>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</si>
  <si>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</si>
  <si>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</si>
  <si>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</si>
  <si>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</si>
  <si>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</si>
  <si>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</si>
  <si>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</si>
  <si>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</si>
  <si>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</si>
  <si>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</si>
  <si>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</si>
  <si>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</si>
  <si>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</si>
  <si>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</si>
  <si>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</si>
  <si>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</si>
  <si>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</si>
  <si>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</si>
  <si>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</si>
  <si>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</si>
  <si>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</si>
  <si>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</si>
  <si>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</si>
  <si>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</si>
  <si>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</si>
  <si>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</si>
  <si>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</si>
  <si>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</si>
  <si>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</si>
  <si>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</si>
  <si>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</si>
  <si>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</si>
  <si>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</si>
  <si>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</si>
  <si>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</si>
  <si>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</si>
  <si>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</si>
  <si>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</si>
  <si>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</si>
  <si>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</si>
  <si>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</si>
  <si>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</si>
  <si>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</si>
  <si>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</si>
  <si>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</si>
  <si>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</si>
  <si>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</si>
  <si>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</si>
  <si>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</si>
  <si>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</si>
  <si>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</si>
  <si>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</si>
  <si>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</si>
  <si>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</si>
  <si>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</si>
  <si>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</si>
  <si>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</si>
  <si>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</si>
  <si>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</si>
  <si>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</si>
  <si>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</si>
  <si>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</si>
  <si>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</si>
  <si>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</si>
  <si>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</si>
  <si>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</si>
  <si>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</si>
  <si>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</si>
  <si>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</si>
  <si>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</si>
  <si>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</si>
  <si>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</si>
  <si>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</si>
  <si>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</si>
  <si>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</si>
  <si>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</si>
  <si>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</si>
  <si>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</si>
  <si>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</si>
  <si>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</si>
  <si>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</si>
  <si>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</si>
  <si>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</si>
  <si>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</si>
  <si>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</si>
  <si>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</si>
  <si>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</si>
  <si>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</si>
  <si>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</si>
  <si>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</si>
  <si>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</si>
  <si>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</si>
  <si>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</si>
  <si>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</si>
  <si>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</si>
  <si>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</si>
  <si>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</si>
  <si>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</si>
  <si>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</si>
  <si>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</si>
  <si>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</si>
  <si>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</si>
  <si>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</si>
  <si>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</si>
  <si>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</si>
  <si>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</si>
  <si>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</si>
  <si>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</si>
  <si>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</si>
  <si>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</si>
  <si>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</si>
  <si>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</si>
  <si>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</si>
  <si>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</si>
  <si>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</si>
  <si>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</si>
  <si>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</si>
  <si>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</si>
  <si>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</si>
  <si>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</si>
  <si>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</si>
  <si>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</si>
  <si>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</si>
  <si>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</si>
  <si>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</si>
  <si>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</si>
  <si>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</si>
  <si>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</si>
  <si>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</si>
  <si>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</si>
  <si>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</si>
  <si>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</si>
  <si>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</si>
  <si>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</si>
  <si>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</si>
  <si>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</si>
  <si>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</si>
  <si>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</si>
  <si>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</si>
  <si>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</si>
  <si>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</si>
  <si>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</si>
  <si>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</si>
  <si>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</si>
  <si>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</si>
  <si>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</si>
  <si>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</si>
  <si>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</si>
  <si>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</si>
  <si>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</si>
  <si>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</si>
  <si>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</si>
  <si>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</si>
  <si>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</si>
  <si>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</si>
  <si>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</si>
  <si>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</si>
  <si>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</si>
  <si>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</si>
  <si>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</si>
  <si>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</si>
  <si>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</si>
  <si>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</si>
  <si>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</si>
  <si>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</si>
  <si>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</si>
  <si>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</si>
  <si>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</si>
  <si>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</si>
  <si>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</si>
  <si>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</si>
  <si>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</si>
  <si>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</si>
  <si>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</si>
  <si>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</si>
  <si>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</si>
  <si>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</si>
  <si>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</si>
  <si>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</si>
  <si>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</si>
  <si>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</si>
  <si>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</si>
  <si>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</si>
  <si>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</si>
  <si>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</si>
  <si>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</si>
  <si>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</si>
  <si>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</si>
  <si>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</si>
  <si>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</si>
  <si>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</si>
  <si>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</si>
  <si>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</si>
  <si>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</si>
  <si>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</si>
  <si>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</si>
  <si>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</si>
  <si>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</si>
  <si>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</si>
  <si>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</si>
  <si>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</si>
  <si>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</si>
  <si>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</si>
  <si>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</si>
  <si>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</si>
  <si>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</si>
  <si>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</si>
  <si>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</si>
  <si>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</si>
  <si>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</si>
  <si>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</si>
  <si>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</si>
  <si>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</si>
  <si>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</si>
  <si>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</si>
  <si>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</si>
  <si>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</si>
  <si>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</si>
  <si>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</si>
  <si>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</si>
  <si>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</si>
  <si>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</si>
  <si>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</si>
  <si>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</si>
  <si>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</si>
  <si>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</si>
  <si>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</si>
  <si>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</si>
  <si>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</si>
  <si>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</si>
  <si>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</si>
  <si>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</si>
  <si>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</si>
  <si>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</si>
  <si>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</si>
  <si>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</si>
  <si>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</si>
  <si>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</si>
  <si>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</si>
  <si>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</si>
  <si>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</si>
  <si>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</si>
  <si>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</si>
  <si>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</si>
  <si>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</si>
  <si>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</si>
  <si>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</si>
  <si>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</si>
  <si>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</si>
  <si>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</si>
  <si>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</si>
  <si>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</si>
  <si>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</si>
  <si>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</si>
  <si>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</si>
  <si>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</si>
  <si>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</si>
  <si>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</si>
  <si>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</si>
  <si>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</si>
  <si>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</si>
  <si>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</si>
  <si>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</si>
  <si>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</si>
  <si>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</si>
  <si>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</si>
  <si>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</si>
  <si>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</si>
  <si>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</si>
  <si>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</si>
  <si>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</si>
  <si>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</si>
  <si>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</si>
  <si>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</si>
  <si>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</si>
  <si>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</si>
  <si>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</si>
  <si>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</si>
  <si>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</si>
  <si>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</si>
  <si>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</si>
  <si>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</si>
  <si>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</si>
  <si>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</si>
  <si>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</si>
  <si>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</si>
  <si>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</si>
  <si>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</si>
  <si>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</si>
  <si>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</si>
  <si>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</si>
  <si>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</si>
  <si>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</si>
  <si>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</si>
  <si>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</si>
  <si>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</si>
  <si>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</si>
  <si>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</si>
  <si>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</si>
  <si>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</si>
  <si>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</si>
  <si>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</si>
  <si>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</si>
  <si>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</si>
  <si>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</si>
  <si>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</si>
  <si>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</si>
  <si>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</si>
  <si>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</si>
  <si>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</si>
  <si>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</si>
  <si>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</si>
  <si>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</si>
  <si>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</si>
  <si>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</si>
  <si>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</si>
  <si>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</si>
  <si>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</si>
  <si>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</si>
  <si>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</si>
  <si>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</si>
  <si>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</si>
  <si>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</si>
  <si>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</si>
  <si>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</si>
  <si>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</si>
  <si>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</si>
  <si>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</si>
  <si>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</si>
  <si>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</si>
  <si>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</si>
  <si>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</si>
  <si>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</si>
  <si>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</si>
  <si>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</si>
  <si>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</si>
  <si>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</si>
  <si>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</si>
  <si>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</si>
  <si>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</si>
  <si>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</si>
  <si>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</si>
  <si>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</si>
  <si>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</si>
  <si>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</si>
  <si>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</si>
  <si>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</si>
  <si>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</si>
  <si>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</si>
  <si>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</si>
  <si>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</si>
  <si>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</si>
  <si>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</si>
  <si>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</si>
  <si>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</si>
  <si>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</si>
  <si>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</si>
  <si>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</si>
  <si>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</si>
  <si>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</si>
  <si>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</si>
  <si>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</si>
  <si>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</si>
  <si>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</si>
  <si>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</si>
  <si>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</si>
  <si>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</si>
  <si>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</si>
  <si>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</si>
  <si>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</si>
  <si>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</si>
  <si>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</si>
  <si>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</si>
  <si>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</si>
  <si>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</si>
  <si>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</si>
  <si>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</si>
  <si>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</si>
  <si>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</si>
  <si>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</si>
  <si>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</si>
  <si>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</si>
  <si>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</si>
  <si>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</si>
  <si>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</si>
  <si>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</si>
  <si>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</si>
  <si>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</si>
  <si>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</si>
  <si>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</si>
  <si>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</si>
  <si>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</si>
  <si>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</si>
  <si>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</si>
  <si>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</si>
  <si>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</si>
  <si>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</si>
  <si>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</si>
  <si>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</si>
  <si>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</si>
  <si>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</si>
  <si>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</si>
  <si>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</si>
  <si>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</si>
  <si>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</si>
  <si>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</si>
  <si>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</si>
  <si>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</si>
  <si>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</si>
  <si>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</si>
  <si>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</si>
  <si>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</si>
  <si>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</si>
  <si>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</si>
  <si>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</si>
  <si>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</si>
  <si>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</si>
  <si>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</si>
  <si>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</si>
  <si>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</si>
  <si>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</si>
  <si>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</si>
  <si>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</si>
  <si>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</si>
  <si>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</si>
  <si>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</si>
  <si>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</si>
  <si>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</si>
  <si>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</si>
  <si>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</si>
  <si>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</si>
  <si>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</si>
  <si>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</si>
  <si>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</si>
  <si>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</si>
  <si>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</si>
  <si>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</si>
  <si>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</si>
  <si>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</si>
  <si>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</si>
  <si>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</si>
  <si>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</si>
  <si>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</si>
  <si>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</si>
  <si>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</si>
  <si>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</si>
  <si>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</si>
  <si>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</si>
  <si>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</si>
  <si>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</si>
  <si>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</si>
  <si>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</si>
  <si>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</si>
  <si>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</si>
  <si>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</si>
  <si>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</si>
  <si>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</si>
  <si>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</si>
  <si>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</si>
  <si>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</si>
  <si>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</si>
  <si>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</si>
  <si>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</si>
  <si>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</si>
  <si>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</si>
  <si>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</si>
  <si>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</si>
  <si>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</si>
  <si>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</si>
  <si>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</si>
  <si>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</si>
  <si>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</si>
  <si>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</si>
  <si>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</si>
  <si>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</si>
  <si>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</si>
  <si>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</si>
  <si>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</si>
  <si>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</si>
  <si>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</si>
  <si>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</si>
  <si>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</si>
  <si>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</si>
  <si>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</si>
  <si>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</si>
  <si>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</si>
  <si>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</si>
  <si>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</si>
  <si>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</si>
  <si>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</si>
  <si>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</si>
  <si>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</si>
  <si>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</si>
  <si>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</si>
  <si>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</si>
  <si>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</si>
  <si>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</si>
  <si>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</si>
  <si>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</si>
  <si>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</si>
  <si>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</si>
  <si>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</si>
  <si>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</si>
  <si>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</si>
  <si>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</si>
  <si>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</si>
  <si>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</si>
  <si>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</si>
  <si>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</si>
  <si>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</si>
  <si>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</si>
  <si>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</si>
  <si>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</si>
  <si>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</si>
  <si>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</si>
  <si>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</si>
  <si>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</si>
  <si>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</si>
  <si>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</si>
  <si>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</si>
  <si>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</si>
  <si>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</si>
  <si>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</si>
  <si>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</si>
  <si>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</si>
  <si>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</si>
  <si>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</si>
  <si>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</si>
  <si>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</si>
  <si>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</si>
  <si>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</si>
  <si>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</si>
  <si>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</si>
  <si>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</si>
  <si>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</si>
  <si>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</si>
  <si>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</si>
  <si>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</si>
  <si>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</si>
  <si>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</si>
  <si>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</si>
  <si>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</si>
  <si>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</si>
  <si>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</si>
  <si>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</si>
  <si>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</si>
  <si>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</si>
  <si>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</si>
  <si>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</si>
  <si>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</si>
  <si>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</si>
  <si>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</si>
  <si>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</si>
  <si>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</si>
  <si>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</si>
  <si>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</si>
  <si>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</si>
  <si>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</si>
  <si>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</si>
  <si>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</si>
  <si>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</si>
  <si>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</si>
  <si>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</si>
  <si>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</si>
  <si>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</si>
  <si>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</si>
  <si>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</si>
  <si>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</si>
  <si>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</si>
  <si>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</si>
  <si>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</si>
  <si>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</si>
  <si>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</si>
  <si>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</si>
  <si>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</si>
  <si>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</si>
  <si>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</si>
  <si>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</si>
  <si>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</si>
  <si>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</si>
  <si>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</si>
  <si>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</si>
  <si>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</si>
  <si>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</si>
  <si>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</si>
  <si>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</si>
  <si>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</si>
  <si>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</si>
  <si>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</si>
  <si>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</si>
  <si>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</si>
  <si>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</si>
  <si>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</si>
  <si>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</si>
  <si>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</si>
  <si>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</si>
  <si>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</si>
  <si>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</si>
  <si>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</si>
  <si>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</si>
  <si>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</si>
  <si>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</si>
  <si>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</si>
  <si>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</si>
  <si>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</si>
  <si>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</si>
  <si>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</si>
  <si>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</si>
  <si>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</si>
  <si>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</si>
  <si>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</si>
  <si>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</si>
  <si>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</si>
  <si>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</si>
  <si>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</si>
  <si>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</si>
  <si>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</si>
  <si>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</si>
  <si>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</si>
  <si>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</si>
  <si>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</si>
  <si>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</si>
  <si>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</si>
  <si>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</si>
  <si>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</si>
  <si>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</si>
  <si>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</si>
  <si>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</si>
  <si>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</si>
  <si>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</si>
  <si>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</si>
  <si>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</si>
  <si>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</si>
  <si>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</si>
  <si>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</si>
  <si>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</si>
  <si>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</si>
  <si>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</si>
  <si>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</si>
  <si>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</si>
  <si>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</si>
  <si>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</si>
  <si>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</si>
  <si>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</si>
  <si>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</si>
  <si>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</si>
  <si>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</si>
  <si>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</si>
  <si>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</si>
  <si>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</si>
  <si>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</si>
  <si>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</si>
  <si>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</si>
  <si>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</si>
  <si>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</si>
  <si>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</si>
  <si>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</si>
  <si>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</si>
  <si>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</si>
  <si>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</si>
  <si>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</si>
  <si>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</si>
  <si>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</si>
  <si>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</si>
  <si>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</si>
  <si>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</si>
  <si>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</si>
  <si>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</si>
  <si>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</si>
  <si>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</si>
  <si>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</si>
  <si>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</si>
  <si>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</si>
  <si>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</si>
  <si>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</si>
  <si>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</si>
  <si>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</si>
  <si>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</si>
  <si>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</si>
  <si>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</si>
  <si>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</si>
  <si>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</si>
  <si>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</si>
  <si>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</si>
  <si>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</si>
  <si>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</si>
  <si>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</si>
  <si>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</si>
  <si>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</si>
  <si>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</si>
  <si>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</si>
  <si>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</si>
  <si>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</si>
  <si>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</si>
  <si>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</si>
  <si>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</si>
  <si>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</si>
  <si>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</si>
  <si>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</si>
  <si>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</si>
  <si>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</si>
  <si>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</si>
  <si>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</si>
  <si>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</si>
  <si>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</si>
  <si>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</si>
  <si>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</si>
  <si>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</si>
  <si>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</si>
  <si>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</si>
  <si>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</si>
  <si>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</si>
  <si>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</si>
  <si>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</si>
  <si>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</si>
  <si>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</si>
  <si>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</si>
  <si>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</si>
  <si>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</si>
  <si>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</si>
  <si>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</si>
  <si>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</si>
  <si>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</si>
  <si>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</si>
  <si>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</si>
  <si>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</si>
  <si>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</si>
  <si>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</si>
  <si>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</si>
  <si>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</si>
  <si>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</si>
  <si>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</si>
  <si>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</si>
  <si>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</si>
  <si>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</si>
  <si>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</si>
  <si>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</si>
  <si>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</si>
  <si>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</si>
  <si>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</si>
  <si>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</si>
  <si>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</si>
  <si>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</si>
  <si>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</si>
  <si>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</si>
  <si>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</si>
  <si>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</si>
  <si>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</si>
  <si>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</si>
  <si>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</si>
  <si>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</si>
  <si>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</si>
  <si>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</si>
  <si>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</si>
  <si>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</si>
  <si>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</si>
  <si>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</si>
  <si>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</si>
  <si>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</si>
  <si>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</si>
  <si>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</si>
  <si>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</si>
  <si>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</si>
  <si>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</si>
  <si>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</si>
  <si>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</si>
  <si>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</si>
  <si>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</si>
  <si>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</si>
  <si>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</si>
  <si>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</si>
  <si>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</si>
  <si>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</si>
  <si>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</si>
  <si>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</si>
  <si>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</si>
  <si>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</si>
  <si>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</si>
  <si>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</si>
  <si>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</si>
  <si>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</si>
  <si>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</si>
  <si>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</si>
  <si>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</si>
  <si>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</si>
  <si>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</si>
  <si>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</si>
  <si>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</si>
  <si>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</si>
  <si>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</si>
  <si>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</si>
  <si>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</si>
  <si>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</si>
  <si>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</si>
  <si>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</si>
  <si>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</si>
  <si>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</si>
  <si>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</si>
  <si>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</si>
  <si>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</si>
  <si>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</si>
  <si>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</si>
  <si>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</si>
  <si>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</si>
  <si>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</si>
  <si>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</si>
  <si>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</si>
  <si>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</si>
  <si>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</si>
  <si>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</si>
  <si>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</si>
  <si>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</si>
  <si>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</si>
  <si>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</si>
  <si>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</si>
  <si>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</si>
  <si>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</si>
  <si>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</si>
  <si>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</si>
  <si>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</si>
  <si>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</si>
  <si>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</si>
  <si>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</si>
  <si>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</si>
  <si>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</si>
  <si>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</si>
  <si>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</si>
  <si>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</si>
  <si>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</si>
  <si>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</si>
  <si>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</si>
  <si>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</si>
  <si>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</si>
  <si>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</si>
  <si>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</si>
  <si>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</si>
  <si>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</si>
  <si>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</si>
  <si>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</si>
  <si>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</si>
  <si>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</si>
  <si>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</si>
  <si>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</si>
  <si>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</si>
  <si>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</si>
  <si>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</si>
  <si>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</si>
  <si>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</si>
  <si>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</si>
  <si>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</si>
  <si>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</si>
  <si>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</si>
  <si>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</si>
  <si>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</si>
  <si>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</si>
  <si>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</si>
  <si>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</si>
  <si>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</si>
  <si>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</si>
  <si>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</si>
  <si>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</si>
  <si>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</si>
  <si>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</si>
  <si>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</si>
  <si>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</si>
  <si>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</si>
  <si>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</si>
  <si>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</si>
  <si>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</si>
  <si>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</si>
  <si>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</si>
  <si>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</si>
  <si>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</si>
  <si>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</si>
  <si>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</si>
  <si>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</si>
  <si>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</si>
  <si>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</si>
  <si>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</si>
  <si>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</si>
  <si>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</si>
  <si>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</si>
  <si>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</si>
  <si>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</si>
  <si>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</si>
  <si>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</si>
  <si>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</si>
  <si>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</si>
  <si>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</si>
  <si>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</si>
  <si>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</si>
  <si>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</si>
  <si>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</si>
  <si>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</si>
  <si>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</si>
  <si>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</si>
  <si>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</si>
  <si>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</si>
  <si>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</si>
  <si>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</si>
  <si>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</si>
  <si>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</si>
  <si>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</si>
  <si>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</si>
  <si>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</si>
  <si>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</si>
  <si>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</si>
  <si>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</si>
  <si>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</si>
  <si>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</si>
  <si>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</si>
  <si>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</si>
  <si>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</si>
  <si>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</si>
  <si>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</si>
  <si>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</si>
  <si>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</si>
  <si>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</si>
  <si>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</si>
  <si>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</si>
  <si>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</si>
  <si>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</si>
  <si>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</si>
  <si>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</si>
  <si>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</si>
  <si>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</si>
  <si>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</si>
  <si>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</si>
  <si>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</si>
  <si>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</si>
  <si>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</si>
  <si>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</si>
  <si>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</si>
  <si>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</si>
  <si>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</si>
  <si>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</si>
  <si>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</si>
  <si>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</si>
  <si>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</si>
  <si>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</si>
  <si>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</si>
  <si>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</si>
  <si>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</si>
  <si>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</si>
  <si>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</si>
  <si>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</si>
  <si>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</si>
  <si>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</si>
  <si>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</si>
  <si>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</si>
  <si>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</si>
  <si>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</si>
  <si>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</si>
  <si>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</si>
  <si>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</si>
  <si>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</si>
  <si>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</si>
  <si>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</si>
  <si>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</si>
  <si>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</si>
  <si>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</si>
  <si>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</si>
  <si>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</si>
  <si>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</si>
  <si>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</si>
  <si>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</si>
  <si>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</si>
  <si>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</si>
  <si>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</si>
  <si>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</si>
  <si>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</si>
  <si>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</si>
  <si>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</si>
  <si>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</si>
  <si>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</si>
  <si>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</si>
  <si>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</si>
  <si>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</si>
  <si>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</si>
  <si>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</si>
  <si>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</si>
  <si>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</si>
  <si>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</si>
  <si>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</si>
  <si>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</si>
  <si>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</si>
  <si>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</si>
  <si>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</si>
  <si>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</si>
  <si>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</si>
  <si>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</si>
  <si>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</si>
  <si>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</si>
  <si>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</si>
  <si>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</si>
  <si>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</si>
  <si>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</si>
  <si>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</si>
  <si>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</si>
  <si>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</si>
  <si>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</si>
  <si>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</si>
  <si>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</si>
  <si>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</si>
  <si>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</si>
  <si>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</si>
  <si>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</si>
  <si>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</si>
  <si>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</si>
  <si>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</si>
  <si>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</si>
  <si>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</si>
  <si>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</si>
  <si>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</si>
  <si>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</si>
  <si>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</si>
  <si>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</si>
  <si>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</si>
  <si>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</si>
  <si>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</si>
  <si>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</si>
  <si>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</si>
  <si>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</si>
  <si>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</si>
  <si>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</si>
  <si>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</si>
  <si>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</si>
  <si>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</si>
  <si>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</si>
  <si>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</si>
  <si>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</si>
  <si>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</si>
  <si>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</si>
  <si>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</si>
  <si>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</si>
  <si>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</si>
  <si>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</si>
  <si>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</si>
  <si>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</si>
  <si>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</si>
  <si>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</si>
  <si>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</si>
  <si>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</si>
  <si>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</si>
  <si>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</si>
  <si>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</si>
  <si>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</si>
  <si>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</si>
  <si>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</si>
  <si>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</si>
  <si>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</si>
  <si>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</si>
  <si>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</si>
  <si>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</si>
  <si>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</si>
  <si>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</si>
  <si>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</si>
  <si>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</si>
  <si>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</si>
  <si>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</si>
  <si>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</si>
  <si>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</si>
  <si>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</si>
  <si>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</si>
  <si>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</si>
  <si>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</si>
  <si>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</si>
  <si>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</si>
  <si>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</si>
  <si>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</si>
  <si>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</si>
  <si>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</si>
  <si>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</si>
  <si>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</si>
  <si>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</si>
  <si>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</si>
  <si>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</si>
  <si>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</si>
  <si>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</si>
  <si>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</si>
  <si>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</si>
  <si>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</si>
  <si>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</si>
  <si>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</si>
  <si>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</si>
  <si>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</si>
  <si>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</si>
  <si>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</si>
  <si>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</si>
  <si>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</si>
  <si>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</si>
  <si>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</si>
  <si>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</si>
  <si>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</si>
  <si>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</si>
  <si>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</si>
  <si>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</si>
  <si>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</si>
  <si>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</si>
  <si>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</si>
  <si>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</si>
  <si>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</si>
  <si>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</si>
  <si>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</si>
  <si>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</si>
  <si>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</si>
  <si>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</si>
  <si>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</si>
  <si>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</si>
  <si>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</si>
  <si>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</si>
  <si>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</si>
  <si>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</si>
  <si>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</si>
  <si>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</si>
  <si>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</si>
  <si>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</si>
  <si>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</si>
  <si>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</si>
  <si>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</si>
  <si>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</si>
  <si>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</si>
  <si>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</si>
  <si>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</si>
  <si>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</si>
  <si>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</si>
  <si>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</si>
  <si>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</si>
  <si>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</si>
  <si>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</si>
  <si>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</si>
  <si>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</si>
  <si>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</si>
  <si>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</si>
  <si>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</si>
  <si>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</si>
  <si>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</si>
  <si>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</si>
  <si>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</si>
  <si>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</si>
  <si>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</si>
  <si>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</si>
  <si>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</si>
  <si>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</si>
  <si>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</si>
  <si>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</si>
  <si>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</si>
  <si>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</si>
  <si>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</si>
  <si>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</si>
  <si>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</si>
  <si>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</si>
  <si>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</si>
  <si>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</si>
  <si>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</si>
  <si>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</si>
  <si>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</si>
  <si>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</si>
  <si>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</si>
  <si>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</si>
  <si>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</si>
  <si>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</si>
  <si>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</si>
  <si>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</si>
  <si>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</si>
  <si>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</si>
  <si>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</si>
  <si>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</si>
  <si>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</si>
  <si>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</si>
  <si>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</si>
  <si>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</si>
  <si>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</si>
  <si>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</si>
  <si>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</si>
  <si>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</si>
  <si>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</si>
  <si>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</si>
  <si>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</si>
  <si>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</si>
  <si>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</si>
  <si>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</si>
  <si>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</si>
  <si>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</si>
  <si>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</si>
  <si>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</si>
  <si>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</si>
  <si>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</si>
  <si>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</si>
  <si>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</si>
  <si>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</si>
  <si>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</si>
  <si>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</si>
  <si>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</si>
  <si>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</si>
  <si>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</si>
  <si>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</si>
  <si>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</si>
  <si>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</si>
  <si>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</si>
  <si>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</si>
  <si>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</si>
  <si>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</si>
  <si>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</si>
  <si>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</si>
  <si>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</si>
  <si>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</si>
  <si>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</si>
  <si>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</si>
  <si>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</si>
  <si>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</si>
  <si>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</si>
  <si>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</si>
  <si>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</si>
  <si>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</si>
  <si>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</si>
  <si>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</si>
  <si>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</si>
  <si>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</si>
  <si>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</si>
  <si>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</si>
  <si>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</si>
  <si>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</si>
  <si>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</si>
  <si>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</si>
  <si>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</si>
  <si>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</si>
  <si>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</si>
  <si>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</si>
  <si>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</si>
  <si>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</si>
  <si>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</si>
  <si>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</si>
  <si>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</si>
  <si>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</si>
  <si>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</si>
  <si>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September</t>
  </si>
  <si>
    <t>Eagle</t>
  </si>
  <si>
    <t>Caleb Roope</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</si>
  <si>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</si>
  <si>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</si>
  <si>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</si>
  <si>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</si>
  <si>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</si>
  <si>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</si>
  <si>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</si>
  <si>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</si>
  <si>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</si>
  <si>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</si>
  <si>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</si>
  <si>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</si>
  <si>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</si>
  <si>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</si>
  <si>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</si>
  <si>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</si>
  <si>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</si>
  <si>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</si>
  <si>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</si>
  <si>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</si>
  <si>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</si>
  <si>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</si>
  <si>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</si>
  <si>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208.461.0033</t>
  </si>
  <si>
    <t>SMF Legal, PLLC</t>
  </si>
  <si>
    <t>Pacific West Builders, Inc.</t>
  </si>
  <si>
    <t>430 E. State Street, Suite 140</t>
  </si>
  <si>
    <t>Sarah Ford</t>
  </si>
  <si>
    <t>208.854.8221</t>
  </si>
  <si>
    <t>sarah@smf-legal.com</t>
  </si>
  <si>
    <t>Grigg, Bratton &amp; Brash, P.C.</t>
  </si>
  <si>
    <t>E3 CA, Inc.</t>
  </si>
  <si>
    <t>4487 N. Dresden Place, Ste. 101</t>
  </si>
  <si>
    <t>2701 Cottage Way, Suite 3</t>
  </si>
  <si>
    <t>Boise, ID 83714</t>
  </si>
  <si>
    <t>Sacramento, CA 95825</t>
  </si>
  <si>
    <t>Marshall Bratton</t>
  </si>
  <si>
    <t>David Houseworth</t>
  </si>
  <si>
    <t>208.375.6490</t>
  </si>
  <si>
    <t>916.520.0833</t>
  </si>
  <si>
    <t>208.375.6593</t>
  </si>
  <si>
    <t>marshall@gbbaccounting.com</t>
  </si>
  <si>
    <t>dhouseworth@e3cainc.com</t>
  </si>
  <si>
    <t>Boston Financial</t>
  </si>
  <si>
    <t>225 Franklin Street</t>
  </si>
  <si>
    <t>Boston, MA 02110</t>
  </si>
  <si>
    <t>Laura Surdel</t>
  </si>
  <si>
    <t>617.439.3911</t>
  </si>
  <si>
    <t>617.439.4805</t>
  </si>
  <si>
    <t>laura.surdel@bfim.com</t>
  </si>
  <si>
    <t>Not Applicable</t>
  </si>
  <si>
    <t>Kinetic Valuation Group</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</si>
  <si>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</si>
  <si>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</si>
  <si>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</si>
  <si>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</si>
  <si>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</si>
  <si>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</si>
  <si>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</si>
  <si>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</si>
  <si>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</si>
  <si>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</si>
  <si>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</si>
  <si>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Other (Specify below)</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</si>
  <si>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</si>
  <si>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</si>
  <si>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</si>
  <si>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</si>
  <si>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</si>
  <si>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</si>
  <si>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</si>
  <si>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</si>
  <si>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</si>
  <si>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</si>
  <si>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Salt Lake City, UT 84111</t>
  </si>
  <si>
    <t>Construction Loan to Perm Loan (Recycled T.E. Bonds)</t>
  </si>
  <si>
    <t>Deferred Costs</t>
  </si>
  <si>
    <t>LIHTC Equity</t>
  </si>
  <si>
    <t>Permanent Loan (T.E. Bonds)</t>
  </si>
  <si>
    <t>Permanent Loan (Recycled T.E. Bonds)</t>
  </si>
  <si>
    <t>Application Fees</t>
  </si>
  <si>
    <t>Air Conditioning</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</si>
  <si>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</si>
  <si>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</si>
  <si>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</si>
  <si>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</si>
  <si>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</si>
  <si>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</si>
  <si>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</si>
  <si>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Bonneville Multifamily Capital - Recycled Tax-Exempt Bonds</t>
  </si>
  <si>
    <t>Above residual receipts line for cash flow</t>
  </si>
  <si>
    <t>Below residual receipts line for cash flow</t>
  </si>
  <si>
    <t>Bonneville - Recycled T.E. Bonds</t>
  </si>
  <si>
    <t>Central Valley Coalition for Affordable Housing, a CA Nonprofit Public Benefit Corp.</t>
  </si>
  <si>
    <t>Kingfisher II</t>
  </si>
  <si>
    <t>, California.</t>
  </si>
  <si>
    <t>Chief Executive Officer</t>
  </si>
  <si>
    <t>Town of Mammoth Lakes</t>
  </si>
  <si>
    <t>Rob Patterson</t>
  </si>
  <si>
    <t>Town Manager</t>
  </si>
  <si>
    <t>Town Manager:</t>
  </si>
  <si>
    <t>437 Old Mammoth Road, Suite 230</t>
  </si>
  <si>
    <t>Mammoth Lakes</t>
  </si>
  <si>
    <t>760.965.3601</t>
  </si>
  <si>
    <t>760.934.7493</t>
  </si>
  <si>
    <t>rpatterson@townofmammothlakes.ca.gov</t>
  </si>
  <si>
    <t>57 Inyo Street</t>
  </si>
  <si>
    <t>035-300-001-000</t>
  </si>
  <si>
    <t>JK Architecture Engineering</t>
  </si>
  <si>
    <t>11661 Blocker Drive, Suite 220</t>
  </si>
  <si>
    <t>Auburn, CA 95603</t>
  </si>
  <si>
    <t>Derek Labrecque</t>
  </si>
  <si>
    <t>530.888.0998</t>
  </si>
  <si>
    <t>derek@jkaedesign.com</t>
  </si>
  <si>
    <t>3901 S. 147th Street, Suite 144</t>
  </si>
  <si>
    <t>Buckingham Property Management</t>
  </si>
  <si>
    <t>601 Pollasky Avenue #201</t>
  </si>
  <si>
    <t>Clovis, CA 93612</t>
  </si>
  <si>
    <t>Rosemary Lynch</t>
  </si>
  <si>
    <t>559.452.8250</t>
  </si>
  <si>
    <t>559.452.8249</t>
  </si>
  <si>
    <t>rlynch@buckinghampm.com</t>
  </si>
  <si>
    <t>N/A (Public Entity)</t>
  </si>
  <si>
    <t>437 Old Mammoth Road, Ste. 230</t>
  </si>
  <si>
    <t>Mammoth Lakes, CA 93546</t>
  </si>
  <si>
    <t>4-story elevator-serviced residential building (3 residential floors over one-level of podium parking).</t>
  </si>
  <si>
    <t>Common areas / community space included within residential building. Project will share a community room and other amenities located in the adjacent Phase I (The Sawyer - CA-23-605), which was completed in August 2024.</t>
  </si>
  <si>
    <t>Multifamily Residential</t>
  </si>
  <si>
    <t>Adopted 2021 Parcel Master Plan with Aff. Hsg. Overlay / 580 units maximum</t>
  </si>
  <si>
    <t>4 stories maximum</t>
  </si>
  <si>
    <t>167 parking spaces required</t>
  </si>
  <si>
    <t>Town of Mammoth Lakes - Land Loan</t>
  </si>
  <si>
    <t>Town of Mammoth Lakes - Fee Deferral Loan</t>
  </si>
  <si>
    <t>HCD - Infill Infrastructure Grant (IIG) Program Loan</t>
  </si>
  <si>
    <t>HCD</t>
  </si>
  <si>
    <t>Mammoth Lakes Pacific Assoc. II</t>
  </si>
  <si>
    <t>651 Bannon Street</t>
  </si>
  <si>
    <t>Sacramento, CA 95811</t>
  </si>
  <si>
    <t>John Nunn</t>
  </si>
  <si>
    <t>916.274.0575</t>
  </si>
  <si>
    <t>Infill Infrastructure Grant (IIG) Program Loan</t>
  </si>
  <si>
    <t>Town Land Loan</t>
  </si>
  <si>
    <t>Town Fee Deferral Loan</t>
  </si>
  <si>
    <t>California Energy Commission - CTCAC Approved California Utility Allowance Calculator (CUAC) (*no tenant allowance for water heating - central boiler)</t>
  </si>
  <si>
    <t>HCD - IIG Loan</t>
  </si>
  <si>
    <t>Recycled Tax-Exempt Bonds</t>
  </si>
  <si>
    <t>HCD - Infill Infrastructure Grant (IIG) Program Loan (State Prevailing Wages)</t>
  </si>
  <si>
    <t>Provided</t>
  </si>
  <si>
    <t>111 S. Main Street, Suite 1600</t>
  </si>
  <si>
    <t>Henry Schwendiman</t>
  </si>
  <si>
    <t>801.323.1030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</si>
</sst>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 borderId="3" xfId="0" applyFont="1" applyFill="1" applyBorder="1" applyAlignment="1" applyProtection="1">
      <alignment horizontal="lef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265625" customWidth="1"/>
    <col min="39" max="16384" width="2.5429687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7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7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2601</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2600</v>
      </c>
      <c r="E18" s="441"/>
      <c r="G18" s="441"/>
      <c r="H18" s="441"/>
      <c r="I18" s="441"/>
      <c r="J18" s="1273" t="s">
        <v>2599</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2034</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2035</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2515</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2139</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2042</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2043</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735</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736</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651</v>
      </c>
      <c r="F40" s="1260" t="s">
        <v>1162</v>
      </c>
    </row>
    <row r="41" spans="1:38" s="1260" customFormat="1" ht="13.15" customHeight="1">
      <c r="A41" s="4"/>
      <c r="B41"/>
      <c r="C41" s="2"/>
      <c r="D41" s="4"/>
      <c r="E41" s="4"/>
    </row>
    <row r="42" spans="1:38">
      <c r="A42" s="4"/>
      <c r="C42" s="2"/>
      <c r="D42" s="4"/>
      <c r="E42" s="4"/>
      <c r="F42" s="35" t="s">
        <v>685</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1244</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685</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0" t="s">
        <v>2037</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649</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651</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685</v>
      </c>
      <c r="G54" s="1265" t="s">
        <v>1189</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1191</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1277</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651</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685</v>
      </c>
      <c r="G64" s="1260" t="s">
        <v>1164</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508</v>
      </c>
      <c r="G67" s="1260" t="s">
        <v>1165</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685</v>
      </c>
      <c r="G70" s="1260" t="s">
        <v>1166</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1167</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748</v>
      </c>
      <c r="H74" s="4"/>
      <c r="J74" s="120"/>
      <c r="K74" s="120"/>
      <c r="L74" s="120"/>
      <c r="P74" s="4"/>
      <c r="Q74" s="4"/>
      <c r="R74" s="4"/>
      <c r="S74" s="4"/>
      <c r="T74" s="4"/>
      <c r="U74" s="4"/>
      <c r="V74" s="4"/>
      <c r="W74" s="4"/>
      <c r="X74" s="4"/>
      <c r="Y74" s="4"/>
      <c r="Z74" s="4"/>
      <c r="AA74" s="4"/>
      <c r="AB74" s="4"/>
    </row>
    <row r="75" spans="1:37">
      <c r="A75" s="4"/>
      <c r="C75" s="2"/>
      <c r="D75" s="4"/>
      <c r="E75" s="4"/>
      <c r="F75" s="8"/>
      <c r="G75" s="120" t="s">
        <v>862</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863</v>
      </c>
      <c r="K77" s="4"/>
      <c r="L77" s="4"/>
      <c r="M77" s="4"/>
      <c r="P77" s="4"/>
      <c r="Q77" s="4"/>
      <c r="R77" s="4"/>
      <c r="S77" s="4"/>
      <c r="T77" s="4"/>
      <c r="U77" s="4"/>
      <c r="V77" s="4"/>
      <c r="W77" s="4"/>
      <c r="X77" s="4"/>
      <c r="Y77" s="4"/>
      <c r="Z77" s="4"/>
      <c r="AA77" s="4"/>
      <c r="AB77" s="4"/>
    </row>
    <row r="78" spans="1:37">
      <c r="A78" s="4"/>
      <c r="C78" s="2"/>
      <c r="D78" s="4"/>
      <c r="E78" s="4"/>
      <c r="F78" s="4"/>
      <c r="G78" s="4" t="s">
        <v>755</v>
      </c>
      <c r="H78" s="4" t="s">
        <v>751</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1168</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1169</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864</v>
      </c>
      <c r="G87" s="4"/>
      <c r="L87" s="4"/>
      <c r="M87" s="4"/>
      <c r="P87" s="4"/>
      <c r="Q87" s="4"/>
      <c r="R87" s="4"/>
      <c r="S87" s="4"/>
      <c r="T87" s="4"/>
      <c r="U87" s="4"/>
      <c r="V87" s="4"/>
      <c r="W87" s="4"/>
      <c r="X87" s="4"/>
      <c r="Y87" s="4"/>
      <c r="Z87" s="4"/>
      <c r="AA87" s="4"/>
      <c r="AB87" s="4"/>
    </row>
    <row r="88" spans="1:37">
      <c r="A88" s="4"/>
      <c r="C88" s="2"/>
      <c r="D88" s="4"/>
      <c r="E88" s="4"/>
      <c r="G88" s="1263" t="s">
        <v>1170</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1171</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902</v>
      </c>
      <c r="F94" s="204" t="s">
        <v>903</v>
      </c>
      <c r="G94" s="204"/>
      <c r="L94" s="4"/>
      <c r="M94" s="4"/>
      <c r="P94" s="4"/>
      <c r="Q94" s="4"/>
      <c r="R94" s="4"/>
      <c r="S94" s="4"/>
      <c r="T94" s="4"/>
      <c r="U94" s="4"/>
      <c r="V94" s="4"/>
      <c r="W94" s="4"/>
      <c r="X94" s="4"/>
      <c r="Y94" s="4"/>
      <c r="Z94" s="4"/>
      <c r="AA94" s="4"/>
      <c r="AB94" s="4"/>
    </row>
    <row r="95" spans="1:37">
      <c r="A95" s="4"/>
      <c r="C95" s="2"/>
      <c r="D95" s="4"/>
      <c r="E95" s="4"/>
      <c r="G95" s="1260" t="s">
        <v>1172</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1173</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650</v>
      </c>
      <c r="G105" s="2"/>
      <c r="H105" s="2"/>
      <c r="I105" s="2"/>
      <c r="J105" s="2"/>
      <c r="K105" s="2"/>
    </row>
    <row r="106" spans="1:38">
      <c r="E106" s="4"/>
      <c r="F106" t="s">
        <v>652</v>
      </c>
    </row>
    <row r="107" spans="1:38">
      <c r="E107" s="4"/>
      <c r="F107" t="s">
        <v>653</v>
      </c>
    </row>
    <row r="108" spans="1:38">
      <c r="E108" s="4"/>
    </row>
    <row r="109" spans="1:38">
      <c r="E109" s="4" t="s">
        <v>113</v>
      </c>
      <c r="F109" s="98" t="s">
        <v>654</v>
      </c>
      <c r="G109" s="2"/>
      <c r="H109" s="2"/>
      <c r="I109" s="2"/>
      <c r="J109" s="2"/>
    </row>
    <row r="110" spans="1:38">
      <c r="E110" s="4"/>
      <c r="F110" t="s">
        <v>655</v>
      </c>
    </row>
    <row r="111" spans="1:38">
      <c r="E111" s="4"/>
    </row>
    <row r="112" spans="1:38">
      <c r="E112" s="4" t="s">
        <v>119</v>
      </c>
      <c r="F112" s="98" t="s">
        <v>656</v>
      </c>
      <c r="G112" s="2"/>
      <c r="H112" s="2"/>
      <c r="I112" s="2"/>
      <c r="J112" s="2"/>
      <c r="K112" s="2"/>
      <c r="L112" s="2"/>
      <c r="M112" s="2"/>
      <c r="N112" s="2"/>
      <c r="O112" s="2"/>
      <c r="P112" s="2"/>
    </row>
    <row r="113" spans="2:10">
      <c r="E113" s="4"/>
      <c r="F113" s="4" t="s">
        <v>919</v>
      </c>
    </row>
    <row r="114" spans="2:10" ht="12.75" customHeight="1">
      <c r="F114" s="4" t="s">
        <v>949</v>
      </c>
    </row>
    <row r="115" spans="2:10"/>
    <row r="116" spans="2:10">
      <c r="E116" t="s">
        <v>580</v>
      </c>
      <c r="F116" s="98" t="s">
        <v>920</v>
      </c>
    </row>
    <row r="117" spans="2:10">
      <c r="F117" s="4" t="s">
        <v>1013</v>
      </c>
      <c r="G117" s="4"/>
    </row>
    <row r="118" spans="2:10">
      <c r="F118" s="99" t="s">
        <v>1185</v>
      </c>
      <c r="G118" s="99"/>
    </row>
    <row r="119" spans="2:10">
      <c r="G119" s="99"/>
    </row>
    <row r="120" spans="2:10">
      <c r="E120" s="4" t="s">
        <v>761</v>
      </c>
      <c r="F120" s="98" t="s">
        <v>378</v>
      </c>
    </row>
    <row r="121" spans="2:10">
      <c r="E121" s="4"/>
      <c r="F121" s="4" t="s">
        <v>1005</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921</v>
      </c>
      <c r="F125" s="4"/>
    </row>
    <row r="126" spans="2:10"/>
    <row r="127" spans="2:10">
      <c r="D127" s="2" t="s">
        <v>341</v>
      </c>
      <c r="E127" s="2" t="s">
        <v>576</v>
      </c>
    </row>
    <row r="128" spans="2:10">
      <c r="E128" s="4" t="s">
        <v>921</v>
      </c>
      <c r="F128" s="4"/>
    </row>
    <row r="129" spans="4:37"/>
    <row r="130" spans="4:37">
      <c r="D130" s="2" t="s">
        <v>573</v>
      </c>
      <c r="E130" s="2" t="s">
        <v>722</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1254</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1211</v>
      </c>
      <c r="F136" s="4"/>
    </row>
    <row r="137" spans="4:37">
      <c r="F137" s="4"/>
    </row>
    <row r="138" spans="4:37">
      <c r="D138" s="2" t="s">
        <v>303</v>
      </c>
      <c r="E138" s="2" t="s">
        <v>2039</v>
      </c>
      <c r="F138" s="2"/>
      <c r="G138" s="2"/>
      <c r="H138" s="2"/>
    </row>
    <row r="139" spans="4:37">
      <c r="E139" t="s">
        <v>112</v>
      </c>
      <c r="F139" t="s">
        <v>52</v>
      </c>
    </row>
    <row r="140" spans="4:37">
      <c r="E140" t="s">
        <v>113</v>
      </c>
      <c r="F140" t="s">
        <v>465</v>
      </c>
    </row>
    <row r="141" spans="4:37"/>
    <row r="142" spans="4:37">
      <c r="D142" s="2" t="s">
        <v>429</v>
      </c>
      <c r="E142" s="2" t="s">
        <v>2040</v>
      </c>
    </row>
    <row r="143" spans="4:37">
      <c r="E143" s="204" t="s">
        <v>2041</v>
      </c>
      <c r="F143" s="204"/>
    </row>
    <row r="144" spans="4:37"/>
    <row r="145" spans="3:7">
      <c r="C145" s="2" t="s">
        <v>6</v>
      </c>
      <c r="G145" s="2" t="s">
        <v>380</v>
      </c>
    </row>
    <row r="146" spans="3:7">
      <c r="D146" s="2" t="s">
        <v>207</v>
      </c>
      <c r="E146" s="2" t="s">
        <v>135</v>
      </c>
    </row>
    <row r="147" spans="3:7">
      <c r="E147" t="s">
        <v>795</v>
      </c>
    </row>
    <row r="148" spans="3:7"/>
    <row r="149" spans="3:7">
      <c r="D149" s="2" t="s">
        <v>341</v>
      </c>
      <c r="E149" s="2" t="s">
        <v>523</v>
      </c>
      <c r="F149" s="2"/>
    </row>
    <row r="150" spans="3:7">
      <c r="E150" s="4" t="s">
        <v>923</v>
      </c>
      <c r="F150" s="4"/>
    </row>
    <row r="151" spans="3:7"/>
    <row r="152" spans="3:7">
      <c r="D152" s="2" t="s">
        <v>573</v>
      </c>
      <c r="E152" s="2" t="s">
        <v>552</v>
      </c>
    </row>
    <row r="153" spans="3:7">
      <c r="E153" s="4" t="s">
        <v>924</v>
      </c>
    </row>
    <row r="154" spans="3:7">
      <c r="E154" s="4" t="s">
        <v>922</v>
      </c>
      <c r="G154" s="4"/>
    </row>
    <row r="155" spans="3:7"/>
    <row r="156" spans="3:7">
      <c r="D156" s="2" t="s">
        <v>513</v>
      </c>
      <c r="E156" s="2" t="s">
        <v>532</v>
      </c>
    </row>
    <row r="157" spans="3:7">
      <c r="E157" t="s">
        <v>112</v>
      </c>
      <c r="F157" s="4" t="s">
        <v>925</v>
      </c>
    </row>
    <row r="158" spans="3:7">
      <c r="E158" s="4" t="s">
        <v>113</v>
      </c>
      <c r="F158" s="4" t="s">
        <v>926</v>
      </c>
    </row>
    <row r="159" spans="3:7">
      <c r="E159" s="4" t="s">
        <v>119</v>
      </c>
      <c r="F159" t="s">
        <v>723</v>
      </c>
    </row>
    <row r="160" spans="3:7"/>
    <row r="161" spans="3:20">
      <c r="D161" s="2" t="s">
        <v>303</v>
      </c>
      <c r="E161" s="2" t="s">
        <v>381</v>
      </c>
    </row>
    <row r="162" spans="3:20">
      <c r="E162" s="4" t="s">
        <v>927</v>
      </c>
      <c r="F162" s="4"/>
    </row>
    <row r="163" spans="3:20"/>
    <row r="164" spans="3:20">
      <c r="D164" s="2" t="s">
        <v>429</v>
      </c>
      <c r="E164" s="2" t="s">
        <v>172</v>
      </c>
    </row>
    <row r="165" spans="3:20">
      <c r="E165" s="4" t="s">
        <v>929</v>
      </c>
    </row>
    <row r="166" spans="3:20">
      <c r="E166" s="4" t="s">
        <v>928</v>
      </c>
    </row>
    <row r="167" spans="3:20"/>
    <row r="168" spans="3:20">
      <c r="D168" s="2" t="s">
        <v>556</v>
      </c>
      <c r="E168" s="2" t="s">
        <v>621</v>
      </c>
    </row>
    <row r="169" spans="3:20">
      <c r="E169" t="s">
        <v>112</v>
      </c>
      <c r="F169" t="s">
        <v>724</v>
      </c>
    </row>
    <row r="170" spans="3:20">
      <c r="E170" t="s">
        <v>113</v>
      </c>
      <c r="F170" t="s">
        <v>297</v>
      </c>
    </row>
    <row r="171" spans="3:20">
      <c r="F171" s="4"/>
    </row>
    <row r="172" spans="3:20">
      <c r="C172" s="2" t="s">
        <v>7</v>
      </c>
      <c r="E172" s="4"/>
      <c r="G172" s="2" t="s">
        <v>382</v>
      </c>
    </row>
    <row r="173" spans="3:20">
      <c r="E173" s="4" t="s">
        <v>865</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930</v>
      </c>
    </row>
    <row r="178" spans="2:19">
      <c r="F178" s="120" t="s">
        <v>1146</v>
      </c>
      <c r="I178" s="120"/>
    </row>
    <row r="179" spans="2:19">
      <c r="I179" s="120"/>
    </row>
    <row r="180" spans="2:19">
      <c r="B180" s="4"/>
      <c r="C180" s="4"/>
      <c r="E180" t="s">
        <v>113</v>
      </c>
      <c r="F180" s="3" t="s">
        <v>866</v>
      </c>
      <c r="H180" s="4"/>
    </row>
    <row r="181" spans="2:19">
      <c r="B181" s="4"/>
      <c r="C181" s="4"/>
      <c r="F181" t="s">
        <v>651</v>
      </c>
      <c r="G181" t="s">
        <v>706</v>
      </c>
      <c r="H181" s="4"/>
      <c r="O181" s="4"/>
      <c r="P181" s="4"/>
      <c r="Q181" s="4"/>
      <c r="R181" s="4"/>
      <c r="S181" s="4"/>
    </row>
    <row r="182" spans="2:19">
      <c r="B182" s="4"/>
      <c r="C182" s="4"/>
      <c r="H182" s="4"/>
      <c r="O182" s="4"/>
      <c r="P182" s="4"/>
      <c r="Q182" s="4"/>
      <c r="R182" s="4"/>
      <c r="S182" s="4"/>
    </row>
    <row r="183" spans="2:19">
      <c r="D183" s="2" t="s">
        <v>341</v>
      </c>
      <c r="E183" s="2" t="s">
        <v>1006</v>
      </c>
    </row>
    <row r="184" spans="2:19">
      <c r="B184" s="4"/>
      <c r="C184" s="4"/>
      <c r="E184" s="4" t="s">
        <v>707</v>
      </c>
      <c r="F184" s="4"/>
      <c r="I184" s="4"/>
    </row>
    <row r="185" spans="2:19">
      <c r="B185" s="4"/>
      <c r="C185" s="4"/>
      <c r="E185" s="4" t="s">
        <v>1004</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1014</v>
      </c>
      <c r="G191" s="4"/>
      <c r="H191" s="4"/>
      <c r="I191" s="4"/>
    </row>
    <row r="192" spans="2:19">
      <c r="B192" s="4"/>
      <c r="C192" s="2"/>
      <c r="F192" s="4" t="s">
        <v>651</v>
      </c>
      <c r="G192" s="3" t="s">
        <v>1205</v>
      </c>
    </row>
    <row r="193" spans="2:37">
      <c r="B193" s="4"/>
      <c r="C193" s="4"/>
      <c r="F193" s="4" t="s">
        <v>348</v>
      </c>
      <c r="G193" s="3" t="s">
        <v>1206</v>
      </c>
      <c r="I193" s="4"/>
      <c r="J193" s="4"/>
      <c r="M193" s="4"/>
      <c r="N193" s="4"/>
      <c r="O193" s="4"/>
      <c r="P193" s="4"/>
      <c r="Q193" s="4"/>
      <c r="R193" s="4"/>
      <c r="S193" s="4"/>
    </row>
    <row r="194" spans="2:37">
      <c r="B194" s="4"/>
      <c r="C194" s="4"/>
      <c r="F194" s="4" t="s">
        <v>349</v>
      </c>
      <c r="G194" s="4" t="s">
        <v>931</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932</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933</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708</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651</v>
      </c>
      <c r="G203" s="4" t="s">
        <v>934</v>
      </c>
      <c r="I203" s="4"/>
      <c r="J203" s="4"/>
      <c r="M203" s="4"/>
      <c r="N203" s="4"/>
      <c r="O203" s="4"/>
      <c r="P203" s="4"/>
      <c r="Q203" s="4"/>
      <c r="R203" s="4"/>
      <c r="S203" s="4"/>
      <c r="T203" s="4"/>
      <c r="U203" s="4"/>
      <c r="V203" s="4"/>
      <c r="W203" s="4"/>
      <c r="X203" s="4"/>
      <c r="Y203" s="4"/>
    </row>
    <row r="204" spans="2:37">
      <c r="B204" s="4"/>
      <c r="C204" s="4"/>
      <c r="D204" s="2"/>
      <c r="E204" s="4" t="s">
        <v>580</v>
      </c>
      <c r="F204" s="4" t="s">
        <v>935</v>
      </c>
      <c r="M204" s="4"/>
      <c r="N204" s="4"/>
      <c r="O204" s="4"/>
      <c r="P204" s="4"/>
      <c r="Q204" s="4"/>
      <c r="R204" s="4"/>
      <c r="S204" s="4"/>
    </row>
    <row r="205" spans="2:37">
      <c r="B205" s="4"/>
      <c r="C205" s="4"/>
      <c r="D205" s="2"/>
      <c r="F205" t="s">
        <v>651</v>
      </c>
      <c r="G205" s="1260" t="s">
        <v>1174</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762</v>
      </c>
      <c r="G208" s="4"/>
      <c r="H208" s="4"/>
      <c r="I208" s="4"/>
      <c r="J208" s="4"/>
      <c r="M208" s="4"/>
      <c r="N208" s="4"/>
      <c r="O208" s="4"/>
      <c r="P208" s="4"/>
      <c r="Q208" s="4"/>
      <c r="R208" s="4"/>
      <c r="S208" s="4"/>
      <c r="T208" s="4"/>
      <c r="U208" s="4"/>
      <c r="V208" s="4"/>
      <c r="W208" s="4"/>
    </row>
    <row r="209" spans="1:38">
      <c r="B209" s="4"/>
      <c r="C209" s="4"/>
      <c r="E209" s="4" t="s">
        <v>709</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710</v>
      </c>
      <c r="D214" s="2"/>
      <c r="G214" s="2" t="s">
        <v>807</v>
      </c>
      <c r="M214" s="4"/>
      <c r="N214" s="4"/>
      <c r="O214" s="4"/>
      <c r="P214" s="4"/>
      <c r="Q214" s="4"/>
      <c r="R214" s="4"/>
      <c r="S214" s="4"/>
    </row>
    <row r="215" spans="1:38">
      <c r="B215" s="4"/>
      <c r="C215" s="4"/>
      <c r="E215" t="s">
        <v>112</v>
      </c>
      <c r="F215" s="4" t="s">
        <v>806</v>
      </c>
      <c r="G215" s="4"/>
      <c r="H215" s="4"/>
      <c r="I215" s="4"/>
      <c r="L215" s="4"/>
      <c r="N215" s="4"/>
      <c r="O215" s="4"/>
      <c r="P215" s="4"/>
      <c r="Q215" s="4"/>
      <c r="R215" s="4"/>
      <c r="S215" s="4"/>
    </row>
    <row r="216" spans="1:38">
      <c r="B216" s="4"/>
      <c r="C216" s="4"/>
      <c r="F216" s="4" t="s">
        <v>651</v>
      </c>
      <c r="G216" s="4" t="s">
        <v>713</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651</v>
      </c>
      <c r="G218" s="4" t="s">
        <v>711</v>
      </c>
      <c r="I218" s="4"/>
      <c r="M218" s="4"/>
      <c r="N218" s="4"/>
      <c r="O218" s="4"/>
      <c r="P218" s="4"/>
      <c r="Q218" s="4"/>
      <c r="R218" s="4"/>
      <c r="S218" s="4"/>
    </row>
    <row r="219" spans="1:38">
      <c r="B219" s="4"/>
      <c r="C219" s="4"/>
      <c r="F219" s="4"/>
      <c r="G219" s="4" t="s">
        <v>712</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451</v>
      </c>
      <c r="I223" s="4"/>
      <c r="J223" s="4"/>
      <c r="K223" s="4"/>
      <c r="M223" s="4"/>
      <c r="N223" s="4"/>
      <c r="O223" s="4"/>
      <c r="P223" s="4"/>
      <c r="Q223" s="4"/>
      <c r="R223" s="4"/>
      <c r="S223" s="4"/>
    </row>
    <row r="224" spans="1:38">
      <c r="B224" s="2"/>
      <c r="E224" s="4" t="s">
        <v>112</v>
      </c>
      <c r="F224" s="4" t="s">
        <v>714</v>
      </c>
      <c r="G224" s="4"/>
      <c r="I224" s="4"/>
      <c r="J224" s="4"/>
      <c r="K224" s="4"/>
      <c r="L224" s="4"/>
      <c r="M224" s="4"/>
      <c r="N224" s="4"/>
      <c r="O224" s="4"/>
      <c r="P224" s="4"/>
      <c r="Q224" s="4"/>
      <c r="R224" s="4"/>
      <c r="S224" s="4"/>
    </row>
    <row r="225" spans="2:19">
      <c r="B225" s="2"/>
      <c r="E225" s="4" t="s">
        <v>113</v>
      </c>
      <c r="F225" s="4" t="s">
        <v>678</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715</v>
      </c>
      <c r="G228" s="4"/>
      <c r="I228" s="4"/>
      <c r="J228" s="4"/>
      <c r="K228" s="4"/>
      <c r="L228" s="4"/>
      <c r="M228" s="4"/>
      <c r="N228" s="4"/>
      <c r="O228" s="4"/>
      <c r="P228" s="4"/>
      <c r="Q228" s="4"/>
      <c r="R228" s="4"/>
      <c r="S228" s="4"/>
    </row>
    <row r="229" spans="2:19">
      <c r="B229" s="2"/>
      <c r="E229" s="4"/>
      <c r="F229" s="4" t="s">
        <v>716</v>
      </c>
      <c r="G229" s="4"/>
      <c r="H229" s="4"/>
      <c r="I229" s="4"/>
      <c r="J229" s="4"/>
      <c r="K229" s="4"/>
      <c r="L229" s="4"/>
      <c r="M229" s="4"/>
      <c r="N229" s="4"/>
      <c r="O229" s="4"/>
      <c r="P229" s="4"/>
      <c r="Q229" s="4"/>
      <c r="R229" s="4"/>
      <c r="S229" s="4"/>
    </row>
    <row r="230" spans="2:19">
      <c r="B230" s="2"/>
      <c r="D230" s="4"/>
      <c r="E230" s="4" t="s">
        <v>113</v>
      </c>
      <c r="F230" s="4" t="s">
        <v>678</v>
      </c>
      <c r="G230" s="4"/>
      <c r="I230" s="4"/>
      <c r="J230" s="4"/>
      <c r="K230" s="4"/>
      <c r="L230" s="4"/>
      <c r="M230" s="4"/>
      <c r="N230" s="4"/>
      <c r="O230" s="4"/>
      <c r="P230" s="4"/>
      <c r="Q230" s="4"/>
      <c r="R230" s="4"/>
      <c r="S230" s="4"/>
    </row>
    <row r="231" spans="2:19">
      <c r="B231" s="2"/>
      <c r="E231" s="4" t="s">
        <v>119</v>
      </c>
      <c r="F231" s="98" t="s">
        <v>950</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651</v>
      </c>
      <c r="G235" s="4" t="s">
        <v>717</v>
      </c>
      <c r="I235" s="4"/>
      <c r="M235" s="4"/>
      <c r="N235" s="4"/>
      <c r="O235" s="4"/>
      <c r="P235" s="4"/>
      <c r="Q235" s="4"/>
      <c r="R235" s="4"/>
      <c r="S235" s="4"/>
    </row>
    <row r="236" spans="2:19">
      <c r="B236" s="4"/>
      <c r="C236" s="4"/>
      <c r="F236" s="4"/>
      <c r="G236" s="4" t="s">
        <v>796</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651</v>
      </c>
      <c r="G238" s="4" t="s">
        <v>720</v>
      </c>
      <c r="I238" s="4"/>
      <c r="M238" s="4"/>
      <c r="N238" s="4"/>
      <c r="O238" s="4"/>
      <c r="P238" s="4"/>
      <c r="Q238" s="4"/>
      <c r="R238" s="4"/>
      <c r="S238" s="4"/>
    </row>
    <row r="239" spans="2:19">
      <c r="B239" s="4"/>
      <c r="C239" s="4"/>
      <c r="F239" s="4"/>
      <c r="G239" s="4" t="s">
        <v>685</v>
      </c>
      <c r="H239" s="4" t="s">
        <v>939</v>
      </c>
      <c r="I239" s="4"/>
      <c r="M239" s="4"/>
      <c r="N239" s="4"/>
      <c r="O239" s="4"/>
      <c r="P239" s="4"/>
      <c r="Q239" s="4"/>
      <c r="R239" s="4"/>
      <c r="S239" s="4"/>
    </row>
    <row r="240" spans="2:19">
      <c r="B240" s="4"/>
      <c r="C240" s="4"/>
      <c r="F240" s="4" t="s">
        <v>348</v>
      </c>
      <c r="G240" s="136" t="s">
        <v>721</v>
      </c>
      <c r="I240" s="4"/>
      <c r="M240" s="4"/>
      <c r="N240" s="4"/>
      <c r="O240" s="4"/>
      <c r="P240" s="4"/>
      <c r="Q240" s="4"/>
      <c r="R240" s="4"/>
      <c r="S240" s="4"/>
    </row>
    <row r="241" spans="2:21">
      <c r="B241" s="4"/>
      <c r="C241" s="4"/>
      <c r="E241" t="s">
        <v>119</v>
      </c>
      <c r="F241" s="4" t="s">
        <v>651</v>
      </c>
      <c r="G241" s="136" t="s">
        <v>940</v>
      </c>
      <c r="I241" s="4"/>
      <c r="M241" s="4"/>
      <c r="N241" s="4"/>
      <c r="O241" s="4"/>
      <c r="P241" s="4"/>
      <c r="Q241" s="4"/>
      <c r="R241" s="4"/>
      <c r="S241" s="4"/>
    </row>
    <row r="242" spans="2:21">
      <c r="B242" s="4"/>
      <c r="C242" s="4"/>
      <c r="F242" s="4" t="s">
        <v>348</v>
      </c>
      <c r="G242" s="136" t="s">
        <v>941</v>
      </c>
      <c r="I242" s="4"/>
      <c r="M242" s="4"/>
      <c r="N242" s="4"/>
      <c r="O242" s="4"/>
      <c r="P242" s="4"/>
      <c r="Q242" s="4"/>
      <c r="R242" s="4"/>
      <c r="S242" s="4"/>
    </row>
    <row r="243" spans="2:21">
      <c r="B243" s="4"/>
      <c r="C243" s="4"/>
      <c r="F243" s="4" t="s">
        <v>349</v>
      </c>
      <c r="G243" s="136" t="s">
        <v>718</v>
      </c>
      <c r="I243" s="4"/>
      <c r="M243" s="4"/>
      <c r="N243" s="4"/>
      <c r="O243" s="4"/>
      <c r="P243" s="4"/>
      <c r="Q243" s="4"/>
      <c r="R243" s="4"/>
      <c r="S243" s="4"/>
    </row>
    <row r="244" spans="2:21">
      <c r="B244" s="4"/>
      <c r="C244" s="4"/>
      <c r="F244" s="4"/>
      <c r="G244" s="136" t="s">
        <v>719</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651</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936</v>
      </c>
      <c r="I252" s="4"/>
      <c r="J252" s="4"/>
      <c r="K252" s="4"/>
      <c r="L252" s="4"/>
      <c r="M252" s="4"/>
      <c r="N252" s="4"/>
      <c r="O252" s="4"/>
      <c r="P252" s="4"/>
      <c r="Q252" s="4"/>
      <c r="R252" s="4"/>
      <c r="S252" s="4"/>
      <c r="T252" s="4"/>
      <c r="U252" s="4"/>
    </row>
    <row r="253" spans="2:21">
      <c r="B253" s="2"/>
      <c r="C253" s="2"/>
      <c r="E253" s="4"/>
      <c r="F253" s="204" t="s">
        <v>651</v>
      </c>
      <c r="G253" s="204" t="s">
        <v>809</v>
      </c>
      <c r="I253" s="3"/>
      <c r="K253" s="3"/>
      <c r="L253" s="3"/>
      <c r="M253" s="3"/>
      <c r="N253" s="3"/>
      <c r="O253" s="3"/>
      <c r="Q253" s="4"/>
      <c r="R253" s="4"/>
      <c r="S253" s="4"/>
      <c r="T253" s="4"/>
      <c r="U253" s="4"/>
    </row>
    <row r="254" spans="2:21">
      <c r="B254" s="2"/>
      <c r="C254" s="2"/>
      <c r="E254" s="4"/>
      <c r="F254" s="204"/>
      <c r="G254" s="204" t="s">
        <v>810</v>
      </c>
      <c r="I254" s="3"/>
      <c r="K254" s="3"/>
      <c r="L254" s="3"/>
      <c r="M254" s="3"/>
      <c r="N254" s="3"/>
      <c r="O254" s="3"/>
      <c r="P254" s="3"/>
    </row>
    <row r="255" spans="2:21">
      <c r="B255" s="2"/>
      <c r="C255" s="2"/>
      <c r="E255" s="4"/>
      <c r="F255" s="204" t="s">
        <v>348</v>
      </c>
      <c r="G255" s="204" t="s">
        <v>942</v>
      </c>
      <c r="I255" s="4"/>
      <c r="K255" s="4"/>
      <c r="L255" s="4"/>
      <c r="M255" s="4"/>
      <c r="N255" s="4"/>
      <c r="O255" s="4"/>
      <c r="P255" s="3"/>
    </row>
    <row r="256" spans="2:21">
      <c r="B256" s="2"/>
      <c r="C256" s="2"/>
      <c r="E256" s="4"/>
      <c r="F256" s="204"/>
      <c r="G256" s="204" t="s">
        <v>868</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801</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802</v>
      </c>
      <c r="I262" s="4"/>
      <c r="J262" s="4"/>
      <c r="K262" s="4"/>
      <c r="L262" s="4"/>
      <c r="M262" s="4"/>
      <c r="N262" s="4"/>
      <c r="O262" s="4"/>
      <c r="P262" s="4"/>
      <c r="Q262" s="4"/>
      <c r="R262" s="4"/>
      <c r="S262" s="4"/>
    </row>
    <row r="263" spans="2:21">
      <c r="B263" s="2"/>
      <c r="C263" s="2"/>
      <c r="E263" s="4" t="s">
        <v>580</v>
      </c>
      <c r="F263" s="204" t="s">
        <v>811</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943</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937</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944</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945</v>
      </c>
      <c r="F283" s="120"/>
      <c r="G283" s="4"/>
      <c r="H283" s="120"/>
      <c r="I283" s="120"/>
      <c r="J283" s="4"/>
      <c r="K283" s="4"/>
      <c r="L283" s="4"/>
      <c r="M283" s="4"/>
      <c r="P283" s="4"/>
      <c r="Q283" s="4"/>
      <c r="R283" s="4"/>
      <c r="S283" s="4"/>
    </row>
    <row r="284" spans="2:23">
      <c r="B284" s="2"/>
      <c r="D284" s="2"/>
      <c r="E284" s="449" t="s">
        <v>867</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651</v>
      </c>
      <c r="G291" s="4" t="s">
        <v>260</v>
      </c>
      <c r="K291" s="4"/>
      <c r="L291" s="4"/>
      <c r="M291" s="4"/>
      <c r="N291" s="4"/>
      <c r="O291" s="4"/>
      <c r="P291" s="4"/>
      <c r="Q291" s="4"/>
      <c r="R291" s="4"/>
      <c r="S291" s="4"/>
      <c r="T291" s="4"/>
      <c r="U291" s="4"/>
      <c r="V291" s="4"/>
      <c r="W291" s="4"/>
    </row>
    <row r="292" spans="2:23">
      <c r="B292" s="2"/>
      <c r="D292" s="4"/>
      <c r="E292" s="4"/>
      <c r="F292" s="4" t="s">
        <v>348</v>
      </c>
      <c r="G292" s="4" t="s">
        <v>938</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740</v>
      </c>
      <c r="G297" s="4"/>
      <c r="K297" s="4"/>
      <c r="L297" s="4"/>
      <c r="M297" s="4"/>
      <c r="N297" s="4"/>
      <c r="O297" s="4"/>
      <c r="P297" s="4"/>
      <c r="Q297" s="4"/>
      <c r="R297" s="4"/>
      <c r="S297" s="4"/>
      <c r="T297" s="4"/>
      <c r="U297" s="4"/>
      <c r="V297" s="4"/>
      <c r="W297" s="4"/>
    </row>
    <row r="298" spans="2:23">
      <c r="B298" s="2"/>
      <c r="D298" s="4"/>
      <c r="E298" s="4" t="s">
        <v>761</v>
      </c>
      <c r="F298" s="4" t="s">
        <v>747</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946</v>
      </c>
      <c r="F304" s="4"/>
      <c r="K304" s="4"/>
      <c r="L304" s="4"/>
      <c r="M304" s="4"/>
      <c r="N304" s="4"/>
      <c r="O304" s="4"/>
      <c r="P304" s="4"/>
      <c r="Q304" s="4"/>
      <c r="R304" s="4"/>
      <c r="S304" s="4"/>
      <c r="T304" s="4"/>
      <c r="U304" s="4"/>
      <c r="V304" s="4"/>
      <c r="W304" s="4"/>
    </row>
    <row r="305" spans="2:23">
      <c r="B305" s="2"/>
      <c r="D305" s="2"/>
      <c r="E305" s="4" t="s">
        <v>944</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797</v>
      </c>
      <c r="F310" s="4"/>
      <c r="G310" s="4"/>
      <c r="I310" s="4"/>
      <c r="K310" s="4"/>
    </row>
    <row r="311" spans="2:23">
      <c r="B311" s="2"/>
      <c r="D311" s="2"/>
      <c r="E311" s="4" t="s">
        <v>947</v>
      </c>
      <c r="F311" s="4"/>
      <c r="G311" s="4"/>
      <c r="I311" s="4"/>
      <c r="K311" s="4"/>
    </row>
    <row r="312" spans="2:23">
      <c r="B312" s="2"/>
      <c r="D312" s="2"/>
      <c r="E312" s="4" t="s">
        <v>798</v>
      </c>
      <c r="F312" s="4"/>
      <c r="G312" s="4"/>
      <c r="I312" s="4"/>
      <c r="K312" s="4"/>
    </row>
    <row r="313" spans="2:23">
      <c r="B313" s="2"/>
      <c r="D313" s="2"/>
      <c r="G313" s="4"/>
      <c r="I313" s="4"/>
      <c r="K313" s="4"/>
    </row>
    <row r="314" spans="2:23">
      <c r="B314" s="2"/>
      <c r="D314" s="2" t="s">
        <v>341</v>
      </c>
      <c r="E314" s="2" t="s">
        <v>749</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733</v>
      </c>
      <c r="F317" s="3"/>
      <c r="G317" s="4"/>
      <c r="H317" s="4"/>
      <c r="I317" s="4"/>
      <c r="J317" s="4"/>
      <c r="K317" s="4"/>
      <c r="L317" s="4"/>
      <c r="M317" s="4"/>
      <c r="N317" s="4"/>
      <c r="O317" s="4"/>
      <c r="P317" s="4"/>
      <c r="Q317" s="4"/>
      <c r="R317" s="4"/>
      <c r="S317" s="4"/>
    </row>
    <row r="318" spans="2:23">
      <c r="B318" s="2"/>
      <c r="E318" t="s">
        <v>730</v>
      </c>
      <c r="I318" s="4"/>
      <c r="J318" s="4"/>
      <c r="K318" s="4"/>
      <c r="L318" s="4"/>
      <c r="M318" s="4"/>
      <c r="N318" s="4"/>
      <c r="O318" s="4"/>
      <c r="P318" s="4"/>
      <c r="Q318" s="4"/>
      <c r="R318" s="4"/>
      <c r="S318" s="4"/>
    </row>
    <row r="319" spans="2:23">
      <c r="B319" s="2"/>
      <c r="E319" t="s">
        <v>731</v>
      </c>
      <c r="I319" s="4"/>
      <c r="J319" s="4"/>
      <c r="K319" s="4"/>
      <c r="L319" s="4"/>
      <c r="M319" s="4"/>
      <c r="N319" s="4"/>
      <c r="O319" s="4"/>
      <c r="P319" s="4"/>
      <c r="Q319" s="4"/>
      <c r="R319" s="4"/>
      <c r="S319" s="4"/>
    </row>
    <row r="320" spans="2:23">
      <c r="B320" s="2"/>
      <c r="E320" t="s">
        <v>732</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948</v>
      </c>
      <c r="J324" s="4"/>
      <c r="K324" s="4"/>
      <c r="L324" s="4"/>
      <c r="M324" s="4"/>
      <c r="N324" s="4"/>
      <c r="O324" s="4"/>
      <c r="P324" s="4"/>
      <c r="Q324" s="4"/>
      <c r="R324" s="4"/>
      <c r="S324" s="4"/>
    </row>
    <row r="325" spans="1:38">
      <c r="E325" s="4" t="s">
        <v>113</v>
      </c>
      <c r="F325" t="s">
        <v>734</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737</v>
      </c>
      <c r="J333" s="4"/>
      <c r="K333" s="4"/>
      <c r="L333" s="4"/>
      <c r="M333" s="4"/>
      <c r="N333" s="4"/>
      <c r="O333" s="4"/>
      <c r="P333" s="4"/>
      <c r="Q333" s="4"/>
      <c r="R333" s="4"/>
      <c r="S333" s="4"/>
    </row>
    <row r="334" spans="1:38">
      <c r="B334" s="2"/>
      <c r="E334" s="4"/>
      <c r="F334" s="4" t="s">
        <v>738</v>
      </c>
      <c r="J334" s="4"/>
      <c r="K334" s="4"/>
      <c r="L334" s="4"/>
      <c r="M334" s="4"/>
      <c r="N334" s="4"/>
      <c r="O334" s="4"/>
      <c r="P334" s="4"/>
      <c r="Q334" s="4"/>
      <c r="R334" s="4"/>
      <c r="S334" s="4"/>
    </row>
    <row r="335" spans="1:38">
      <c r="B335" s="2"/>
      <c r="E335" s="4"/>
      <c r="F335" s="4" t="s">
        <v>739</v>
      </c>
      <c r="I335" s="4"/>
      <c r="J335" s="4"/>
      <c r="K335" s="4"/>
      <c r="L335" s="4"/>
      <c r="M335" s="4"/>
      <c r="N335" s="4"/>
      <c r="O335" s="4"/>
      <c r="P335" s="4"/>
      <c r="Q335" s="4"/>
      <c r="R335" s="4"/>
      <c r="S335" s="4"/>
    </row>
    <row r="336" spans="1:38">
      <c r="B336" s="2"/>
      <c r="E336" s="4" t="s">
        <v>113</v>
      </c>
      <c r="F336" s="1260" t="s">
        <v>1153</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1226</v>
      </c>
      <c r="I340" s="2"/>
      <c r="J340" s="4"/>
      <c r="K340" s="4"/>
      <c r="L340" s="4"/>
      <c r="M340" s="4"/>
      <c r="N340" s="4"/>
      <c r="O340" s="4"/>
      <c r="P340" s="4"/>
      <c r="Q340" s="4"/>
      <c r="R340" s="4"/>
      <c r="S340" s="4"/>
    </row>
    <row r="341" spans="2:37" ht="13.15" customHeight="1">
      <c r="B341" s="2"/>
      <c r="E341" s="1265" t="s">
        <v>1233</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1235</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1234</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750</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1216</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741</v>
      </c>
      <c r="I359" s="4"/>
      <c r="J359" s="4"/>
      <c r="K359" s="4"/>
      <c r="L359" s="4"/>
      <c r="M359" s="4"/>
      <c r="N359" s="4"/>
      <c r="O359" s="4"/>
      <c r="P359" s="4"/>
      <c r="Q359" s="4"/>
      <c r="R359" s="4"/>
      <c r="S359" s="4"/>
    </row>
    <row r="360" spans="1:38">
      <c r="B360" s="2"/>
      <c r="F360" s="4" t="s">
        <v>742</v>
      </c>
      <c r="I360" s="4"/>
      <c r="J360" s="4"/>
      <c r="K360" s="4"/>
      <c r="L360" s="4"/>
      <c r="M360" s="4"/>
      <c r="N360" s="4"/>
      <c r="O360" s="4"/>
      <c r="P360" s="4"/>
      <c r="Q360" s="4"/>
      <c r="R360" s="4"/>
      <c r="S360" s="4"/>
    </row>
    <row r="361" spans="1:38">
      <c r="B361" s="2"/>
      <c r="F361" s="4" t="s">
        <v>870</v>
      </c>
      <c r="G361" s="4"/>
      <c r="K361" s="4"/>
      <c r="L361" s="4"/>
      <c r="M361" s="4"/>
      <c r="N361" s="4"/>
      <c r="O361" s="4"/>
      <c r="P361" s="4"/>
      <c r="Q361" s="4"/>
      <c r="R361" s="4"/>
      <c r="S361" s="4"/>
    </row>
    <row r="362" spans="1:38">
      <c r="B362" s="2"/>
      <c r="E362" t="s">
        <v>113</v>
      </c>
      <c r="F362" s="4" t="s">
        <v>869</v>
      </c>
      <c r="I362" s="4"/>
      <c r="J362" s="4"/>
      <c r="K362" s="4"/>
      <c r="L362" s="4"/>
      <c r="M362" s="4"/>
      <c r="N362" s="4"/>
      <c r="O362" s="4"/>
      <c r="P362" s="4"/>
      <c r="Q362" s="4"/>
      <c r="R362" s="4"/>
      <c r="S362" s="4"/>
    </row>
    <row r="363" spans="1:38">
      <c r="B363" s="2"/>
      <c r="E363" t="s">
        <v>119</v>
      </c>
      <c r="F363" s="4" t="s">
        <v>743</v>
      </c>
      <c r="I363" s="4"/>
      <c r="J363" s="4"/>
      <c r="K363" s="4"/>
      <c r="L363" s="4"/>
      <c r="M363" s="4"/>
      <c r="N363" s="4"/>
      <c r="O363" s="4"/>
      <c r="P363" s="4"/>
      <c r="Q363" s="4"/>
      <c r="R363" s="4"/>
      <c r="S363" s="4"/>
    </row>
    <row r="364" spans="1:38">
      <c r="B364" s="2"/>
      <c r="F364" s="4" t="s">
        <v>744</v>
      </c>
      <c r="J364" s="4"/>
      <c r="K364" s="4"/>
      <c r="L364" s="4"/>
      <c r="M364" s="4"/>
      <c r="N364" s="4"/>
      <c r="O364" s="4"/>
      <c r="P364" s="4"/>
      <c r="Q364" s="4"/>
      <c r="R364" s="4"/>
      <c r="S364" s="4"/>
    </row>
    <row r="365" spans="1:38">
      <c r="B365" s="2"/>
      <c r="E365" s="1268" t="s">
        <v>1224</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1256</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567</v>
      </c>
      <c r="J370" s="4"/>
      <c r="K370" s="4"/>
      <c r="L370" s="4"/>
      <c r="M370" s="4"/>
      <c r="N370" s="4"/>
      <c r="O370" s="4"/>
      <c r="P370" s="4"/>
      <c r="Q370" s="4"/>
      <c r="R370" s="4"/>
      <c r="S370" s="4"/>
    </row>
    <row r="371" spans="1:38">
      <c r="B371" s="2"/>
      <c r="E371" s="4" t="s">
        <v>745</v>
      </c>
      <c r="F371" s="4"/>
      <c r="G371" s="4"/>
      <c r="H371" s="4"/>
      <c r="I371" s="4"/>
      <c r="J371" s="4"/>
      <c r="K371" s="4"/>
      <c r="L371" s="4"/>
      <c r="M371" s="4"/>
      <c r="N371" s="4"/>
      <c r="O371" s="4"/>
      <c r="P371" s="4"/>
      <c r="Q371" s="4"/>
      <c r="R371" s="4"/>
      <c r="S371" s="4"/>
    </row>
    <row r="372" spans="1:38">
      <c r="B372" s="2"/>
      <c r="E372" s="4" t="s">
        <v>746</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1257</v>
      </c>
      <c r="J379" s="3"/>
      <c r="K379" s="3"/>
      <c r="L379" s="3"/>
      <c r="M379" s="3"/>
      <c r="N379" s="3"/>
      <c r="O379" s="3"/>
      <c r="P379" s="3"/>
      <c r="Q379" s="3"/>
      <c r="R379" s="3"/>
      <c r="S379" s="3"/>
    </row>
    <row r="380" spans="1:38">
      <c r="B380" s="2"/>
      <c r="D380" s="2"/>
      <c r="E380" s="3" t="s">
        <v>745</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1267</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1273</v>
      </c>
      <c r="F390" s="3"/>
      <c r="G390" s="2"/>
      <c r="I390" s="120"/>
      <c r="J390" s="3"/>
      <c r="K390" s="3"/>
      <c r="L390" s="3"/>
      <c r="M390" s="3"/>
      <c r="N390" s="3"/>
      <c r="O390" s="3"/>
      <c r="P390" s="3"/>
      <c r="Q390" s="3"/>
      <c r="R390" s="3"/>
      <c r="S390" s="3"/>
    </row>
    <row r="391" spans="1:38" ht="13.15" customHeight="1">
      <c r="B391" s="2"/>
      <c r="D391" s="2"/>
      <c r="E391" s="3" t="s">
        <v>1272</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1154</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1866</v>
      </c>
      <c r="B1" s="1275"/>
      <c r="C1" s="1275"/>
      <c r="D1" s="1275"/>
      <c r="E1" s="1275"/>
      <c r="F1" s="1275"/>
      <c r="G1" s="1275"/>
      <c r="H1" s="1275"/>
      <c r="I1" s="1275"/>
      <c r="J1" s="1275"/>
    </row>
    <row r="2" spans="1:10" ht="15.25">
      <c r="A2" s="1278" t="s">
        <v>1266</v>
      </c>
      <c r="B2" s="1279"/>
      <c r="C2" s="1279"/>
      <c r="D2" s="1279"/>
      <c r="E2" s="1279"/>
      <c r="F2" s="1279"/>
      <c r="G2" s="1279"/>
      <c r="H2" s="1279"/>
      <c r="I2" s="1279"/>
      <c r="J2" s="1279"/>
    </row>
    <row r="3" spans="1:10" ht="13"/>
    <row r="4" spans="1:10" ht="12.75" customHeight="1">
      <c r="A4" s="1276" t="s">
        <v>2044</v>
      </c>
      <c r="B4" s="1276"/>
      <c r="C4" s="1276"/>
      <c r="D4" s="1276"/>
      <c r="E4" s="1276"/>
      <c r="F4" s="1276"/>
      <c r="G4" s="1276"/>
      <c r="H4" s="1276"/>
      <c r="I4" s="1276"/>
      <c r="J4" s="1276"/>
    </row>
    <row r="5" spans="1:10" ht="1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3"/>
    <row r="10" spans="1:10" ht="12.75" customHeight="1">
      <c r="A10" s="1280" t="s">
        <v>1871</v>
      </c>
      <c r="B10" s="1280"/>
      <c r="C10" s="1280"/>
      <c r="D10" s="1280"/>
      <c r="E10" s="1280"/>
      <c r="F10" s="1280"/>
      <c r="G10" s="1280"/>
      <c r="H10" s="1280"/>
      <c r="I10" s="1280"/>
      <c r="J10" s="1280"/>
    </row>
    <row r="11" spans="1:10" ht="13">
      <c r="A11" s="1280"/>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524"/>
      <c r="B16" s="524"/>
      <c r="C16" s="524"/>
      <c r="D16" s="524"/>
      <c r="E16" s="524"/>
      <c r="F16" s="524"/>
      <c r="G16" s="524"/>
      <c r="H16" s="524"/>
      <c r="I16" s="524"/>
      <c r="J16" s="524"/>
    </row>
    <row r="17" spans="1:10" ht="13">
      <c r="A17" s="476" t="s">
        <v>1870</v>
      </c>
      <c r="B17" s="416"/>
      <c r="C17" s="416"/>
      <c r="D17" s="416"/>
      <c r="E17" s="416"/>
      <c r="F17" s="416"/>
      <c r="G17" s="416"/>
      <c r="H17" s="416"/>
      <c r="I17" s="416"/>
      <c r="J17" s="416"/>
    </row>
    <row r="18" spans="1:10" ht="13">
      <c r="A18" s="416" t="s">
        <v>250</v>
      </c>
      <c r="B18" s="416"/>
      <c r="C18" s="416"/>
      <c r="D18" s="416"/>
      <c r="E18" s="416"/>
      <c r="F18" s="416"/>
      <c r="G18" s="416"/>
      <c r="H18" s="416"/>
      <c r="I18" s="416"/>
      <c r="J18" s="416"/>
    </row>
    <row r="19" spans="1:10" ht="13">
      <c r="A19" s="1279" t="s">
        <v>1187</v>
      </c>
      <c r="B19" s="1279"/>
      <c r="C19" s="1279"/>
      <c r="D19" s="1279"/>
      <c r="E19" s="1279"/>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6" t="s">
        <v>1188</v>
      </c>
      <c r="B56" s="1276"/>
      <c r="C56" s="1276"/>
      <c r="D56" s="1276"/>
      <c r="E56" s="1276"/>
      <c r="F56" s="1276"/>
      <c r="G56" s="1276"/>
      <c r="H56" s="1276"/>
      <c r="I56" s="1276"/>
      <c r="J56" s="1276"/>
    </row>
    <row r="57" spans="1:10" ht="13">
      <c r="A57" s="1276"/>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row r="60" spans="1:10" ht="13">
      <c r="A60" s="402" t="s">
        <v>1187</v>
      </c>
    </row>
    <row r="61" spans="1:10" ht="13"/>
    <row r="62" spans="1:10" ht="13"/>
    <row r="63" spans="1:10" ht="13"/>
    <row r="64" spans="1:10" ht="13"/>
    <row r="65" spans="1:9" ht="13"/>
    <row r="66" spans="1:9" ht="13"/>
    <row r="67" spans="1:9" ht="13"/>
    <row r="68" spans="1:9" ht="13"/>
    <row r="69" spans="1:9" ht="13"/>
    <row r="70" spans="1:9" ht="13"/>
    <row r="71" spans="1:9" ht="13">
      <c r="A71" s="1277" t="s">
        <v>1867</v>
      </c>
      <c r="B71" s="1277"/>
      <c r="C71" s="1277"/>
      <c r="D71" s="1277"/>
      <c r="E71" s="1277"/>
      <c r="F71" s="1277"/>
      <c r="G71" s="1277"/>
      <c r="H71" s="1277"/>
      <c r="I71" s="1277"/>
    </row>
    <row r="72" spans="1:9" ht="13">
      <c r="A72" s="1267" t="s">
        <v>2042</v>
      </c>
      <c r="B72" s="1267"/>
      <c r="C72" s="1267"/>
      <c r="D72" s="1267"/>
      <c r="E72" s="1267"/>
    </row>
    <row r="73" spans="1:9" ht="13">
      <c r="A73" s="1267" t="s">
        <v>2043</v>
      </c>
      <c r="B73" s="1267"/>
      <c r="C73" s="1267"/>
      <c r="D73" s="1267"/>
      <c r="E73" s="1267"/>
    </row>
    <row r="74" spans="1:9" ht="13">
      <c r="A74" s="1267" t="s">
        <v>1868</v>
      </c>
      <c r="B74" s="1267"/>
      <c r="C74" s="1267"/>
      <c r="D74" s="1267"/>
      <c r="E74" s="1267"/>
    </row>
    <row r="75" spans="1:9" ht="13"/>
    <row r="76" spans="1:9" ht="13"/>
    <row r="77" spans="1:9" ht="13"/>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81640625" style="402" hidden="1" customWidth="1"/>
    <col min="11" max="16384" width="8.81640625" style="402" hidden="1"/>
  </cols>
  <sheetData>
    <row r="1" spans="1:13"/>
    <row r="2" spans="1:13">
      <c r="A2" s="1281" t="s">
        <v>2455</v>
      </c>
      <c r="B2" s="1281"/>
      <c r="C2" s="1281"/>
      <c r="D2" s="1281"/>
      <c r="E2" s="1281"/>
      <c r="F2" s="1281"/>
      <c r="G2" s="1281"/>
      <c r="H2" s="1281"/>
      <c r="I2" s="1281"/>
    </row>
    <row r="3" spans="1:13">
      <c r="A3" s="1282" t="s">
        <v>2216</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2215</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1099</v>
      </c>
      <c r="B9" s="1286"/>
      <c r="C9" s="1286"/>
      <c r="D9" s="1286"/>
      <c r="E9" s="1286"/>
      <c r="F9" s="1286"/>
      <c r="G9" s="1286"/>
      <c r="H9" s="1028"/>
      <c r="I9" s="1029"/>
    </row>
    <row r="10" spans="1:13">
      <c r="A10" s="482"/>
      <c r="B10" s="482"/>
      <c r="E10" s="404"/>
    </row>
    <row r="11" spans="1:13" ht="13.75" customHeight="1">
      <c r="C11" s="482"/>
      <c r="D11" s="1305" t="s">
        <v>1098</v>
      </c>
      <c r="E11" s="1305"/>
      <c r="F11" s="1305"/>
    </row>
    <row r="12" spans="1:13">
      <c r="C12" s="482"/>
      <c r="D12" s="1305"/>
      <c r="E12" s="1305"/>
      <c r="F12" s="1305"/>
    </row>
    <row r="13" spans="1:13">
      <c r="A13" s="483"/>
      <c r="B13" s="483"/>
      <c r="C13" s="483"/>
      <c r="D13" s="1284" t="s">
        <v>1088</v>
      </c>
      <c r="E13" s="1284"/>
      <c r="F13" s="1284"/>
      <c r="M13" s="96"/>
    </row>
    <row r="14" spans="1:13">
      <c r="A14" s="483"/>
      <c r="B14" s="483"/>
      <c r="C14" s="483"/>
      <c r="D14" s="476"/>
      <c r="L14" s="312"/>
    </row>
    <row r="15" spans="1:13">
      <c r="A15" s="484"/>
      <c r="B15" s="485" t="s">
        <v>2760</v>
      </c>
      <c r="C15" s="483"/>
      <c r="D15" s="1283" t="s">
        <v>1919</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1917</v>
      </c>
      <c r="F18" s="445"/>
      <c r="I18" s="490"/>
    </row>
    <row r="19" spans="1:9">
      <c r="A19" s="483"/>
      <c r="B19" s="483"/>
      <c r="C19" s="483"/>
      <c r="I19" s="490"/>
    </row>
    <row r="20" spans="1:9">
      <c r="A20" s="484"/>
      <c r="B20" s="485" t="s">
        <v>2760</v>
      </c>
      <c r="D20" s="1283" t="s">
        <v>1920</v>
      </c>
      <c r="E20" s="1283"/>
      <c r="F20" s="1283"/>
      <c r="I20" s="490"/>
    </row>
    <row r="21" spans="1:9">
      <c r="A21" s="484"/>
      <c r="D21" s="1283"/>
      <c r="E21" s="1283"/>
      <c r="F21" s="1283"/>
      <c r="I21" s="490"/>
    </row>
    <row r="22" spans="1:9">
      <c r="A22" s="484"/>
      <c r="D22" s="392"/>
      <c r="E22" s="96" t="s">
        <v>1916</v>
      </c>
      <c r="F22" s="392"/>
      <c r="I22" s="490"/>
    </row>
    <row r="23" spans="1:9">
      <c r="A23" s="484"/>
      <c r="B23" s="484"/>
      <c r="D23" s="446"/>
      <c r="I23" s="490"/>
    </row>
    <row r="24" spans="1:9">
      <c r="A24" s="484"/>
      <c r="B24" s="485" t="s">
        <v>2663</v>
      </c>
      <c r="D24" s="1283" t="s">
        <v>1089</v>
      </c>
      <c r="E24" s="1283"/>
      <c r="F24" s="1283"/>
      <c r="I24" s="490"/>
    </row>
    <row r="25" spans="1:9">
      <c r="A25" s="484"/>
      <c r="B25" s="484"/>
      <c r="D25" s="1283"/>
      <c r="E25" s="1283"/>
      <c r="F25" s="1283"/>
      <c r="I25" s="490"/>
    </row>
    <row r="26" spans="1:9">
      <c r="I26" s="490"/>
    </row>
    <row r="27" spans="1:9">
      <c r="A27" s="484"/>
      <c r="B27" s="485" t="s">
        <v>2760</v>
      </c>
      <c r="D27" s="1283" t="s">
        <v>2045</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2663</v>
      </c>
      <c r="D33" s="1283" t="s">
        <v>2046</v>
      </c>
      <c r="E33" s="1283"/>
      <c r="F33" s="1283"/>
      <c r="I33" s="490"/>
    </row>
    <row r="34" spans="1:9">
      <c r="D34" s="1283"/>
      <c r="E34" s="1283"/>
      <c r="F34" s="1283"/>
      <c r="I34" s="490"/>
    </row>
    <row r="35" spans="1:9">
      <c r="A35" s="484"/>
      <c r="B35" s="484"/>
      <c r="D35" s="447"/>
      <c r="I35" s="490"/>
    </row>
    <row r="36" spans="1:9" ht="14.5" customHeight="1">
      <c r="A36" s="484"/>
      <c r="B36" s="485" t="s">
        <v>2663</v>
      </c>
      <c r="D36" s="1283" t="s">
        <v>1212</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2663</v>
      </c>
      <c r="D41" s="1283" t="s">
        <v>1090</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2760</v>
      </c>
      <c r="D47" s="1283" t="s">
        <v>1091</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2663</v>
      </c>
      <c r="D52" s="1283" t="s">
        <v>1092</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2760</v>
      </c>
      <c r="D56" s="1307" t="s">
        <v>1093</v>
      </c>
      <c r="E56" s="1307"/>
      <c r="F56" s="1307"/>
      <c r="I56" s="490"/>
    </row>
    <row r="57" spans="1:9">
      <c r="A57" s="484"/>
      <c r="B57" s="484"/>
      <c r="D57" s="1307"/>
      <c r="E57" s="1307"/>
      <c r="F57" s="1307"/>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2663</v>
      </c>
      <c r="D61" s="1283" t="s">
        <v>1094</v>
      </c>
      <c r="E61" s="1283"/>
      <c r="F61" s="1283"/>
      <c r="I61" s="490"/>
    </row>
    <row r="62" spans="1:9">
      <c r="D62" s="1283"/>
      <c r="E62" s="1283"/>
      <c r="F62" s="1283"/>
      <c r="I62" s="490"/>
    </row>
    <row r="63" spans="1:9">
      <c r="D63" s="1283"/>
      <c r="E63" s="1283"/>
      <c r="F63" s="1283"/>
      <c r="I63" s="490"/>
    </row>
    <row r="64" spans="1:9">
      <c r="I64" s="490"/>
    </row>
    <row r="65" spans="1:9">
      <c r="A65" s="484"/>
      <c r="B65" s="485" t="s">
        <v>2663</v>
      </c>
      <c r="D65" s="1283" t="s">
        <v>1095</v>
      </c>
      <c r="E65" s="1283"/>
      <c r="F65" s="1283"/>
      <c r="I65" s="490"/>
    </row>
    <row r="66" spans="1:9">
      <c r="D66" s="1283"/>
      <c r="E66" s="1283"/>
      <c r="F66" s="1283"/>
      <c r="I66" s="490"/>
    </row>
    <row r="67" spans="1:9">
      <c r="I67" s="490"/>
    </row>
    <row r="68" spans="1:9">
      <c r="A68" s="484"/>
      <c r="B68" s="485" t="s">
        <v>2760</v>
      </c>
      <c r="D68" s="1283" t="s">
        <v>1096</v>
      </c>
      <c r="E68" s="1283"/>
      <c r="F68" s="1283"/>
      <c r="I68" s="490"/>
    </row>
    <row r="69" spans="1:9">
      <c r="D69" s="1283"/>
      <c r="E69" s="1283"/>
      <c r="F69" s="1283"/>
      <c r="I69" s="490"/>
    </row>
    <row r="70" spans="1:9">
      <c r="D70" s="1283"/>
      <c r="E70" s="1283"/>
      <c r="F70" s="1283"/>
      <c r="I70" s="490"/>
    </row>
    <row r="71" spans="1:9">
      <c r="I71" s="490"/>
    </row>
    <row r="72" spans="1:9">
      <c r="A72" s="484"/>
      <c r="B72" s="485" t="s">
        <v>2760</v>
      </c>
      <c r="D72" s="1283" t="s">
        <v>1097</v>
      </c>
      <c r="E72" s="1283"/>
      <c r="F72" s="1283"/>
      <c r="I72" s="490"/>
    </row>
    <row r="73" spans="1:9">
      <c r="D73" s="1283"/>
      <c r="E73" s="1283"/>
      <c r="F73" s="1283"/>
      <c r="I73" s="490"/>
    </row>
    <row r="74" spans="1:9">
      <c r="A74" s="484"/>
      <c r="B74" s="484"/>
      <c r="D74" s="446"/>
      <c r="I74" s="490"/>
    </row>
    <row r="75" spans="1:9">
      <c r="A75" s="1286" t="s">
        <v>1042</v>
      </c>
      <c r="B75" s="1286"/>
      <c r="C75" s="1286"/>
      <c r="D75" s="1286"/>
      <c r="E75" s="1286"/>
      <c r="F75" s="1286"/>
      <c r="G75" s="1286"/>
      <c r="H75" s="1028"/>
      <c r="I75" s="1153"/>
    </row>
    <row r="76" spans="1:9">
      <c r="I76" s="490"/>
    </row>
    <row r="77" spans="1:9">
      <c r="C77" s="486"/>
      <c r="D77" s="1285" t="s">
        <v>1100</v>
      </c>
      <c r="E77" s="1285"/>
      <c r="F77" s="1285"/>
      <c r="I77" s="490"/>
    </row>
    <row r="78" spans="1:9">
      <c r="A78" s="446"/>
      <c r="B78" s="446"/>
      <c r="D78" s="1283" t="s">
        <v>1115</v>
      </c>
      <c r="E78" s="1283"/>
      <c r="F78" s="1283"/>
      <c r="I78" s="490"/>
    </row>
    <row r="79" spans="1:9">
      <c r="A79" s="446"/>
      <c r="B79" s="446"/>
      <c r="I79" s="490"/>
    </row>
    <row r="80" spans="1:9" ht="13.75" customHeight="1">
      <c r="A80" s="484"/>
      <c r="B80" s="485" t="s">
        <v>2760</v>
      </c>
      <c r="D80" s="1283" t="s">
        <v>1243</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2760</v>
      </c>
      <c r="D89" s="1283" t="s">
        <v>1740</v>
      </c>
      <c r="E89" s="1283"/>
      <c r="F89" s="1283"/>
      <c r="I89" s="490"/>
    </row>
    <row r="90" spans="1:9">
      <c r="A90" s="484"/>
      <c r="B90" s="484"/>
      <c r="D90" s="1283"/>
      <c r="E90" s="1283"/>
      <c r="F90" s="1283"/>
      <c r="I90" s="490"/>
    </row>
    <row r="91" spans="1:9">
      <c r="A91" s="484"/>
      <c r="B91" s="484"/>
      <c r="D91" s="445"/>
      <c r="E91" s="445"/>
      <c r="F91" s="445"/>
      <c r="I91" s="490"/>
    </row>
    <row r="92" spans="1:9">
      <c r="A92" s="484"/>
      <c r="B92" s="485" t="s">
        <v>2760</v>
      </c>
      <c r="D92" s="1283" t="s">
        <v>1743</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2760</v>
      </c>
      <c r="D96" s="1283" t="s">
        <v>1742</v>
      </c>
      <c r="E96" s="1283"/>
      <c r="F96" s="1283"/>
      <c r="I96" s="490"/>
    </row>
    <row r="97" spans="1:9" s="987" customFormat="1">
      <c r="A97" s="985"/>
      <c r="B97" s="985"/>
      <c r="C97" s="986"/>
      <c r="D97" s="1283"/>
      <c r="E97" s="1283"/>
      <c r="F97" s="1283"/>
      <c r="I97" s="1154"/>
    </row>
    <row r="98" spans="1:9">
      <c r="A98" s="484"/>
      <c r="B98" s="484"/>
      <c r="D98" s="392"/>
      <c r="E98" s="312" t="s">
        <v>1921</v>
      </c>
      <c r="F98" s="445"/>
      <c r="I98" s="490"/>
    </row>
    <row r="99" spans="1:9">
      <c r="A99" s="484"/>
      <c r="B99" s="484"/>
      <c r="D99" s="385"/>
      <c r="E99" s="385"/>
      <c r="F99" s="385"/>
      <c r="I99" s="490"/>
    </row>
    <row r="100" spans="1:9">
      <c r="A100" s="484"/>
      <c r="B100" s="485" t="s">
        <v>2663</v>
      </c>
      <c r="D100" s="1283" t="s">
        <v>1741</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2663</v>
      </c>
      <c r="D103" s="1283" t="s">
        <v>1192</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2663</v>
      </c>
      <c r="D119" s="1303" t="s">
        <v>1101</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2760</v>
      </c>
      <c r="C128" s="402"/>
      <c r="D128" s="1303" t="s">
        <v>2047</v>
      </c>
      <c r="E128" s="1303"/>
      <c r="F128" s="1303"/>
      <c r="I128" s="490"/>
    </row>
    <row r="129" spans="1:9">
      <c r="A129" s="484"/>
      <c r="B129" s="484"/>
      <c r="C129" s="402"/>
      <c r="D129" s="1303"/>
      <c r="E129" s="1303"/>
      <c r="F129" s="1303"/>
      <c r="I129" s="490"/>
    </row>
    <row r="130" spans="1:9">
      <c r="I130" s="490"/>
    </row>
    <row r="131" spans="1:9">
      <c r="A131" s="484"/>
      <c r="B131" s="485" t="s">
        <v>2663</v>
      </c>
      <c r="D131" s="1283" t="s">
        <v>1102</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2760</v>
      </c>
      <c r="D137" s="1283" t="s">
        <v>1103</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2760</v>
      </c>
      <c r="D151" s="1283" t="s">
        <v>1175</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2070</v>
      </c>
      <c r="E169" s="1304"/>
      <c r="F169" s="1304"/>
      <c r="G169" s="507"/>
      <c r="I169" s="490"/>
    </row>
    <row r="170" spans="1:9" ht="13.75" customHeight="1">
      <c r="D170" s="1295"/>
      <c r="E170" s="1295"/>
      <c r="F170" s="1295"/>
      <c r="G170" s="1295"/>
      <c r="I170" s="490"/>
    </row>
    <row r="171" spans="1:9" ht="14.5" customHeight="1">
      <c r="A171" s="489"/>
      <c r="B171" s="485" t="s">
        <v>2663</v>
      </c>
      <c r="C171" s="476"/>
      <c r="D171" s="1263" t="s">
        <v>2210</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2760</v>
      </c>
      <c r="C177" s="476"/>
      <c r="D177" s="1263" t="s">
        <v>1104</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2663</v>
      </c>
      <c r="D182" s="1287" t="s">
        <v>2048</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2049</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1872</v>
      </c>
      <c r="C189" s="392"/>
      <c r="D189" s="392"/>
      <c r="E189" s="392"/>
      <c r="F189" s="392"/>
      <c r="I189" s="490"/>
    </row>
    <row r="190" spans="1:9" ht="12" customHeight="1">
      <c r="A190" s="482"/>
      <c r="B190" s="482"/>
      <c r="C190" s="482"/>
      <c r="I190" s="490"/>
    </row>
    <row r="191" spans="1:9">
      <c r="A191" s="1286" t="s">
        <v>1043</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1744</v>
      </c>
      <c r="E193" s="1285"/>
      <c r="F193" s="1285"/>
      <c r="I193" s="490"/>
    </row>
    <row r="194" spans="1:9">
      <c r="A194" s="404"/>
      <c r="B194" s="404"/>
      <c r="D194" s="1285"/>
      <c r="E194" s="1285"/>
      <c r="F194" s="1285"/>
      <c r="I194" s="490"/>
    </row>
    <row r="195" spans="1:9">
      <c r="A195" s="404"/>
      <c r="B195" s="404"/>
      <c r="D195" s="1289" t="s">
        <v>1193</v>
      </c>
      <c r="E195" s="1289"/>
      <c r="F195" s="1289"/>
      <c r="I195" s="490"/>
    </row>
    <row r="196" spans="1:9">
      <c r="A196" s="404"/>
      <c r="B196" s="404"/>
      <c r="D196" s="392"/>
      <c r="E196" s="392"/>
      <c r="F196" s="392"/>
      <c r="I196" s="490"/>
    </row>
    <row r="197" spans="1:9">
      <c r="A197" s="404"/>
      <c r="B197" s="485" t="s">
        <v>2760</v>
      </c>
      <c r="D197" s="1300" t="s">
        <v>1745</v>
      </c>
      <c r="E197" s="1300"/>
      <c r="F197" s="1300"/>
      <c r="I197" s="490"/>
    </row>
    <row r="198" spans="1:9">
      <c r="A198" s="404"/>
      <c r="B198" s="404"/>
      <c r="D198" s="1301" t="s">
        <v>1899</v>
      </c>
      <c r="E198" s="1301"/>
      <c r="F198" s="1301"/>
      <c r="I198" s="490"/>
    </row>
    <row r="199" spans="1:9">
      <c r="A199" s="404"/>
      <c r="B199" s="404"/>
      <c r="D199" s="96" t="s">
        <v>1746</v>
      </c>
      <c r="E199" s="1302" t="s">
        <v>1922</v>
      </c>
      <c r="F199" s="1302"/>
      <c r="I199" s="490"/>
    </row>
    <row r="200" spans="1:9">
      <c r="A200" s="404"/>
      <c r="B200" s="404"/>
      <c r="D200" s="3"/>
      <c r="E200" s="3"/>
      <c r="F200" s="3"/>
      <c r="I200" s="490"/>
    </row>
    <row r="201" spans="1:9">
      <c r="A201" s="404"/>
      <c r="B201" s="485" t="s">
        <v>2663</v>
      </c>
      <c r="D201" s="1301" t="s">
        <v>1747</v>
      </c>
      <c r="E201" s="1301"/>
      <c r="F201" s="1301"/>
      <c r="I201" s="490"/>
    </row>
    <row r="202" spans="1:9">
      <c r="A202" s="404"/>
      <c r="B202" s="404"/>
      <c r="D202" s="1300" t="s">
        <v>1899</v>
      </c>
      <c r="E202" s="1300"/>
      <c r="F202" s="1300"/>
      <c r="I202" s="490"/>
    </row>
    <row r="203" spans="1:9">
      <c r="A203" s="404"/>
      <c r="B203" s="404"/>
      <c r="D203" s="57" t="s">
        <v>1748</v>
      </c>
      <c r="E203" s="1302" t="s">
        <v>1923</v>
      </c>
      <c r="F203" s="1302"/>
      <c r="I203" s="490"/>
    </row>
    <row r="204" spans="1:9">
      <c r="A204" s="404"/>
      <c r="B204" s="404"/>
      <c r="D204" s="3"/>
      <c r="E204" s="3"/>
      <c r="F204" s="3"/>
      <c r="I204" s="490"/>
    </row>
    <row r="205" spans="1:9">
      <c r="A205" s="404"/>
      <c r="B205" s="485" t="s">
        <v>2663</v>
      </c>
      <c r="D205" s="1301" t="s">
        <v>1749</v>
      </c>
      <c r="E205" s="1301"/>
      <c r="F205" s="1301"/>
      <c r="I205" s="490"/>
    </row>
    <row r="206" spans="1:9">
      <c r="A206" s="404"/>
      <c r="B206" s="404"/>
      <c r="D206" s="1300" t="s">
        <v>1899</v>
      </c>
      <c r="E206" s="1300"/>
      <c r="F206" s="1300"/>
      <c r="I206" s="490"/>
    </row>
    <row r="207" spans="1:9">
      <c r="A207" s="404"/>
      <c r="B207" s="404"/>
      <c r="D207" s="57" t="s">
        <v>1746</v>
      </c>
      <c r="E207" s="1302" t="s">
        <v>1924</v>
      </c>
      <c r="F207" s="1302"/>
      <c r="I207" s="490"/>
    </row>
    <row r="208" spans="1:9">
      <c r="A208" s="404"/>
      <c r="B208" s="404"/>
      <c r="D208" s="392"/>
      <c r="E208" s="392"/>
      <c r="F208" s="392"/>
      <c r="I208" s="490"/>
    </row>
    <row r="209" spans="1:9" ht="14.25" customHeight="1">
      <c r="A209" s="484"/>
      <c r="B209" s="485" t="s">
        <v>2663</v>
      </c>
      <c r="D209" s="386" t="s">
        <v>1892</v>
      </c>
      <c r="E209" s="385"/>
      <c r="F209" s="385"/>
      <c r="I209" s="490"/>
    </row>
    <row r="210" spans="1:9">
      <c r="A210" s="484"/>
      <c r="B210" s="484"/>
      <c r="D210" s="1300" t="s">
        <v>1899</v>
      </c>
      <c r="E210" s="1300"/>
      <c r="F210" s="1300"/>
      <c r="I210" s="490"/>
    </row>
    <row r="211" spans="1:9">
      <c r="D211" s="385"/>
      <c r="E211" s="1302" t="s">
        <v>1925</v>
      </c>
      <c r="F211" s="1302"/>
      <c r="I211" s="490"/>
    </row>
    <row r="212" spans="1:9">
      <c r="D212" s="447"/>
      <c r="I212" s="490"/>
    </row>
    <row r="213" spans="1:9">
      <c r="B213" s="485" t="s">
        <v>2663</v>
      </c>
      <c r="D213" s="1301" t="s">
        <v>1750</v>
      </c>
      <c r="E213" s="1301"/>
      <c r="F213" s="1301"/>
      <c r="I213" s="490"/>
    </row>
    <row r="214" spans="1:9">
      <c r="D214" s="1300" t="s">
        <v>1899</v>
      </c>
      <c r="E214" s="1300"/>
      <c r="F214" s="1300"/>
      <c r="I214" s="490"/>
    </row>
    <row r="215" spans="1:9">
      <c r="D215" s="57" t="s">
        <v>1746</v>
      </c>
      <c r="E215" s="1302" t="s">
        <v>1926</v>
      </c>
      <c r="F215" s="1302"/>
      <c r="I215" s="490"/>
    </row>
    <row r="216" spans="1:9">
      <c r="D216" s="451"/>
      <c r="E216" s="451"/>
      <c r="F216" s="451"/>
      <c r="I216" s="490"/>
    </row>
    <row r="217" spans="1:9">
      <c r="A217" s="484"/>
      <c r="B217" s="485" t="s">
        <v>2663</v>
      </c>
      <c r="D217" s="1283" t="s">
        <v>1214</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1044</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1118</v>
      </c>
      <c r="E225" s="1284"/>
      <c r="F225" s="1284"/>
      <c r="I225" s="490"/>
    </row>
    <row r="226" spans="1:9" ht="12" customHeight="1">
      <c r="A226" s="490"/>
      <c r="B226" s="490"/>
      <c r="C226" s="490"/>
      <c r="I226" s="490"/>
    </row>
    <row r="227" spans="1:9" ht="13.75" customHeight="1">
      <c r="A227" s="490"/>
      <c r="C227" s="490"/>
      <c r="D227" s="1291" t="s">
        <v>545</v>
      </c>
      <c r="E227" s="1291"/>
      <c r="F227" s="1291"/>
      <c r="I227" s="490"/>
    </row>
    <row r="228" spans="1:9">
      <c r="A228" s="484"/>
      <c r="B228" s="485" t="s">
        <v>2760</v>
      </c>
      <c r="D228" s="1283" t="s">
        <v>1751</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2760</v>
      </c>
      <c r="D233" s="1283" t="s">
        <v>1752</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1116</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2663</v>
      </c>
      <c r="D245" s="1283" t="s">
        <v>2050</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1893</v>
      </c>
      <c r="I248" s="490"/>
    </row>
    <row r="249" spans="1:9">
      <c r="A249" s="484"/>
      <c r="B249" s="484"/>
      <c r="D249" s="446"/>
      <c r="E249" s="446"/>
      <c r="F249" s="446"/>
      <c r="I249" s="490"/>
    </row>
    <row r="250" spans="1:9" ht="14.5" customHeight="1">
      <c r="A250" s="484"/>
      <c r="B250" s="485" t="s">
        <v>2663</v>
      </c>
      <c r="D250" s="1283" t="s">
        <v>2051</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2760</v>
      </c>
      <c r="D256" s="392" t="s">
        <v>2052</v>
      </c>
      <c r="E256" s="445"/>
      <c r="F256" s="445"/>
      <c r="I256" s="490"/>
    </row>
    <row r="257" spans="1:9">
      <c r="A257" s="484"/>
      <c r="B257" s="484"/>
      <c r="E257" s="1036" t="s">
        <v>1894</v>
      </c>
      <c r="I257" s="490"/>
    </row>
    <row r="258" spans="1:9">
      <c r="D258" s="446"/>
      <c r="E258" s="446"/>
      <c r="F258" s="446"/>
      <c r="I258" s="490"/>
    </row>
    <row r="259" spans="1:9">
      <c r="A259" s="484"/>
      <c r="B259" s="485" t="s">
        <v>2760</v>
      </c>
      <c r="D259" s="1283" t="s">
        <v>1117</v>
      </c>
      <c r="E259" s="1283"/>
      <c r="F259" s="1283"/>
      <c r="I259" s="490"/>
    </row>
    <row r="260" spans="1:9">
      <c r="A260" s="484"/>
      <c r="B260" s="484"/>
      <c r="D260" s="1283"/>
      <c r="E260" s="1283"/>
      <c r="F260" s="1283"/>
      <c r="I260" s="490"/>
    </row>
    <row r="261" spans="1:9">
      <c r="D261" s="491"/>
      <c r="I261" s="490"/>
    </row>
    <row r="262" spans="1:9">
      <c r="A262" s="1286" t="s">
        <v>1045</v>
      </c>
      <c r="B262" s="1286"/>
      <c r="C262" s="1286"/>
      <c r="D262" s="1286"/>
      <c r="E262" s="1286"/>
      <c r="F262" s="1286"/>
      <c r="G262" s="1286"/>
      <c r="H262" s="1028"/>
      <c r="I262" s="1153"/>
    </row>
    <row r="263" spans="1:9">
      <c r="D263" s="491"/>
      <c r="I263" s="490"/>
    </row>
    <row r="264" spans="1:9">
      <c r="C264" s="486"/>
      <c r="D264" s="1291" t="s">
        <v>1119</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2760</v>
      </c>
      <c r="D267" s="1283" t="s">
        <v>1194</v>
      </c>
      <c r="E267" s="1283"/>
      <c r="F267" s="1283"/>
      <c r="I267" s="490"/>
    </row>
    <row r="268" spans="1:9">
      <c r="D268" s="1283"/>
      <c r="E268" s="1283"/>
      <c r="F268" s="1283"/>
      <c r="I268" s="490"/>
    </row>
    <row r="269" spans="1:9">
      <c r="E269" s="1036" t="s">
        <v>1895</v>
      </c>
      <c r="I269" s="490"/>
    </row>
    <row r="270" spans="1:9">
      <c r="D270" s="446"/>
      <c r="E270" s="446"/>
      <c r="F270" s="446"/>
      <c r="I270" s="490"/>
    </row>
    <row r="271" spans="1:9" ht="14.5" customHeight="1">
      <c r="A271" s="484"/>
      <c r="B271" s="485" t="s">
        <v>2663</v>
      </c>
      <c r="D271" s="1283" t="s">
        <v>2053</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2760</v>
      </c>
      <c r="D278" s="1283" t="s">
        <v>1120</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1046</v>
      </c>
      <c r="B282" s="1286"/>
      <c r="C282" s="1286"/>
      <c r="D282" s="1286"/>
      <c r="E282" s="1286"/>
      <c r="F282" s="1286"/>
      <c r="G282" s="1286"/>
      <c r="H282" s="1028"/>
      <c r="I282" s="1153"/>
    </row>
    <row r="283" spans="1:9">
      <c r="D283" s="492"/>
      <c r="E283" s="446"/>
      <c r="F283" s="446"/>
      <c r="I283" s="490"/>
    </row>
    <row r="284" spans="1:9">
      <c r="C284" s="482"/>
      <c r="D284" s="1285" t="s">
        <v>1121</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1122</v>
      </c>
      <c r="E288" s="1298"/>
      <c r="F288" s="1298"/>
      <c r="I288" s="490"/>
    </row>
    <row r="289" spans="1:9">
      <c r="E289" s="446"/>
      <c r="F289" s="446"/>
      <c r="I289" s="490"/>
    </row>
    <row r="290" spans="1:9">
      <c r="A290" s="484"/>
      <c r="B290" s="485" t="s">
        <v>2663</v>
      </c>
      <c r="D290" s="1283" t="s">
        <v>1123</v>
      </c>
      <c r="E290" s="1283"/>
      <c r="F290" s="1283"/>
      <c r="I290" s="490"/>
    </row>
    <row r="291" spans="1:9">
      <c r="A291" s="484"/>
      <c r="B291" s="484"/>
      <c r="D291" s="1283"/>
      <c r="E291" s="1283"/>
      <c r="F291" s="1283"/>
      <c r="I291" s="490"/>
    </row>
    <row r="292" spans="1:9">
      <c r="D292" s="446"/>
      <c r="E292" s="446"/>
      <c r="F292" s="446"/>
      <c r="I292" s="490"/>
    </row>
    <row r="293" spans="1:9">
      <c r="A293" s="484"/>
      <c r="B293" s="485" t="s">
        <v>2663</v>
      </c>
      <c r="D293" s="1283" t="s">
        <v>1124</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2663</v>
      </c>
      <c r="D297" s="1283" t="s">
        <v>1125</v>
      </c>
      <c r="E297" s="1283"/>
      <c r="F297" s="1283"/>
      <c r="I297" s="490"/>
    </row>
    <row r="298" spans="1:9">
      <c r="A298" s="484"/>
      <c r="B298" s="484"/>
      <c r="D298" s="1283"/>
      <c r="E298" s="1283"/>
      <c r="F298" s="1283"/>
      <c r="I298" s="490"/>
    </row>
    <row r="299" spans="1:9">
      <c r="A299" s="490"/>
      <c r="B299" s="490"/>
      <c r="E299" s="446"/>
      <c r="F299" s="446"/>
      <c r="I299" s="490"/>
    </row>
    <row r="300" spans="1:9">
      <c r="A300" s="1286" t="s">
        <v>1047</v>
      </c>
      <c r="B300" s="1286"/>
      <c r="C300" s="1286"/>
      <c r="D300" s="1286"/>
      <c r="E300" s="1286"/>
      <c r="F300" s="1286"/>
      <c r="G300" s="1286"/>
      <c r="H300" s="1028"/>
      <c r="I300" s="1153"/>
    </row>
    <row r="301" spans="1:9">
      <c r="A301" s="490"/>
      <c r="B301" s="490"/>
      <c r="D301" s="446"/>
      <c r="E301" s="446"/>
      <c r="F301" s="446"/>
      <c r="I301" s="490"/>
    </row>
    <row r="302" spans="1:9">
      <c r="C302" s="490"/>
      <c r="D302" s="1291" t="s">
        <v>680</v>
      </c>
      <c r="E302" s="1291"/>
      <c r="F302" s="1291"/>
      <c r="I302" s="490"/>
    </row>
    <row r="303" spans="1:9">
      <c r="C303" s="490"/>
      <c r="D303" s="1284" t="s">
        <v>1126</v>
      </c>
      <c r="E303" s="1284"/>
      <c r="F303" s="1284"/>
      <c r="I303" s="490"/>
    </row>
    <row r="304" spans="1:9">
      <c r="C304" s="490"/>
      <c r="D304" s="493"/>
      <c r="I304" s="490"/>
    </row>
    <row r="305" spans="1:9">
      <c r="B305" s="485" t="s">
        <v>2663</v>
      </c>
      <c r="D305" s="1284" t="s">
        <v>1127</v>
      </c>
      <c r="E305" s="1284"/>
      <c r="F305" s="1284"/>
      <c r="I305" s="490"/>
    </row>
    <row r="306" spans="1:9">
      <c r="A306" s="484"/>
      <c r="B306" s="484"/>
      <c r="D306" s="494"/>
      <c r="E306" s="495"/>
      <c r="F306" s="495"/>
      <c r="I306" s="490"/>
    </row>
    <row r="307" spans="1:9" ht="13.75" customHeight="1">
      <c r="B307" s="485" t="s">
        <v>2663</v>
      </c>
      <c r="D307" s="1293" t="s">
        <v>1217</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2663</v>
      </c>
      <c r="D313" s="1293" t="s">
        <v>1128</v>
      </c>
      <c r="E313" s="1293"/>
      <c r="F313" s="1293"/>
      <c r="I313" s="490"/>
    </row>
    <row r="314" spans="1:9">
      <c r="D314" s="1293"/>
      <c r="E314" s="1293"/>
      <c r="F314" s="1293"/>
      <c r="I314" s="490"/>
    </row>
    <row r="315" spans="1:9">
      <c r="A315" s="484"/>
      <c r="B315" s="484"/>
      <c r="D315" s="494"/>
      <c r="E315" s="495"/>
      <c r="F315" s="495"/>
      <c r="I315" s="490"/>
    </row>
    <row r="316" spans="1:9">
      <c r="B316" s="485" t="s">
        <v>2663</v>
      </c>
      <c r="D316" s="1284" t="s">
        <v>1129</v>
      </c>
      <c r="E316" s="1284"/>
      <c r="F316" s="1284"/>
      <c r="I316" s="490"/>
    </row>
    <row r="317" spans="1:9">
      <c r="E317" s="446"/>
      <c r="F317" s="446"/>
      <c r="I317" s="490"/>
    </row>
    <row r="318" spans="1:9">
      <c r="A318" s="484"/>
      <c r="B318" s="485" t="s">
        <v>2663</v>
      </c>
      <c r="D318" s="1283" t="s">
        <v>2242</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2663</v>
      </c>
      <c r="D334" s="1283" t="s">
        <v>1130</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2663</v>
      </c>
      <c r="D344" s="1283" t="s">
        <v>1900</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75" thickBot="1">
      <c r="A351" s="1022"/>
      <c r="B351" s="1022"/>
      <c r="C351" s="1022"/>
      <c r="D351" s="1296" t="s">
        <v>977</v>
      </c>
      <c r="E351" s="1296"/>
      <c r="F351" s="1296"/>
      <c r="G351" s="1027"/>
      <c r="H351" s="1027"/>
      <c r="I351" s="1156"/>
    </row>
    <row r="352" spans="1:9" ht="13.75" thickTop="1">
      <c r="D352" s="1294" t="s">
        <v>2243</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2663</v>
      </c>
      <c r="C355" s="487"/>
      <c r="D355" s="1284" t="s">
        <v>1898</v>
      </c>
      <c r="E355" s="1284"/>
      <c r="F355" s="1284"/>
      <c r="I355" s="490"/>
    </row>
    <row r="356" spans="1:9" ht="12.75" customHeight="1">
      <c r="D356" s="1037"/>
      <c r="E356" s="96" t="s">
        <v>1897</v>
      </c>
      <c r="F356" s="1037"/>
      <c r="I356" s="490"/>
    </row>
    <row r="357" spans="1:9">
      <c r="D357" s="1283" t="s">
        <v>1237</v>
      </c>
      <c r="E357" s="1283"/>
      <c r="F357" s="1283"/>
      <c r="I357" s="490"/>
    </row>
    <row r="358" spans="1:9">
      <c r="D358" s="1283"/>
      <c r="E358" s="1283"/>
      <c r="F358" s="1283"/>
      <c r="I358" s="490"/>
    </row>
    <row r="359" spans="1:9">
      <c r="D359" s="1283"/>
      <c r="E359" s="1283"/>
      <c r="F359" s="1283"/>
      <c r="I359" s="490"/>
    </row>
    <row r="360" spans="1:9">
      <c r="A360" s="484"/>
      <c r="B360" s="485" t="s">
        <v>2663</v>
      </c>
      <c r="C360" s="476"/>
      <c r="D360" s="1295" t="s">
        <v>2054</v>
      </c>
      <c r="E360" s="1295"/>
      <c r="F360" s="1295"/>
      <c r="I360" s="480"/>
    </row>
    <row r="361" spans="1:9">
      <c r="A361" s="476"/>
      <c r="B361" s="476"/>
      <c r="C361" s="476"/>
      <c r="D361" s="447"/>
      <c r="E361" s="447"/>
      <c r="F361" s="446"/>
      <c r="I361" s="490"/>
    </row>
    <row r="362" spans="1:9">
      <c r="A362" s="476"/>
      <c r="B362" s="485" t="s">
        <v>2663</v>
      </c>
      <c r="C362" s="476"/>
      <c r="D362" s="1263" t="s">
        <v>2055</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2663</v>
      </c>
      <c r="C375" s="476"/>
      <c r="D375" s="1280" t="s">
        <v>1219</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2663</v>
      </c>
      <c r="C380" s="476"/>
      <c r="D380" s="402" t="s">
        <v>1832</v>
      </c>
      <c r="E380" s="524"/>
      <c r="F380" s="524"/>
      <c r="I380" s="490"/>
    </row>
    <row r="381" spans="1:9">
      <c r="A381" s="476"/>
      <c r="B381" s="476"/>
      <c r="C381" s="476"/>
      <c r="D381" s="402" t="s">
        <v>1833</v>
      </c>
      <c r="E381" s="524"/>
      <c r="F381" s="524"/>
      <c r="I381" s="490"/>
    </row>
    <row r="382" spans="1:9">
      <c r="A382" s="476"/>
      <c r="B382" s="476"/>
      <c r="C382" s="476"/>
      <c r="D382" s="402" t="s">
        <v>1834</v>
      </c>
      <c r="E382" s="524"/>
      <c r="F382" s="524"/>
      <c r="I382" s="490"/>
    </row>
    <row r="383" spans="1:9">
      <c r="A383" s="476"/>
      <c r="B383" s="476"/>
      <c r="C383" s="476"/>
      <c r="D383" s="402" t="s">
        <v>1835</v>
      </c>
      <c r="E383" s="524"/>
      <c r="F383" s="524"/>
      <c r="I383" s="490"/>
    </row>
    <row r="384" spans="1:9">
      <c r="A384" s="476"/>
      <c r="B384" s="476"/>
      <c r="C384" s="476"/>
      <c r="D384" s="402" t="s">
        <v>1836</v>
      </c>
      <c r="E384" s="524"/>
      <c r="F384" s="524"/>
      <c r="I384" s="490"/>
    </row>
    <row r="385" spans="1:9">
      <c r="A385" s="476"/>
      <c r="B385" s="476"/>
      <c r="C385" s="476"/>
      <c r="D385" s="402" t="s">
        <v>1837</v>
      </c>
      <c r="E385" s="524"/>
      <c r="F385" s="524"/>
      <c r="I385" s="490"/>
    </row>
    <row r="386" spans="1:9">
      <c r="A386" s="476"/>
      <c r="B386" s="476"/>
      <c r="C386" s="476"/>
      <c r="E386" s="447"/>
      <c r="F386" s="446"/>
      <c r="I386" s="490"/>
    </row>
    <row r="387" spans="1:9">
      <c r="A387" s="484"/>
      <c r="B387" s="485" t="s">
        <v>2663</v>
      </c>
      <c r="C387" s="476"/>
      <c r="D387" s="1263" t="s">
        <v>1131</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1132</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1133</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2663</v>
      </c>
      <c r="C420" s="476"/>
      <c r="D420" s="1263" t="s">
        <v>1134</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2663</v>
      </c>
      <c r="D423" s="1263" t="s">
        <v>1879</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2663</v>
      </c>
      <c r="C429" s="476"/>
      <c r="D429" s="1263" t="s">
        <v>1238</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2071</v>
      </c>
      <c r="E433" s="1263"/>
      <c r="F433" s="1263"/>
      <c r="I433" s="490"/>
    </row>
    <row r="434" spans="1:9">
      <c r="D434" s="446"/>
      <c r="E434" s="446"/>
      <c r="F434" s="446"/>
      <c r="I434" s="490"/>
    </row>
    <row r="435" spans="1:9">
      <c r="A435" s="484"/>
      <c r="B435" s="485" t="s">
        <v>2663</v>
      </c>
      <c r="C435" s="487"/>
      <c r="D435" s="1283" t="s">
        <v>2056</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2663</v>
      </c>
      <c r="C467" s="487"/>
      <c r="D467" s="1283" t="s">
        <v>1135</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2663</v>
      </c>
      <c r="C471" s="484"/>
      <c r="D471" s="1283" t="s">
        <v>1195</v>
      </c>
      <c r="E471" s="1283"/>
      <c r="F471" s="1283"/>
      <c r="I471" s="490"/>
    </row>
    <row r="472" spans="1:9">
      <c r="D472" s="1283"/>
      <c r="E472" s="1283"/>
      <c r="F472" s="1283"/>
      <c r="I472" s="490"/>
    </row>
    <row r="473" spans="1:9">
      <c r="D473" s="446"/>
      <c r="E473" s="446"/>
      <c r="F473" s="446"/>
      <c r="I473" s="490"/>
    </row>
    <row r="474" spans="1:9">
      <c r="B474" s="485" t="s">
        <v>2663</v>
      </c>
      <c r="C474" s="484"/>
      <c r="D474" s="1283" t="s">
        <v>1136</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2663</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2663</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2663</v>
      </c>
      <c r="C486" s="402"/>
      <c r="D486" s="1283"/>
      <c r="E486" s="1283"/>
      <c r="F486" s="1283"/>
      <c r="I486" s="490"/>
    </row>
    <row r="487" spans="1:9">
      <c r="A487" s="402"/>
      <c r="C487" s="402"/>
      <c r="D487" s="1283"/>
      <c r="E487" s="1283"/>
      <c r="F487" s="1283"/>
      <c r="I487" s="490"/>
    </row>
    <row r="488" spans="1:9">
      <c r="A488" s="402"/>
      <c r="B488" s="485" t="s">
        <v>2663</v>
      </c>
      <c r="C488" s="402"/>
      <c r="D488" s="1283" t="s">
        <v>1137</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2663</v>
      </c>
      <c r="D494" s="1284" t="s">
        <v>1138</v>
      </c>
      <c r="E494" s="1284"/>
      <c r="F494" s="1284"/>
      <c r="I494" s="490"/>
    </row>
    <row r="495" spans="1:9">
      <c r="A495" s="446"/>
      <c r="B495" s="446"/>
      <c r="I495" s="490"/>
    </row>
    <row r="496" spans="1:9">
      <c r="A496" s="1286" t="s">
        <v>1048</v>
      </c>
      <c r="B496" s="1286"/>
      <c r="C496" s="1286"/>
      <c r="D496" s="1286"/>
      <c r="E496" s="1286"/>
      <c r="F496" s="1286"/>
      <c r="G496" s="1286"/>
      <c r="H496" s="1028"/>
      <c r="I496" s="1153"/>
    </row>
    <row r="497" spans="1:9">
      <c r="A497" s="446"/>
      <c r="B497" s="446"/>
      <c r="I497" s="490"/>
    </row>
    <row r="498" spans="1:9">
      <c r="D498" s="1299" t="s">
        <v>881</v>
      </c>
      <c r="E498" s="1299"/>
      <c r="F498" s="1299"/>
      <c r="I498" s="490"/>
    </row>
    <row r="499" spans="1:9">
      <c r="A499" s="484"/>
      <c r="B499" s="484"/>
      <c r="D499" s="1295" t="s">
        <v>1139</v>
      </c>
      <c r="E499" s="1295"/>
      <c r="F499" s="1295"/>
      <c r="I499" s="490"/>
    </row>
    <row r="500" spans="1:9">
      <c r="A500" s="484"/>
      <c r="B500" s="484"/>
      <c r="D500" s="447"/>
      <c r="I500" s="490"/>
    </row>
    <row r="501" spans="1:9">
      <c r="A501" s="484"/>
      <c r="B501" s="485" t="s">
        <v>2663</v>
      </c>
      <c r="D501" s="1263" t="s">
        <v>1140</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2663</v>
      </c>
      <c r="D504" s="1287" t="s">
        <v>1271</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2663</v>
      </c>
      <c r="D509" s="1284" t="s">
        <v>1141</v>
      </c>
      <c r="E509" s="1284"/>
      <c r="F509" s="1284"/>
      <c r="I509" s="490"/>
    </row>
    <row r="510" spans="1:9">
      <c r="A510" s="484"/>
      <c r="B510" s="484"/>
      <c r="D510" s="446"/>
      <c r="I510" s="490"/>
    </row>
    <row r="511" spans="1:9">
      <c r="A511" s="484"/>
      <c r="B511" s="485" t="s">
        <v>2663</v>
      </c>
      <c r="D511" s="1283" t="s">
        <v>1142</v>
      </c>
      <c r="E511" s="1283"/>
      <c r="F511" s="1283"/>
      <c r="I511" s="490"/>
    </row>
    <row r="512" spans="1:9">
      <c r="A512" s="484"/>
      <c r="D512" s="1283"/>
      <c r="E512" s="1283"/>
      <c r="F512" s="1283"/>
      <c r="I512" s="490"/>
    </row>
    <row r="513" spans="1:9">
      <c r="A513" s="490"/>
      <c r="B513" s="490"/>
      <c r="D513" s="447"/>
      <c r="I513" s="490"/>
    </row>
    <row r="514" spans="1:9">
      <c r="A514" s="490"/>
      <c r="B514" s="485" t="s">
        <v>2663</v>
      </c>
      <c r="D514" s="1284" t="s">
        <v>1143</v>
      </c>
      <c r="E514" s="1284"/>
      <c r="F514" s="1284"/>
      <c r="I514" s="490"/>
    </row>
    <row r="515" spans="1:9">
      <c r="D515" s="446"/>
      <c r="E515" s="446"/>
      <c r="F515" s="446"/>
      <c r="I515" s="490"/>
    </row>
    <row r="516" spans="1:9">
      <c r="B516" s="485" t="s">
        <v>2663</v>
      </c>
      <c r="D516" s="1283" t="s">
        <v>2277</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1049</v>
      </c>
      <c r="B521" s="1286"/>
      <c r="C521" s="1286"/>
      <c r="D521" s="1286"/>
      <c r="E521" s="1286"/>
      <c r="F521" s="1286"/>
      <c r="G521" s="1286"/>
      <c r="H521" s="1028"/>
      <c r="I521" s="1153"/>
    </row>
    <row r="522" spans="1:9" ht="12" customHeight="1">
      <c r="A522" s="484"/>
      <c r="B522" s="484"/>
      <c r="D522" s="446"/>
      <c r="I522" s="490"/>
    </row>
    <row r="523" spans="1:9">
      <c r="C523" s="482"/>
      <c r="D523" s="1291" t="s">
        <v>791</v>
      </c>
      <c r="E523" s="1291"/>
      <c r="F523" s="1291"/>
      <c r="I523" s="490"/>
    </row>
    <row r="524" spans="1:9">
      <c r="C524" s="482"/>
      <c r="D524" s="506" t="s">
        <v>1197</v>
      </c>
      <c r="E524" s="506"/>
      <c r="F524" s="506"/>
      <c r="I524" s="490"/>
    </row>
    <row r="525" spans="1:9">
      <c r="C525" s="482"/>
      <c r="D525" s="506" t="s">
        <v>1198</v>
      </c>
      <c r="E525" s="506"/>
      <c r="F525" s="506"/>
      <c r="I525" s="490"/>
    </row>
    <row r="526" spans="1:9">
      <c r="C526" s="482"/>
      <c r="D526" s="481"/>
      <c r="E526" s="481"/>
      <c r="F526" s="481"/>
      <c r="I526" s="490"/>
    </row>
    <row r="527" spans="1:9" ht="13.75" customHeight="1">
      <c r="A527" s="483"/>
      <c r="B527" s="485" t="s">
        <v>2760</v>
      </c>
      <c r="C527" s="483"/>
      <c r="D527" s="1263" t="s">
        <v>2057</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2760</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2663</v>
      </c>
      <c r="C536" s="483"/>
      <c r="D536" s="1283" t="s">
        <v>2059</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1050</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1051</v>
      </c>
      <c r="B543" s="1290"/>
      <c r="C543" s="1290"/>
      <c r="D543" s="1290"/>
      <c r="E543" s="1290"/>
      <c r="F543" s="1290"/>
      <c r="G543" s="1290"/>
      <c r="H543" s="1028"/>
      <c r="I543" s="1153"/>
    </row>
    <row r="544" spans="1:9">
      <c r="A544" s="446"/>
      <c r="B544" s="446"/>
      <c r="C544" s="487"/>
      <c r="D544" s="446"/>
      <c r="F544" s="446"/>
      <c r="I544" s="490"/>
    </row>
    <row r="545" spans="1:9">
      <c r="C545" s="487"/>
      <c r="D545" s="1291" t="s">
        <v>681</v>
      </c>
      <c r="E545" s="1291"/>
      <c r="F545" s="1291"/>
      <c r="I545" s="490"/>
    </row>
    <row r="546" spans="1:9">
      <c r="C546" s="487"/>
      <c r="D546" s="1284" t="s">
        <v>1079</v>
      </c>
      <c r="E546" s="1284"/>
      <c r="F546" s="1284"/>
      <c r="I546" s="490"/>
    </row>
    <row r="547" spans="1:9">
      <c r="C547" s="487"/>
      <c r="D547" s="446"/>
      <c r="E547" s="446"/>
      <c r="F547" s="446"/>
      <c r="I547" s="490"/>
    </row>
    <row r="548" spans="1:9" ht="13.75" customHeight="1">
      <c r="A548" s="484"/>
      <c r="B548" s="485" t="s">
        <v>2760</v>
      </c>
      <c r="C548" s="487"/>
      <c r="D548" s="1284" t="s">
        <v>882</v>
      </c>
      <c r="E548" s="1284"/>
      <c r="F548" s="1284"/>
      <c r="I548" s="490"/>
    </row>
    <row r="549" spans="1:9" ht="13.75" customHeight="1">
      <c r="A549" s="487"/>
      <c r="B549" s="487"/>
      <c r="C549" s="487"/>
      <c r="D549" s="446"/>
      <c r="I549" s="490"/>
    </row>
    <row r="550" spans="1:9">
      <c r="A550" s="484"/>
      <c r="B550" s="485" t="s">
        <v>2760</v>
      </c>
      <c r="C550" s="487"/>
      <c r="D550" s="1283" t="s">
        <v>1080</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2760</v>
      </c>
      <c r="C553" s="487"/>
      <c r="D553" s="1283" t="s">
        <v>1081</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2760</v>
      </c>
      <c r="C556" s="487"/>
      <c r="D556" s="1283" t="s">
        <v>1082</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2760</v>
      </c>
      <c r="C559" s="487"/>
      <c r="D559" s="1283" t="s">
        <v>1083</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2663</v>
      </c>
      <c r="C563" s="487"/>
      <c r="D563" s="1283" t="s">
        <v>2244</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2760</v>
      </c>
      <c r="C566" s="487"/>
      <c r="D566" s="1283" t="s">
        <v>1084</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2760</v>
      </c>
      <c r="C569" s="487"/>
      <c r="D569" s="1284" t="s">
        <v>1085</v>
      </c>
      <c r="E569" s="1284"/>
      <c r="F569" s="1284"/>
      <c r="I569" s="490"/>
    </row>
    <row r="570" spans="1:9">
      <c r="A570" s="490"/>
      <c r="B570" s="490"/>
      <c r="C570" s="487"/>
      <c r="D570" s="1284" t="s">
        <v>1904</v>
      </c>
      <c r="E570" s="1284"/>
      <c r="F570" s="1284"/>
      <c r="I570" s="490"/>
    </row>
    <row r="571" spans="1:9">
      <c r="A571" s="490"/>
      <c r="B571" s="490"/>
      <c r="C571" s="487"/>
      <c r="E571" s="96" t="s">
        <v>1903</v>
      </c>
      <c r="F571" s="404"/>
      <c r="I571" s="490"/>
    </row>
    <row r="572" spans="1:9">
      <c r="A572" s="484"/>
      <c r="B572" s="484"/>
      <c r="C572" s="487"/>
      <c r="E572" s="446"/>
      <c r="F572" s="446"/>
      <c r="I572" s="490"/>
    </row>
    <row r="573" spans="1:9">
      <c r="A573" s="484"/>
      <c r="B573" s="485" t="s">
        <v>2760</v>
      </c>
      <c r="C573" s="487"/>
      <c r="D573" s="1284" t="s">
        <v>1086</v>
      </c>
      <c r="E573" s="1284"/>
      <c r="F573" s="1284"/>
      <c r="I573" s="490"/>
    </row>
    <row r="574" spans="1:9">
      <c r="C574" s="487"/>
      <c r="D574" s="1283" t="s">
        <v>1087</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2760</v>
      </c>
      <c r="C578" s="487"/>
      <c r="D578" s="1283" t="s">
        <v>2060</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1052</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1065</v>
      </c>
      <c r="E586" s="1287"/>
      <c r="F586" s="1287"/>
      <c r="I586" s="490"/>
    </row>
    <row r="587" spans="1:9">
      <c r="A587" s="402"/>
      <c r="B587" s="402"/>
      <c r="C587" s="483"/>
      <c r="D587" s="499"/>
      <c r="I587" s="490"/>
    </row>
    <row r="588" spans="1:9">
      <c r="A588" s="483"/>
      <c r="B588" s="485" t="s">
        <v>2760</v>
      </c>
      <c r="D588" s="1287" t="s">
        <v>886</v>
      </c>
      <c r="E588" s="1287"/>
      <c r="F588" s="1287"/>
      <c r="I588" s="490"/>
    </row>
    <row r="589" spans="1:9">
      <c r="A589" s="490"/>
      <c r="B589" s="490"/>
      <c r="D589" s="476"/>
      <c r="I589" s="490"/>
    </row>
    <row r="590" spans="1:9">
      <c r="A590" s="490"/>
      <c r="B590" s="485" t="s">
        <v>2760</v>
      </c>
      <c r="D590" s="1287" t="s">
        <v>2061</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2663</v>
      </c>
      <c r="D594" s="1287" t="s">
        <v>1066</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2760</v>
      </c>
      <c r="D599" s="1287" t="s">
        <v>2062</v>
      </c>
      <c r="E599" s="1287"/>
      <c r="F599" s="1287"/>
      <c r="I599" s="490"/>
    </row>
    <row r="600" spans="1:9">
      <c r="A600" s="490"/>
      <c r="B600" s="490"/>
      <c r="D600" s="1287"/>
      <c r="E600" s="1287"/>
      <c r="F600" s="1287"/>
      <c r="I600" s="490"/>
    </row>
    <row r="601" spans="1:9">
      <c r="A601" s="490"/>
      <c r="B601" s="490"/>
      <c r="D601" s="499"/>
      <c r="I601" s="490"/>
    </row>
    <row r="602" spans="1:9">
      <c r="A602" s="490"/>
      <c r="B602" s="485" t="s">
        <v>2663</v>
      </c>
      <c r="D602" s="1287" t="s">
        <v>1067</v>
      </c>
      <c r="E602" s="1287"/>
      <c r="F602" s="1287"/>
      <c r="I602" s="490"/>
    </row>
    <row r="603" spans="1:9">
      <c r="A603" s="490"/>
      <c r="B603" s="490"/>
      <c r="D603" s="1287"/>
      <c r="E603" s="1287"/>
      <c r="F603" s="1287"/>
      <c r="I603" s="490"/>
    </row>
    <row r="604" spans="1:9">
      <c r="A604" s="484"/>
      <c r="B604" s="484"/>
      <c r="D604" s="499"/>
      <c r="I604" s="490"/>
    </row>
    <row r="605" spans="1:9">
      <c r="A605" s="1286" t="s">
        <v>1053</v>
      </c>
      <c r="B605" s="1286"/>
      <c r="C605" s="1286"/>
      <c r="D605" s="1286"/>
      <c r="E605" s="1286"/>
      <c r="F605" s="1286"/>
      <c r="G605" s="1286"/>
      <c r="H605" s="1028"/>
      <c r="I605" s="1153"/>
    </row>
    <row r="606" spans="1:9">
      <c r="I606" s="490"/>
    </row>
    <row r="607" spans="1:9">
      <c r="D607" s="1291" t="s">
        <v>1105</v>
      </c>
      <c r="E607" s="1291"/>
      <c r="F607" s="1291"/>
      <c r="I607" s="490"/>
    </row>
    <row r="608" spans="1:9">
      <c r="D608" s="1292" t="s">
        <v>1106</v>
      </c>
      <c r="E608" s="1292"/>
      <c r="F608" s="1292"/>
      <c r="I608" s="490"/>
    </row>
    <row r="609" spans="1:9">
      <c r="D609" s="444"/>
      <c r="I609" s="490"/>
    </row>
    <row r="610" spans="1:9" ht="14.25" customHeight="1">
      <c r="A610" s="484"/>
      <c r="B610" s="485" t="s">
        <v>2760</v>
      </c>
      <c r="D610" s="1312" t="s">
        <v>1905</v>
      </c>
      <c r="E610" s="1312"/>
      <c r="F610" s="1312"/>
      <c r="I610" s="490"/>
    </row>
    <row r="611" spans="1:9">
      <c r="D611" s="1312"/>
      <c r="E611" s="1312"/>
      <c r="F611" s="1312"/>
      <c r="I611" s="490"/>
    </row>
    <row r="612" spans="1:9">
      <c r="D612" s="385"/>
      <c r="E612" s="1036" t="s">
        <v>1906</v>
      </c>
      <c r="F612" s="385"/>
      <c r="I612" s="490"/>
    </row>
    <row r="613" spans="1:9">
      <c r="I613" s="490"/>
    </row>
    <row r="614" spans="1:9">
      <c r="A614" s="1286" t="s">
        <v>1054</v>
      </c>
      <c r="B614" s="1286"/>
      <c r="C614" s="1286"/>
      <c r="D614" s="1286"/>
      <c r="E614" s="1286"/>
      <c r="F614" s="1286"/>
      <c r="G614" s="1286"/>
      <c r="H614" s="1028"/>
      <c r="I614" s="1153"/>
    </row>
    <row r="615" spans="1:9">
      <c r="A615" s="446"/>
      <c r="B615" s="446"/>
      <c r="I615" s="490"/>
    </row>
    <row r="616" spans="1:9">
      <c r="A616" s="482"/>
      <c r="B616" s="482"/>
      <c r="C616" s="482"/>
      <c r="D616" s="1320" t="s">
        <v>1107</v>
      </c>
      <c r="E616" s="1320"/>
      <c r="F616" s="1320"/>
      <c r="I616" s="490"/>
    </row>
    <row r="617" spans="1:9">
      <c r="A617" s="482"/>
      <c r="B617" s="482"/>
      <c r="C617" s="482"/>
      <c r="D617" s="1320"/>
      <c r="E617" s="1320"/>
      <c r="F617" s="1320"/>
      <c r="I617" s="490"/>
    </row>
    <row r="618" spans="1:9">
      <c r="C618" s="483"/>
      <c r="D618" s="1292" t="s">
        <v>1108</v>
      </c>
      <c r="E618" s="1292"/>
      <c r="F618" s="1292"/>
      <c r="I618" s="490"/>
    </row>
    <row r="619" spans="1:9">
      <c r="C619" s="483"/>
      <c r="D619" s="444"/>
      <c r="E619" s="444"/>
      <c r="F619" s="444"/>
      <c r="I619" s="490"/>
    </row>
    <row r="620" spans="1:9" ht="12.75" customHeight="1">
      <c r="A620" s="490"/>
      <c r="B620" s="485" t="s">
        <v>2760</v>
      </c>
      <c r="D620" s="1308" t="s">
        <v>1109</v>
      </c>
      <c r="E620" s="1308"/>
      <c r="F620" s="1308"/>
      <c r="I620" s="490"/>
    </row>
    <row r="621" spans="1:9">
      <c r="D621" s="1308"/>
      <c r="E621" s="1308"/>
      <c r="F621" s="1308"/>
      <c r="I621" s="490"/>
    </row>
    <row r="622" spans="1:9">
      <c r="I622" s="490"/>
    </row>
    <row r="623" spans="1:9">
      <c r="B623" s="485" t="s">
        <v>2760</v>
      </c>
      <c r="D623" s="1308" t="s">
        <v>1110</v>
      </c>
      <c r="E623" s="1308"/>
      <c r="F623" s="1308"/>
      <c r="I623" s="490"/>
    </row>
    <row r="624" spans="1:9">
      <c r="C624" s="500"/>
      <c r="D624" s="1308"/>
      <c r="E624" s="1308"/>
      <c r="F624" s="1308"/>
      <c r="I624" s="490"/>
    </row>
    <row r="625" spans="1:9">
      <c r="C625" s="500"/>
      <c r="I625" s="490"/>
    </row>
    <row r="626" spans="1:9">
      <c r="B626" s="485" t="s">
        <v>2663</v>
      </c>
      <c r="C626" s="500"/>
      <c r="D626" s="1308" t="s">
        <v>1111</v>
      </c>
      <c r="E626" s="1308"/>
      <c r="F626" s="1308"/>
      <c r="I626" s="490"/>
    </row>
    <row r="627" spans="1:9">
      <c r="C627" s="500"/>
      <c r="D627" s="1308"/>
      <c r="E627" s="1308"/>
      <c r="F627" s="1308"/>
      <c r="I627" s="500"/>
    </row>
    <row r="628" spans="1:9">
      <c r="C628" s="500"/>
      <c r="I628" s="490"/>
    </row>
    <row r="629" spans="1:9">
      <c r="A629" s="1286" t="s">
        <v>1055</v>
      </c>
      <c r="B629" s="1286"/>
      <c r="C629" s="1286"/>
      <c r="D629" s="1286"/>
      <c r="E629" s="1286"/>
      <c r="F629" s="1286"/>
      <c r="G629" s="1286"/>
      <c r="H629" s="1028"/>
      <c r="I629" s="1153"/>
    </row>
    <row r="630" spans="1:9">
      <c r="A630" s="482"/>
      <c r="B630" s="482"/>
      <c r="C630" s="482"/>
      <c r="I630" s="490"/>
    </row>
    <row r="631" spans="1:9">
      <c r="C631" s="490"/>
      <c r="D631" s="1291" t="s">
        <v>1112</v>
      </c>
      <c r="E631" s="1291"/>
      <c r="F631" s="1291"/>
      <c r="I631" s="490"/>
    </row>
    <row r="632" spans="1:9">
      <c r="A632" s="490"/>
      <c r="B632" s="490"/>
      <c r="D632" s="404"/>
      <c r="I632" s="490"/>
    </row>
    <row r="633" spans="1:9" ht="14.25" customHeight="1">
      <c r="A633" s="484"/>
      <c r="B633" s="485" t="s">
        <v>2760</v>
      </c>
      <c r="D633" s="1312" t="s">
        <v>2063</v>
      </c>
      <c r="E633" s="1312"/>
      <c r="F633" s="1312"/>
      <c r="I633" s="490"/>
    </row>
    <row r="634" spans="1:9">
      <c r="D634" s="1312"/>
      <c r="E634" s="1312"/>
      <c r="F634" s="1312"/>
      <c r="I634" s="490"/>
    </row>
    <row r="635" spans="1:9">
      <c r="D635" s="385"/>
      <c r="E635" s="1036" t="s">
        <v>1908</v>
      </c>
      <c r="F635" s="385"/>
      <c r="I635" s="490"/>
    </row>
    <row r="636" spans="1:9">
      <c r="D636" s="1283" t="s">
        <v>1907</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2663</v>
      </c>
      <c r="D640" s="1283" t="s">
        <v>1113</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2663</v>
      </c>
      <c r="C643" s="487"/>
      <c r="D643" s="1283" t="s">
        <v>1223</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2663</v>
      </c>
      <c r="C646" s="487"/>
      <c r="D646" s="1284" t="s">
        <v>1114</v>
      </c>
      <c r="E646" s="1284"/>
      <c r="F646" s="1284"/>
      <c r="I646" s="490"/>
    </row>
    <row r="647" spans="1:9">
      <c r="A647" s="487"/>
      <c r="B647" s="487"/>
      <c r="C647" s="487"/>
      <c r="D647" s="446"/>
      <c r="E647" s="446"/>
      <c r="F647" s="446"/>
      <c r="I647" s="490"/>
    </row>
    <row r="648" spans="1:9">
      <c r="A648" s="1286" t="s">
        <v>1056</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1144</v>
      </c>
      <c r="E650" s="1291"/>
      <c r="F650" s="1291"/>
      <c r="I650" s="490"/>
    </row>
    <row r="651" spans="1:9">
      <c r="A651" s="483"/>
      <c r="B651" s="483"/>
      <c r="C651" s="483"/>
      <c r="D651" s="1284" t="s">
        <v>1145</v>
      </c>
      <c r="E651" s="1284"/>
      <c r="F651" s="1284"/>
      <c r="I651" s="490"/>
    </row>
    <row r="652" spans="1:9">
      <c r="A652" s="483"/>
      <c r="B652" s="483"/>
      <c r="C652" s="483"/>
      <c r="D652" s="446"/>
      <c r="E652" s="446"/>
      <c r="F652" s="446"/>
      <c r="I652" s="490"/>
    </row>
    <row r="653" spans="1:9" ht="12.75" customHeight="1">
      <c r="B653" s="485" t="s">
        <v>2663</v>
      </c>
      <c r="C653" s="487"/>
      <c r="D653" s="1283" t="s">
        <v>1279</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2663</v>
      </c>
      <c r="C658" s="487"/>
      <c r="D658" s="1283" t="s">
        <v>1281</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2663</v>
      </c>
      <c r="C664" s="487"/>
      <c r="D664" s="1283" t="s">
        <v>1280</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2663</v>
      </c>
      <c r="C669" s="487"/>
      <c r="D669" s="1283" t="s">
        <v>2064</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1057</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1074</v>
      </c>
      <c r="E683" s="1284"/>
      <c r="F683" s="1284"/>
      <c r="H683" s="501"/>
      <c r="I683" s="483"/>
      <c r="J683" s="501"/>
      <c r="K683" s="501"/>
    </row>
    <row r="684" spans="1:11">
      <c r="A684" s="483"/>
      <c r="B684" s="483"/>
      <c r="C684" s="483"/>
      <c r="H684" s="501"/>
      <c r="I684" s="483"/>
      <c r="J684" s="501"/>
      <c r="K684" s="501"/>
    </row>
    <row r="685" spans="1:11">
      <c r="A685" s="484"/>
      <c r="B685" s="485" t="s">
        <v>2760</v>
      </c>
      <c r="C685" s="483"/>
      <c r="D685" s="1284" t="s">
        <v>883</v>
      </c>
      <c r="E685" s="1284"/>
      <c r="F685" s="1284"/>
      <c r="H685" s="501"/>
      <c r="I685" s="483"/>
      <c r="J685" s="501"/>
      <c r="K685" s="501"/>
    </row>
    <row r="686" spans="1:11">
      <c r="A686" s="483"/>
      <c r="B686" s="483"/>
      <c r="C686" s="483"/>
      <c r="D686" s="1284" t="s">
        <v>892</v>
      </c>
      <c r="E686" s="1284"/>
      <c r="F686" s="1284"/>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2663</v>
      </c>
      <c r="C690" s="483"/>
      <c r="D690" s="1283" t="s">
        <v>2065</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2760</v>
      </c>
      <c r="C694" s="483"/>
      <c r="D694" s="1284" t="s">
        <v>915</v>
      </c>
      <c r="E694" s="1284"/>
      <c r="F694" s="1284"/>
      <c r="H694" s="501"/>
      <c r="I694" s="483"/>
      <c r="J694" s="501"/>
      <c r="K694" s="501"/>
    </row>
    <row r="695" spans="1:11">
      <c r="A695" s="484"/>
      <c r="B695" s="484"/>
      <c r="C695" s="483"/>
      <c r="D695" s="1284" t="s">
        <v>892</v>
      </c>
      <c r="E695" s="1284"/>
      <c r="F695" s="1284"/>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2663</v>
      </c>
      <c r="C698" s="483"/>
      <c r="D698" s="1284" t="s">
        <v>2466</v>
      </c>
      <c r="E698" s="1284"/>
      <c r="F698" s="1284"/>
      <c r="H698" s="501"/>
      <c r="I698" s="483"/>
      <c r="J698" s="501"/>
      <c r="K698" s="501"/>
    </row>
    <row r="699" spans="1:11">
      <c r="A699" s="484"/>
      <c r="B699" s="484"/>
      <c r="C699" s="483"/>
      <c r="D699" s="1284" t="s">
        <v>892</v>
      </c>
      <c r="E699" s="1284"/>
      <c r="F699" s="1284"/>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c r="A702" s="484"/>
      <c r="B702" s="485" t="s">
        <v>2760</v>
      </c>
      <c r="C702" s="483"/>
      <c r="D702" s="1283" t="s">
        <v>2241</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2760</v>
      </c>
      <c r="C709" s="483"/>
      <c r="D709" s="1283" t="s">
        <v>1199</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2663</v>
      </c>
      <c r="C712" s="483"/>
      <c r="D712" s="1283" t="s">
        <v>1075</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2663</v>
      </c>
      <c r="C725" s="483"/>
      <c r="D725" s="1283" t="s">
        <v>2459</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2663</v>
      </c>
      <c r="C729" s="483"/>
      <c r="D729" s="1283" t="s">
        <v>2458</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2663</v>
      </c>
      <c r="C733" s="483"/>
      <c r="D733" s="1283" t="s">
        <v>2457</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2663</v>
      </c>
      <c r="C738" s="483"/>
      <c r="D738" s="1283" t="s">
        <v>1076</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2760</v>
      </c>
      <c r="C744" s="483"/>
      <c r="D744" s="1283" t="s">
        <v>2143</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2072</v>
      </c>
      <c r="E751" s="1321"/>
      <c r="F751" s="1321"/>
      <c r="H751" s="501"/>
      <c r="I751" s="483"/>
      <c r="J751" s="501"/>
      <c r="K751" s="501"/>
    </row>
    <row r="752" spans="1:11">
      <c r="A752" s="483"/>
      <c r="B752" s="483"/>
      <c r="C752" s="483"/>
      <c r="D752" s="341"/>
      <c r="H752" s="501"/>
      <c r="I752" s="483"/>
      <c r="J752" s="501"/>
      <c r="K752" s="501"/>
    </row>
    <row r="753" spans="1:11">
      <c r="A753" s="1290" t="s">
        <v>1058</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1068</v>
      </c>
      <c r="E755" s="1285"/>
      <c r="F755" s="1285"/>
      <c r="G755" s="501"/>
      <c r="H755" s="501"/>
      <c r="I755" s="483"/>
      <c r="J755" s="501"/>
      <c r="K755" s="501"/>
    </row>
    <row r="756" spans="1:11">
      <c r="A756" s="483"/>
      <c r="B756" s="483"/>
      <c r="C756" s="483"/>
      <c r="D756" s="1289" t="s">
        <v>1069</v>
      </c>
      <c r="E756" s="1289"/>
      <c r="F756" s="1289"/>
      <c r="G756" s="501"/>
      <c r="H756" s="501"/>
      <c r="I756" s="483"/>
      <c r="J756" s="501"/>
      <c r="K756" s="501"/>
    </row>
    <row r="757" spans="1:11">
      <c r="A757" s="483"/>
      <c r="B757" s="483"/>
      <c r="C757" s="483"/>
      <c r="G757" s="501"/>
      <c r="H757" s="501"/>
      <c r="I757" s="483"/>
      <c r="J757" s="501"/>
      <c r="K757" s="501"/>
    </row>
    <row r="758" spans="1:11">
      <c r="A758" s="484"/>
      <c r="B758" s="485" t="s">
        <v>2760</v>
      </c>
      <c r="D758" s="1283" t="s">
        <v>1070</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2663</v>
      </c>
      <c r="C765" s="504"/>
      <c r="D765" s="1283" t="s">
        <v>1239</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2663</v>
      </c>
      <c r="C770" s="504"/>
      <c r="D770" s="1308" t="s">
        <v>1240</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2663</v>
      </c>
      <c r="D774" s="1283" t="s">
        <v>1196</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2663</v>
      </c>
      <c r="D777" s="1283" t="s">
        <v>1213</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1799</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1852</v>
      </c>
      <c r="E783" s="1314"/>
      <c r="F783" s="1314"/>
      <c r="G783" s="3"/>
      <c r="I783" s="490"/>
    </row>
    <row r="784" spans="1:11">
      <c r="A784" s="57"/>
      <c r="B784" s="57"/>
      <c r="C784" s="354"/>
      <c r="D784" s="1295" t="s">
        <v>1753</v>
      </c>
      <c r="E784" s="1295"/>
      <c r="F784" s="1295"/>
      <c r="G784" s="3"/>
      <c r="I784" s="490"/>
    </row>
    <row r="785" spans="1:9">
      <c r="A785" s="57"/>
      <c r="B785" s="57"/>
      <c r="C785" s="354"/>
      <c r="D785" s="447"/>
      <c r="E785" s="447"/>
      <c r="F785" s="447"/>
      <c r="G785" s="3"/>
      <c r="I785" s="490"/>
    </row>
    <row r="786" spans="1:9">
      <c r="A786" s="57"/>
      <c r="B786" s="485" t="s">
        <v>2760</v>
      </c>
      <c r="C786" s="354"/>
      <c r="D786" s="1316" t="s">
        <v>1754</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2663</v>
      </c>
      <c r="C790" s="172"/>
      <c r="D790" s="1316" t="s">
        <v>1755</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2663</v>
      </c>
      <c r="C794" s="989"/>
      <c r="D794" s="1316" t="s">
        <v>1756</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2663</v>
      </c>
      <c r="C798" s="989"/>
      <c r="D798" s="1316" t="s">
        <v>1757</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1800</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2663</v>
      </c>
      <c r="C808" s="989"/>
      <c r="D808" s="1316" t="s">
        <v>1758</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2663</v>
      </c>
      <c r="C815" s="989"/>
      <c r="D815" s="1316" t="s">
        <v>1759</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2663</v>
      </c>
      <c r="C822" s="989"/>
      <c r="D822" s="1288" t="s">
        <v>1760</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1761</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1801</v>
      </c>
      <c r="E831" s="1313"/>
      <c r="F831" s="1313"/>
      <c r="G831" s="3"/>
      <c r="I831" s="490"/>
    </row>
    <row r="832" spans="1:9" ht="14.25" customHeight="1">
      <c r="A832" s="175"/>
      <c r="B832" s="175"/>
      <c r="C832" s="354"/>
      <c r="D832" s="1260" t="s">
        <v>1762</v>
      </c>
      <c r="E832" s="1260"/>
      <c r="F832" s="1260"/>
      <c r="G832" s="3"/>
      <c r="I832" s="490"/>
    </row>
    <row r="833" spans="1:9" ht="12.75" customHeight="1">
      <c r="A833" s="175"/>
      <c r="B833" s="175"/>
      <c r="C833" s="354"/>
      <c r="D833" s="441"/>
      <c r="E833" s="441"/>
      <c r="F833" s="441"/>
      <c r="G833" s="3"/>
      <c r="I833" s="490"/>
    </row>
    <row r="834" spans="1:9" ht="12.75" customHeight="1">
      <c r="A834" s="354"/>
      <c r="B834" s="485" t="s">
        <v>2760</v>
      </c>
      <c r="C834" s="989"/>
      <c r="D834" s="1260" t="s">
        <v>1763</v>
      </c>
      <c r="E834" s="1260"/>
      <c r="F834" s="1260"/>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2073</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2760</v>
      </c>
      <c r="C848" s="989"/>
      <c r="D848" s="1260" t="s">
        <v>1764</v>
      </c>
      <c r="E848" s="1260"/>
      <c r="F848" s="1260"/>
      <c r="G848" s="3"/>
      <c r="I848" s="490" t="s">
        <v>1880</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2663</v>
      </c>
      <c r="C852" s="989"/>
      <c r="D852" s="1313" t="s">
        <v>1765</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2066</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2663</v>
      </c>
      <c r="C861" s="989"/>
      <c r="D861" s="1260" t="s">
        <v>1766</v>
      </c>
      <c r="E861" s="1260"/>
      <c r="F861" s="1260"/>
      <c r="G861" s="3"/>
      <c r="I861" s="490" t="s">
        <v>1878</v>
      </c>
    </row>
    <row r="862" spans="1:9" ht="12.75" customHeight="1">
      <c r="A862" s="175"/>
      <c r="B862" s="175"/>
      <c r="C862" s="989"/>
      <c r="D862" s="1260" t="s">
        <v>1767</v>
      </c>
      <c r="E862" s="1260"/>
      <c r="F862" s="1260"/>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2663</v>
      </c>
      <c r="C865" s="989"/>
      <c r="D865" s="1260" t="s">
        <v>1768</v>
      </c>
      <c r="E865" s="1260"/>
      <c r="F865" s="1260"/>
      <c r="G865" s="3"/>
      <c r="I865" s="490" t="s">
        <v>1881</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1769</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1802</v>
      </c>
      <c r="E872" s="1322"/>
      <c r="F872" s="1322"/>
      <c r="G872" s="988"/>
      <c r="I872" s="490"/>
    </row>
    <row r="873" spans="1:9" ht="12.75" customHeight="1">
      <c r="A873" s="354"/>
      <c r="B873" s="354"/>
      <c r="C873" s="174"/>
      <c r="D873" s="1317" t="s">
        <v>1770</v>
      </c>
      <c r="E873" s="1317"/>
      <c r="F873" s="1317"/>
      <c r="G873" s="988"/>
      <c r="I873" s="490"/>
    </row>
    <row r="874" spans="1:9" ht="12.75" customHeight="1">
      <c r="A874" s="354"/>
      <c r="B874" s="354"/>
      <c r="C874" s="174"/>
      <c r="D874" s="995"/>
      <c r="E874" s="995"/>
      <c r="F874" s="995"/>
      <c r="G874" s="988"/>
      <c r="I874" s="490"/>
    </row>
    <row r="875" spans="1:9" ht="12.75" customHeight="1">
      <c r="A875" s="175"/>
      <c r="B875" s="485" t="s">
        <v>2760</v>
      </c>
      <c r="C875" s="354"/>
      <c r="D875" s="1300" t="s">
        <v>1771</v>
      </c>
      <c r="E875" s="1300"/>
      <c r="F875" s="1300"/>
      <c r="G875" s="988"/>
      <c r="I875" s="490" t="s">
        <v>1878</v>
      </c>
    </row>
    <row r="876" spans="1:9" ht="12.75" customHeight="1">
      <c r="A876" s="354"/>
      <c r="B876" s="354"/>
      <c r="C876" s="354"/>
      <c r="D876" s="2" t="s">
        <v>1746</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2760</v>
      </c>
      <c r="C878" s="354"/>
      <c r="D878" s="1260" t="s">
        <v>1772</v>
      </c>
      <c r="E878" s="1310"/>
      <c r="F878" s="1310"/>
      <c r="G878" s="3"/>
      <c r="I878" s="490" t="s">
        <v>1881</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2663</v>
      </c>
      <c r="C881" s="354"/>
      <c r="D881" s="1311" t="s">
        <v>1773</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2066</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2663</v>
      </c>
      <c r="C890" s="354"/>
      <c r="D890" s="1301" t="s">
        <v>1766</v>
      </c>
      <c r="E890" s="1301"/>
      <c r="F890" s="1301"/>
      <c r="G890" s="988"/>
      <c r="I890" s="490"/>
    </row>
    <row r="891" spans="1:9" ht="12.75" customHeight="1">
      <c r="A891" s="175"/>
      <c r="B891" s="175"/>
      <c r="C891" s="354"/>
      <c r="D891" s="1301" t="s">
        <v>1767</v>
      </c>
      <c r="E891" s="1301"/>
      <c r="F891" s="1301"/>
      <c r="G891" s="988"/>
      <c r="I891" s="490"/>
    </row>
    <row r="892" spans="1:9" ht="12.75" customHeight="1">
      <c r="A892" s="175"/>
      <c r="B892" s="175"/>
      <c r="C892" s="354"/>
      <c r="D892" s="2" t="s">
        <v>1268</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2663</v>
      </c>
      <c r="C894" s="354"/>
      <c r="D894" s="1260" t="s">
        <v>1768</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1803</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1809</v>
      </c>
      <c r="E901" s="1325"/>
      <c r="F901" s="1325"/>
      <c r="G901" s="57"/>
      <c r="I901" s="490"/>
    </row>
    <row r="902" spans="1:9" ht="12.75" customHeight="1">
      <c r="A902" s="57"/>
      <c r="B902" s="57"/>
      <c r="C902" s="57"/>
      <c r="D902" s="981"/>
      <c r="E902" s="981"/>
      <c r="F902" s="981"/>
      <c r="G902" s="57"/>
      <c r="I902" s="490"/>
    </row>
    <row r="903" spans="1:9" ht="12.75" customHeight="1">
      <c r="A903" s="57"/>
      <c r="B903" s="485" t="s">
        <v>2760</v>
      </c>
      <c r="C903" s="57"/>
      <c r="D903" s="984" t="s">
        <v>1810</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1804</v>
      </c>
      <c r="E905" s="1325"/>
      <c r="F905" s="1325"/>
      <c r="G905" s="988"/>
      <c r="I905" s="490"/>
    </row>
    <row r="906" spans="1:9" ht="12.75" customHeight="1">
      <c r="A906" s="172"/>
      <c r="B906" s="172"/>
      <c r="C906" s="172"/>
      <c r="D906" s="1300" t="s">
        <v>1774</v>
      </c>
      <c r="E906" s="1300"/>
      <c r="F906" s="1300"/>
      <c r="G906" s="988"/>
      <c r="I906" s="490"/>
    </row>
    <row r="907" spans="1:9" ht="12.75" customHeight="1">
      <c r="A907" s="989"/>
      <c r="B907" s="989"/>
      <c r="C907" s="989"/>
      <c r="D907" s="2"/>
      <c r="E907" s="988"/>
      <c r="F907" s="988"/>
      <c r="G907" s="988"/>
      <c r="I907" s="490"/>
    </row>
    <row r="908" spans="1:9" ht="12.75" customHeight="1">
      <c r="A908" s="175"/>
      <c r="B908" s="485" t="s">
        <v>2760</v>
      </c>
      <c r="C908" s="354"/>
      <c r="D908" s="1260" t="s">
        <v>1778</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1777</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2760</v>
      </c>
      <c r="C913" s="174"/>
      <c r="D913" s="1264" t="s">
        <v>1775</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2663</v>
      </c>
      <c r="C922" s="989"/>
      <c r="D922" s="1260" t="s">
        <v>1779</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2663</v>
      </c>
      <c r="C925" s="989"/>
      <c r="D925" s="1288" t="s">
        <v>1780</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2663</v>
      </c>
      <c r="C930" s="989"/>
      <c r="D930" s="1300" t="s">
        <v>2067</v>
      </c>
      <c r="E930" s="1300"/>
      <c r="F930" s="1300"/>
      <c r="G930" s="988"/>
      <c r="I930" s="490"/>
    </row>
    <row r="931" spans="1:9" ht="12.75" customHeight="1">
      <c r="A931" s="989"/>
      <c r="B931" s="989"/>
      <c r="C931" s="989"/>
      <c r="D931" s="118"/>
      <c r="E931" s="988"/>
      <c r="F931" s="988"/>
      <c r="G931" s="988"/>
      <c r="I931" s="490"/>
    </row>
    <row r="932" spans="1:9" ht="12.75" customHeight="1">
      <c r="A932" s="989"/>
      <c r="B932" s="485" t="s">
        <v>2663</v>
      </c>
      <c r="C932" s="989"/>
      <c r="D932" s="1300" t="s">
        <v>2068</v>
      </c>
      <c r="E932" s="1300"/>
      <c r="F932" s="1300"/>
      <c r="G932" s="988"/>
      <c r="I932" s="490"/>
    </row>
    <row r="933" spans="1:9" ht="12.75" customHeight="1">
      <c r="A933" s="174"/>
      <c r="B933" s="174"/>
      <c r="C933" s="174"/>
      <c r="D933" s="2"/>
      <c r="E933" s="3"/>
      <c r="F933" s="988"/>
      <c r="G933" s="988"/>
      <c r="I933" s="490"/>
    </row>
    <row r="934" spans="1:9" ht="12.75" customHeight="1">
      <c r="A934" s="997"/>
      <c r="B934" s="485" t="s">
        <v>2760</v>
      </c>
      <c r="C934" s="998"/>
      <c r="D934" s="1264" t="s">
        <v>1776</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2760</v>
      </c>
      <c r="C944" s="174"/>
      <c r="D944" s="1319" t="s">
        <v>1884</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2760</v>
      </c>
      <c r="C952" s="174"/>
      <c r="D952" s="1263" t="s">
        <v>2135</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2663</v>
      </c>
      <c r="C959" s="989"/>
      <c r="D959" s="1288" t="s">
        <v>1781</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2663</v>
      </c>
      <c r="C964" s="174"/>
      <c r="D964" s="1264" t="s">
        <v>1883</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1782</v>
      </c>
      <c r="E969" s="1322"/>
      <c r="F969" s="1322"/>
      <c r="G969" s="3"/>
      <c r="I969" s="490"/>
    </row>
    <row r="970" spans="1:9" ht="12.75" customHeight="1">
      <c r="A970" s="175"/>
      <c r="B970" s="485" t="s">
        <v>2663</v>
      </c>
      <c r="C970" s="354"/>
      <c r="D970" s="1300" t="s">
        <v>1805</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1783</v>
      </c>
      <c r="E972" s="1322"/>
      <c r="F972" s="1322"/>
      <c r="G972"/>
      <c r="I972" s="490"/>
    </row>
    <row r="973" spans="1:9" ht="12.75" customHeight="1">
      <c r="A973" s="175"/>
      <c r="B973" s="485" t="s">
        <v>2760</v>
      </c>
      <c r="C973" s="354"/>
      <c r="D973" s="1260" t="s">
        <v>2069</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1784</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1806</v>
      </c>
      <c r="E991" s="1322"/>
      <c r="F991" s="1322"/>
      <c r="G991" s="3"/>
      <c r="I991" s="490"/>
    </row>
    <row r="992" spans="1:9" ht="12.75" customHeight="1">
      <c r="A992" s="172"/>
      <c r="B992" s="172"/>
      <c r="C992" s="172"/>
      <c r="D992" s="1300" t="s">
        <v>1785</v>
      </c>
      <c r="E992" s="1300"/>
      <c r="F992" s="1300"/>
      <c r="G992" s="3"/>
      <c r="I992" s="490"/>
    </row>
    <row r="993" spans="1:9" ht="12.75" customHeight="1">
      <c r="A993" s="172"/>
      <c r="B993" s="172"/>
      <c r="C993" s="172"/>
      <c r="D993" s="3"/>
      <c r="E993" s="3"/>
      <c r="F993" s="988"/>
      <c r="G993"/>
      <c r="I993" s="490"/>
    </row>
    <row r="994" spans="1:9" ht="12.75" customHeight="1">
      <c r="A994" s="354"/>
      <c r="B994" s="485" t="s">
        <v>2760</v>
      </c>
      <c r="C994" s="354"/>
      <c r="D994" s="1324" t="s">
        <v>1913</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1914</v>
      </c>
      <c r="F996" s="1038"/>
      <c r="G996"/>
      <c r="I996" s="490"/>
    </row>
    <row r="997" spans="1:9" ht="12.75" customHeight="1">
      <c r="A997" s="354"/>
      <c r="B997" s="354"/>
      <c r="C997" s="354"/>
      <c r="D997" s="1266" t="s">
        <v>1912</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2663</v>
      </c>
      <c r="C1002" s="174"/>
      <c r="D1002" s="1260" t="s">
        <v>1786</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2663</v>
      </c>
      <c r="C1007" s="174"/>
      <c r="D1007" s="1260" t="s">
        <v>2227</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2663</v>
      </c>
      <c r="C1010" s="354"/>
      <c r="D1010" s="1300" t="s">
        <v>1787</v>
      </c>
      <c r="E1010" s="1300"/>
      <c r="F1010" s="1300"/>
      <c r="G1010"/>
      <c r="I1010" s="490"/>
    </row>
    <row r="1011" spans="1:9" ht="12.75" customHeight="1">
      <c r="A1011" s="354"/>
      <c r="B1011" s="354"/>
      <c r="C1011" s="354"/>
      <c r="D1011" s="3"/>
      <c r="E1011" s="3"/>
      <c r="F1011" s="3"/>
      <c r="G1011"/>
      <c r="I1011" s="490"/>
    </row>
    <row r="1012" spans="1:9" ht="12.75" customHeight="1">
      <c r="A1012" s="175"/>
      <c r="B1012" s="485" t="s">
        <v>2663</v>
      </c>
      <c r="C1012" s="354"/>
      <c r="D1012" s="1300" t="s">
        <v>1788</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2760</v>
      </c>
      <c r="C1014" s="354"/>
      <c r="D1014" s="1300" t="s">
        <v>1789</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2760</v>
      </c>
      <c r="C1016" s="354"/>
      <c r="D1016" s="1260" t="s">
        <v>1790</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2663</v>
      </c>
      <c r="C1019" s="1000"/>
      <c r="D1019" s="1316" t="s">
        <v>1791</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2663</v>
      </c>
      <c r="C1022" s="1000"/>
      <c r="D1022" s="1323" t="s">
        <v>1792</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2663</v>
      </c>
      <c r="C1024" s="354"/>
      <c r="D1024" s="1300" t="s">
        <v>1793</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2663</v>
      </c>
      <c r="C1026" s="354"/>
      <c r="D1026" s="1260" t="s">
        <v>1794</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1795</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1796</v>
      </c>
      <c r="E1031" s="1325"/>
      <c r="F1031" s="1325"/>
      <c r="G1031" s="3"/>
      <c r="I1031" s="490"/>
    </row>
    <row r="1032" spans="1:9" ht="12.75" customHeight="1">
      <c r="A1032" s="354"/>
      <c r="B1032" s="354"/>
      <c r="C1032" s="354"/>
      <c r="D1032" s="1323" t="s">
        <v>1797</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1811</v>
      </c>
      <c r="E1034" s="1325"/>
      <c r="F1034" s="1325"/>
      <c r="G1034" s="3"/>
      <c r="I1034" s="490"/>
    </row>
    <row r="1035" spans="1:9" ht="12.75" customHeight="1">
      <c r="A1035" s="354"/>
      <c r="B1035" s="485" t="s">
        <v>2760</v>
      </c>
      <c r="C1035" s="354"/>
      <c r="D1035" s="1323" t="s">
        <v>1269</v>
      </c>
      <c r="E1035" s="1323"/>
      <c r="F1035" s="1323"/>
      <c r="G1035" s="3"/>
      <c r="I1035" s="490"/>
    </row>
    <row r="1036" spans="1:9" ht="12.75" customHeight="1">
      <c r="A1036" s="354"/>
      <c r="B1036" s="175"/>
      <c r="C1036" s="354"/>
      <c r="D1036" s="1323" t="s">
        <v>1798</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1807</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1270</v>
      </c>
      <c r="E1040" s="1330"/>
      <c r="F1040" s="1330"/>
      <c r="G1040" s="3"/>
      <c r="I1040" s="490"/>
    </row>
    <row r="1041" spans="1:9" ht="12.75" hidden="1" customHeight="1">
      <c r="A1041" s="118"/>
      <c r="B1041" s="485" t="s">
        <v>307</v>
      </c>
      <c r="D1041" s="1292" t="s">
        <v>1269</v>
      </c>
      <c r="E1041" s="1292"/>
      <c r="F1041" s="1292"/>
      <c r="G1041" s="3"/>
      <c r="I1041" s="490"/>
    </row>
    <row r="1042" spans="1:9" ht="12.75" hidden="1" customHeight="1">
      <c r="A1042" s="118"/>
      <c r="B1042" s="402"/>
      <c r="D1042" s="1292" t="s">
        <v>1808</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1064</v>
      </c>
      <c r="E1044" s="1331"/>
      <c r="F1044" s="1331"/>
      <c r="G1044" s="3"/>
      <c r="I1044" s="490"/>
    </row>
    <row r="1045" spans="1:9" ht="12.75" customHeight="1">
      <c r="A1045" s="319"/>
      <c r="B1045" s="319"/>
      <c r="C1045" s="319"/>
      <c r="D1045" s="1301" t="s">
        <v>2245</v>
      </c>
      <c r="E1045" s="1301"/>
      <c r="F1045" s="1301"/>
      <c r="G1045" s="98"/>
      <c r="I1045" s="490"/>
    </row>
    <row r="1046" spans="1:9" ht="12.75" customHeight="1">
      <c r="A1046" s="175"/>
      <c r="B1046" s="485" t="s">
        <v>2663</v>
      </c>
      <c r="C1046" s="354"/>
      <c r="D1046" s="1301" t="s">
        <v>983</v>
      </c>
      <c r="E1046" s="1301"/>
      <c r="F1046" s="1301"/>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9" t="s">
        <v>1828</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1814</v>
      </c>
      <c r="I1051" s="490"/>
    </row>
    <row r="1052" spans="1:9">
      <c r="A1052" s="402"/>
      <c r="B1052" s="402"/>
      <c r="C1052" s="402"/>
      <c r="D1052" s="402" t="s">
        <v>1813</v>
      </c>
      <c r="I1052" s="490"/>
    </row>
    <row r="1053" spans="1:9">
      <c r="A1053" s="402"/>
      <c r="B1053" s="402"/>
      <c r="C1053" s="402"/>
      <c r="D1053" s="404"/>
      <c r="I1053" s="490"/>
    </row>
    <row r="1054" spans="1:9">
      <c r="A1054" s="402"/>
      <c r="B1054" s="485" t="s">
        <v>2663</v>
      </c>
      <c r="C1054" s="402"/>
      <c r="D1054" s="1327" t="s">
        <v>1812</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1311</v>
      </c>
      <c r="I1059" s="490"/>
    </row>
    <row r="1060" spans="1:9">
      <c r="A1060" s="402"/>
      <c r="B1060" s="402"/>
      <c r="C1060" s="402"/>
      <c r="D1060" s="402" t="s">
        <v>1815</v>
      </c>
      <c r="I1060" s="490"/>
    </row>
    <row r="1061" spans="1:9">
      <c r="A1061" s="402"/>
      <c r="B1061" s="402"/>
      <c r="C1061" s="402"/>
      <c r="I1061" s="490"/>
    </row>
    <row r="1062" spans="1:9">
      <c r="A1062" s="402"/>
      <c r="B1062" s="485" t="s">
        <v>2760</v>
      </c>
      <c r="C1062" s="402"/>
      <c r="D1062" s="402" t="s">
        <v>1810</v>
      </c>
      <c r="I1062" s="490"/>
    </row>
    <row r="1063" spans="1:9">
      <c r="A1063" s="402"/>
      <c r="B1063" s="402"/>
      <c r="C1063" s="402"/>
      <c r="I1063" s="490"/>
    </row>
    <row r="1064" spans="1:9">
      <c r="A1064" s="402"/>
      <c r="B1064" s="485" t="s">
        <v>2760</v>
      </c>
      <c r="C1064" s="402"/>
      <c r="D1064" s="1327" t="s">
        <v>1816</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1817</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2760</v>
      </c>
      <c r="C1073" s="402"/>
      <c r="D1073" s="527" t="s">
        <v>1820</v>
      </c>
      <c r="I1073" s="490"/>
    </row>
    <row r="1074" spans="1:9">
      <c r="A1074" s="402"/>
      <c r="B1074" s="402"/>
      <c r="C1074" s="402"/>
      <c r="D1074" s="527" t="s">
        <v>1822</v>
      </c>
      <c r="I1074" s="490"/>
    </row>
    <row r="1075" spans="1:9">
      <c r="A1075" s="402"/>
      <c r="B1075" s="402"/>
      <c r="C1075" s="402"/>
      <c r="D1075" s="527"/>
      <c r="I1075" s="490"/>
    </row>
    <row r="1076" spans="1:9">
      <c r="A1076" s="402"/>
      <c r="B1076" s="485" t="s">
        <v>2760</v>
      </c>
      <c r="C1076" s="402"/>
      <c r="D1076" s="527" t="s">
        <v>1823</v>
      </c>
      <c r="I1076" s="490"/>
    </row>
    <row r="1077" spans="1:9">
      <c r="A1077" s="402"/>
      <c r="B1077" s="402"/>
      <c r="C1077" s="402"/>
      <c r="D1077" s="527" t="s">
        <v>1821</v>
      </c>
      <c r="I1077" s="490"/>
    </row>
    <row r="1078" spans="1:9">
      <c r="A1078" s="402"/>
      <c r="B1078" s="402"/>
      <c r="C1078" s="402"/>
      <c r="D1078" s="527"/>
      <c r="I1078" s="490"/>
    </row>
    <row r="1079" spans="1:9">
      <c r="A1079" s="402"/>
      <c r="B1079" s="485" t="s">
        <v>2663</v>
      </c>
      <c r="C1079" s="402"/>
      <c r="D1079" s="119" t="s">
        <v>1826</v>
      </c>
      <c r="I1079" s="490"/>
    </row>
    <row r="1080" spans="1:9">
      <c r="A1080" s="402"/>
      <c r="B1080" s="402"/>
      <c r="C1080" s="402"/>
      <c r="D1080" s="1260" t="s">
        <v>1827</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1825</v>
      </c>
      <c r="I1084" s="490"/>
    </row>
    <row r="1085" spans="1:9">
      <c r="A1085" s="402"/>
      <c r="B1085" s="402"/>
      <c r="C1085" s="402"/>
      <c r="D1085" s="119"/>
      <c r="I1085" s="490"/>
    </row>
    <row r="1086" spans="1:9">
      <c r="A1086" s="402"/>
      <c r="B1086" s="402"/>
      <c r="C1086" s="402"/>
      <c r="D1086" s="527" t="s">
        <v>1818</v>
      </c>
      <c r="I1086" s="490"/>
    </row>
    <row r="1087" spans="1:9">
      <c r="A1087" s="402"/>
      <c r="B1087" s="485" t="s">
        <v>2663</v>
      </c>
      <c r="C1087" s="402"/>
      <c r="D1087" s="1326" t="s">
        <v>1819</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1824</v>
      </c>
      <c r="I1092" s="490"/>
    </row>
    <row r="1093" spans="1:9">
      <c r="A1093" s="402"/>
      <c r="B1093" s="402"/>
      <c r="C1093" s="402"/>
      <c r="I1093" s="490"/>
    </row>
    <row r="1094" spans="1:9">
      <c r="A1094" s="402"/>
      <c r="B1094" s="485" t="s">
        <v>2663</v>
      </c>
      <c r="C1094" s="402"/>
      <c r="D1094" s="1276" t="s">
        <v>2278</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1829</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2760</v>
      </c>
      <c r="C1101" s="402"/>
      <c r="D1101" s="1328" t="s">
        <v>1927</v>
      </c>
      <c r="E1101" s="1328"/>
      <c r="F1101" s="1328"/>
      <c r="I1101" s="490"/>
    </row>
    <row r="1102" spans="1:9">
      <c r="A1102" s="402"/>
      <c r="B1102" s="402"/>
      <c r="C1102" s="402"/>
      <c r="D1102" s="1328"/>
      <c r="E1102" s="1328"/>
      <c r="F1102" s="1328"/>
      <c r="I1102" s="490"/>
    </row>
    <row r="1103" spans="1:9">
      <c r="A1103" s="402"/>
      <c r="B1103" s="402"/>
      <c r="C1103" s="402"/>
      <c r="D1103" s="1329" t="s">
        <v>2141</v>
      </c>
      <c r="E1103" s="1260"/>
      <c r="F1103" s="1260"/>
      <c r="I1103" s="490"/>
    </row>
    <row r="1104" spans="1:9">
      <c r="A1104" s="402"/>
      <c r="B1104" s="402"/>
      <c r="C1104" s="402"/>
      <c r="D1104" s="527"/>
      <c r="I1104" s="490"/>
    </row>
    <row r="1105" spans="1:9">
      <c r="A1105" s="402"/>
      <c r="B1105" s="485" t="s">
        <v>2663</v>
      </c>
      <c r="C1105" s="402"/>
      <c r="D1105" s="1326" t="s">
        <v>1830</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2663</v>
      </c>
      <c r="C1108" s="402"/>
      <c r="D1108" s="1326" t="s">
        <v>1885</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2663</v>
      </c>
      <c r="C1115" s="402"/>
      <c r="D1115" s="1326" t="s">
        <v>1831</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2760</v>
      </c>
      <c r="C1119" s="402"/>
      <c r="D1119" s="1266" t="s">
        <v>1886</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2663</v>
      </c>
      <c r="C1123" s="402"/>
      <c r="D1123" s="1260" t="s">
        <v>1887</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36328125" hidden="1" customWidth="1"/>
    <col min="53" max="53" width="7.36328125" hidden="1" customWidth="1"/>
    <col min="54" max="55" width="3.7265625" hidden="1" customWidth="1"/>
    <col min="56" max="56" width="8.26953125" hidden="1" customWidth="1"/>
    <col min="57" max="57" width="8.36328125" hidden="1" customWidth="1"/>
    <col min="58" max="58" width="8.08984375" hidden="1" customWidth="1"/>
    <col min="59" max="59" width="11.08984375" hidden="1" customWidth="1"/>
    <col min="60" max="60" width="3.7265625" hidden="1" customWidth="1"/>
    <col min="61" max="61" width="8.26953125" hidden="1" customWidth="1"/>
    <col min="62" max="16384" width="3.7265625" hidden="1"/>
  </cols>
  <sheetData>
    <row r="1" spans="1:58" ht="13" customHeight="1">
      <c r="J1" s="100"/>
      <c r="AS1" s="1031">
        <v>4</v>
      </c>
      <c r="BD1" s="3" t="s">
        <v>2494</v>
      </c>
      <c r="BE1" s="3"/>
      <c r="BF1" s="3"/>
    </row>
    <row r="2" spans="1:58" ht="13" customHeight="1">
      <c r="BD2" s="3" t="s">
        <v>2495</v>
      </c>
      <c r="BE2" s="3" t="s">
        <v>2496</v>
      </c>
      <c r="BF2" s="3" t="s">
        <v>2497</v>
      </c>
    </row>
    <row r="3" spans="1:58" ht="13" customHeight="1">
      <c r="BD3" s="3" t="s">
        <v>2592</v>
      </c>
      <c r="BE3" t="str">
        <f>AC220</f>
        <v>N/A</v>
      </c>
    </row>
    <row r="4" spans="1:58" ht="13" customHeight="1">
      <c r="BD4" s="3" t="s">
        <v>2504</v>
      </c>
      <c r="BE4" s="1246"/>
    </row>
    <row r="5" spans="1:58" ht="13" customHeight="1">
      <c r="BD5" s="3" t="s">
        <v>2505</v>
      </c>
      <c r="BE5">
        <f>SUMIF($AC$718:$AC$752,"&lt;=20%",$G$718:G$752)</f>
        <v>0</v>
      </c>
      <c r="BF5" s="3" t="s">
        <v>2510</v>
      </c>
    </row>
    <row r="6" spans="1:58" ht="13" customHeight="1">
      <c r="BD6" s="3" t="s">
        <v>2506</v>
      </c>
      <c r="BE6" s="1249">
        <f>SUMIF($AC$718:$AC$752,"&lt;=25%",$G$718:G$752)-SUM($BE$5:BE5)</f>
        <v>0</v>
      </c>
    </row>
    <row r="7" spans="1:58" ht="13" customHeight="1">
      <c r="BD7" s="1247" t="s">
        <v>2498</v>
      </c>
      <c r="BE7" s="1249">
        <f>SUMIF($AC$718:$AC$752,"&lt;=30%",$G$718:G$752)-SUM($BE$5:BE6)</f>
        <v>22</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2507</v>
      </c>
      <c r="BE8" s="1249">
        <f>SUMIF($AC$718:$AC$752,"&lt;=35%",$G$718:G$752)-SUM($BE$5:BE7)</f>
        <v>0</v>
      </c>
    </row>
    <row r="9" spans="1:58" ht="13" customHeight="1">
      <c r="A9" s="1839" t="s">
        <v>2074</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2499</v>
      </c>
      <c r="BE9" s="1249">
        <f>SUMIF($AC$718:$AC$752,"&lt;=40%",$G$718:G$752)-SUM($BE$5:BE8)</f>
        <v>0</v>
      </c>
    </row>
    <row r="10" spans="1:58" ht="13" customHeight="1">
      <c r="A10" s="1839" t="s">
        <v>2456</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2508</v>
      </c>
      <c r="BE10" s="1249">
        <f>SUMIF($AC$718:$AC$752,"&lt;=45%",$G$718:G$752)-SUM($BE$5:BE9)</f>
        <v>0</v>
      </c>
    </row>
    <row r="11" spans="1:58" ht="13" customHeight="1">
      <c r="A11" s="1839" t="s">
        <v>2602</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2500</v>
      </c>
      <c r="BE11" s="1249">
        <f>SUMIF($AC$718:$AC$752,"&lt;=50%",$G$718:G$752)-SUM($BE$5:BE10)</f>
        <v>7</v>
      </c>
    </row>
    <row r="12" spans="1:58" ht="13" customHeight="1">
      <c r="A12" s="1840" t="s">
        <v>2608</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2509</v>
      </c>
      <c r="BE12" s="1249">
        <f>SUMIF($AC$718:$AC$752,"&lt;=55%",$G$718:G$752)-SUM($BE$5:BE11)</f>
        <v>0</v>
      </c>
    </row>
    <row r="13" spans="1:58" ht="13" customHeight="1">
      <c r="A13" s="1270" t="s">
        <v>2075</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2501</v>
      </c>
      <c r="BE13" s="1249">
        <f>SUMIF($AC$718:$AC$752,"&lt;=60%",$G$718:G$752)-SUM($BE$5:BE12)</f>
        <v>22</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2502</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21</v>
      </c>
    </row>
    <row r="16" spans="1:58" ht="13" customHeight="1">
      <c r="A16" s="57" t="s">
        <v>2076</v>
      </c>
      <c r="C16" s="4"/>
      <c r="D16" s="4"/>
      <c r="E16" s="4"/>
      <c r="F16" s="4"/>
      <c r="G16" s="4"/>
      <c r="H16" s="1571" t="s">
        <v>2706</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654</v>
      </c>
      <c r="BE16" s="1249" t="str">
        <f>Application!H18</f>
        <v>Kingfisher II</v>
      </c>
    </row>
    <row r="17" spans="1:58" ht="13" customHeight="1">
      <c r="BD17" s="1247" t="s">
        <v>2516</v>
      </c>
      <c r="BE17" s="1249">
        <f>Application!AA934</f>
        <v>0</v>
      </c>
    </row>
    <row r="18" spans="1:58" ht="13" customHeight="1">
      <c r="A18" s="57" t="s">
        <v>101</v>
      </c>
      <c r="C18" s="4"/>
      <c r="D18" s="4"/>
      <c r="E18" s="4"/>
      <c r="F18" s="4"/>
      <c r="G18" s="4"/>
      <c r="H18" s="1407" t="s">
        <v>2707</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2517</v>
      </c>
      <c r="BE18" s="1249">
        <f>'CalHFA Addendum'!N11</f>
        <v>0</v>
      </c>
    </row>
    <row r="19" spans="1:58" ht="13" customHeight="1">
      <c r="BD19" s="1247" t="s">
        <v>2518</v>
      </c>
      <c r="BE19" s="1249">
        <f>Application!M26</f>
        <v>2868087</v>
      </c>
    </row>
    <row r="20" spans="1:58" ht="13" customHeight="1">
      <c r="A20" s="1841" t="s">
        <v>871</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2519</v>
      </c>
      <c r="BE20" s="1249">
        <f>Application!M27</f>
        <v>14400000</v>
      </c>
    </row>
    <row r="21" spans="1:58" ht="13" customHeight="1">
      <c r="A21" s="1844" t="s">
        <v>1007</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2520</v>
      </c>
      <c r="BE21" s="1249">
        <f>Application!AM554</f>
        <v>16000000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56420274</v>
      </c>
      <c r="BF22" s="3" t="s">
        <v>2593</v>
      </c>
    </row>
    <row r="23" spans="1:58" ht="13" customHeight="1">
      <c r="A23" s="1328" t="s">
        <v>2144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2521</v>
      </c>
      <c r="BE23" s="1249">
        <f>'Sources and Uses Budget'!B4</f>
        <v>580000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2522</v>
      </c>
      <c r="BE24" s="1249">
        <f>Application!AG450</f>
        <v>89390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 Average Income</v>
      </c>
    </row>
    <row r="26" spans="1:58" ht="13" customHeight="1">
      <c r="A26" s="4"/>
      <c r="C26" s="4"/>
      <c r="D26" s="4"/>
      <c r="E26" s="4"/>
      <c r="F26" s="4"/>
      <c r="G26" s="4"/>
      <c r="H26" s="4"/>
      <c r="I26" s="4"/>
      <c r="J26" s="4"/>
      <c r="K26" s="4"/>
      <c r="L26" s="4"/>
      <c r="M26" s="1843">
        <f>'Basis &amp; Credits'!AB56</f>
        <v>2868087</v>
      </c>
      <c r="N26" s="1843"/>
      <c r="O26" s="1843"/>
      <c r="P26" s="1843"/>
      <c r="Q26" s="1843"/>
      <c r="R26" s="4" t="s">
        <v>757</v>
      </c>
      <c r="S26" s="4"/>
      <c r="T26" s="4"/>
      <c r="U26" s="4"/>
      <c r="V26" s="4"/>
      <c r="W26" s="4"/>
      <c r="X26" s="4"/>
      <c r="Y26" s="4"/>
      <c r="Z26" s="4"/>
      <c r="AF26" s="4"/>
      <c r="AG26" s="4"/>
      <c r="AH26" s="4"/>
      <c r="AI26" s="4"/>
      <c r="AJ26" s="4"/>
      <c r="AK26" s="4"/>
      <c r="BD26" s="1248" t="s">
        <v>1637</v>
      </c>
      <c r="BE26" s="1249" t="b">
        <f>Application!M356="Yes"</f>
        <v>0</v>
      </c>
    </row>
    <row r="27" spans="1:58" ht="13" customHeight="1">
      <c r="A27" s="4"/>
      <c r="C27" s="4"/>
      <c r="D27" s="4"/>
      <c r="E27" s="4"/>
      <c r="F27" s="4"/>
      <c r="G27" s="4"/>
      <c r="H27" s="4"/>
      <c r="I27" s="4"/>
      <c r="J27" s="4"/>
      <c r="K27" s="4"/>
      <c r="L27" s="4"/>
      <c r="M27" s="1359">
        <f>'Basis &amp; Credits'!AB78</f>
        <v>14400000</v>
      </c>
      <c r="N27" s="1359"/>
      <c r="O27" s="1359"/>
      <c r="P27" s="1359"/>
      <c r="Q27" s="1359"/>
      <c r="R27" s="3" t="s">
        <v>1265</v>
      </c>
      <c r="S27" s="4"/>
      <c r="T27" s="4"/>
      <c r="U27" s="4"/>
      <c r="V27" s="4"/>
      <c r="W27" s="4"/>
      <c r="X27" s="4"/>
      <c r="Y27" s="4"/>
      <c r="Z27" s="4"/>
      <c r="AF27" s="4"/>
      <c r="AG27" s="4"/>
      <c r="AH27" s="4"/>
      <c r="AI27" s="4"/>
      <c r="AJ27" s="4"/>
      <c r="AK27" s="4"/>
      <c r="BD27" s="1247" t="s">
        <v>2096</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3" customHeight="1">
      <c r="A29" s="1538" t="s">
        <v>2145</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2525</v>
      </c>
      <c r="BE29" s="1249" t="b">
        <f>Application!M358="Yes"</f>
        <v>0</v>
      </c>
    </row>
    <row r="30" spans="1:58" ht="13"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0</v>
      </c>
    </row>
    <row r="31" spans="1:58" ht="13"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2526</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0</v>
      </c>
    </row>
    <row r="33" spans="1:57" ht="13" customHeight="1">
      <c r="A33" s="519" t="s">
        <v>1276</v>
      </c>
      <c r="C33" s="519"/>
      <c r="D33" s="519"/>
      <c r="E33" s="519"/>
      <c r="F33" s="519"/>
      <c r="G33" s="519"/>
      <c r="H33" s="519"/>
      <c r="I33" s="519"/>
      <c r="J33" s="519"/>
      <c r="K33" s="519"/>
      <c r="L33" s="519"/>
      <c r="M33" s="519"/>
      <c r="N33" s="519"/>
      <c r="O33" s="1416" t="s">
        <v>544</v>
      </c>
      <c r="P33" s="1416"/>
      <c r="Q33" s="1842" t="s">
        <v>2146</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2594</v>
      </c>
      <c r="BE33" s="1249" t="str">
        <f>Application!D220</f>
        <v>N/A</v>
      </c>
    </row>
    <row r="34" spans="1:57" ht="13" customHeight="1">
      <c r="A34" s="1538" t="s">
        <v>2147</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2528</v>
      </c>
      <c r="BE34" s="1249" t="str">
        <f>Application!I185</f>
        <v>57 Inyo Street</v>
      </c>
    </row>
    <row r="35" spans="1:57" ht="13"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2529</v>
      </c>
      <c r="BE35" s="1249" t="str">
        <f>IF(Application!E187="","",Application!E187)</f>
        <v/>
      </c>
    </row>
    <row r="36" spans="1:57" ht="13"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2530</v>
      </c>
      <c r="BE36" s="1249" t="str">
        <f>Application!I189</f>
        <v>Mammoth Lakes</v>
      </c>
    </row>
    <row r="37" spans="1:57" ht="13"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2531</v>
      </c>
      <c r="BE37" s="1249" t="str">
        <f>Application!T189</f>
        <v>Mono</v>
      </c>
    </row>
    <row r="38" spans="1:57" ht="13" customHeight="1">
      <c r="A38" s="3"/>
      <c r="AZ38" s="20"/>
      <c r="BD38" s="1248" t="s">
        <v>2532</v>
      </c>
      <c r="BE38" s="1249">
        <f>Application!I190</f>
        <v>93546</v>
      </c>
    </row>
    <row r="39" spans="1:57" ht="13" customHeight="1">
      <c r="A39" s="1260" t="s">
        <v>2148</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2533</v>
      </c>
      <c r="BE39" s="1249">
        <f>Application!AG437</f>
        <v>72</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72</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2534</v>
      </c>
      <c r="BE42" s="1251">
        <f>Application!AC753</f>
        <v>0.55694444444444435</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2535</v>
      </c>
      <c r="BE43" s="1251">
        <f>Application!AH753</f>
        <v>0.55716560666931536</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2536</v>
      </c>
      <c r="BE44" s="1249">
        <f>Application!AC454</f>
        <v>783614.91666666663</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1</v>
      </c>
    </row>
    <row r="46" spans="1:57" ht="13" customHeight="1">
      <c r="A46" s="1328" t="s">
        <v>2149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2538</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2539</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2540</v>
      </c>
      <c r="BE48" s="1249" t="str">
        <f>Application!M243</f>
        <v>Central Valley Coalition for Affordable Housing</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2541</v>
      </c>
      <c r="BE49" s="1249" t="str">
        <f>Application!M246</f>
        <v>Christina Alley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t="str">
        <f>Application!AA249</f>
        <v>N/A</v>
      </c>
    </row>
    <row r="51" spans="1:57" ht="13" customHeight="1">
      <c r="A51" s="1260" t="s">
        <v>2150</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2543</v>
      </c>
      <c r="BE51" s="1249" t="str">
        <f>Application!M251</f>
        <v>TPC Holdings IX, LLC</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2544</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t="str">
        <f>Application!AA257</f>
        <v>The Pacific Companies</v>
      </c>
    </row>
    <row r="54" spans="1:57" ht="13" customHeight="1">
      <c r="A54" s="1260" t="s">
        <v>2151</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2546</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2547</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2548</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2549</v>
      </c>
      <c r="BE57" s="1249" t="str">
        <f>Application!H287</f>
        <v>Pacific West Communities, Inc.</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2550</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Eagle, ID 83616</v>
      </c>
    </row>
    <row r="60" spans="1:57" ht="13" customHeight="1">
      <c r="A60" s="1260" t="s">
        <v>2152</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2552</v>
      </c>
      <c r="BE60" s="1249" t="str">
        <f>Application!H290</f>
        <v>Caleb Roope</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2553</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0.81991799999999992</v>
      </c>
    </row>
    <row r="63" spans="1:57" ht="13"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1248</v>
      </c>
      <c r="BE63" s="1252">
        <f>'Basis &amp; Credits'!AB72</f>
        <v>0.85991395000000004</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3" customHeight="1">
      <c r="A65" s="1548" t="s">
        <v>2154</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2591</v>
      </c>
      <c r="BE65" s="1249" t="str">
        <f>Z205</f>
        <v>$500M</v>
      </c>
    </row>
    <row r="66" spans="1:57" ht="13"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2556</v>
      </c>
      <c r="BE66" s="1249" t="b">
        <f>Application!Z205="State Farmworker Credit"</f>
        <v>0</v>
      </c>
    </row>
    <row r="67" spans="1:57" ht="13"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2557</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3" customHeight="1">
      <c r="A69" s="1548" t="s">
        <v>2155</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2559</v>
      </c>
      <c r="BE69" s="1249" t="str">
        <f>Application!W700</f>
        <v>California Municipal Finance Authority (CMFA)</v>
      </c>
    </row>
    <row r="70" spans="1:57" ht="13"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2560</v>
      </c>
      <c r="BE70" s="1249">
        <f ca="1">'Points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3" customHeight="1">
      <c r="A72" s="1538" t="s">
        <v>2156</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2562</v>
      </c>
      <c r="BE72" s="1249">
        <f>'Points System'!AF805</f>
        <v>10</v>
      </c>
    </row>
    <row r="73" spans="1:57" ht="13"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2563</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3" customHeight="1">
      <c r="A75" s="1547" t="s">
        <v>2157</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2565</v>
      </c>
      <c r="BE75" s="1249">
        <f>'Points System'!AF808</f>
        <v>10</v>
      </c>
    </row>
    <row r="76" spans="1:57" ht="13"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2566</v>
      </c>
      <c r="BE76" s="1249">
        <f>'Points System'!AF811</f>
        <v>10</v>
      </c>
    </row>
    <row r="77" spans="1:57" ht="13"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2567</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3" customHeight="1">
      <c r="A79" s="1548" t="s">
        <v>2158</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2569</v>
      </c>
      <c r="BE79" s="1249">
        <f>'Points System'!AF815</f>
        <v>10</v>
      </c>
    </row>
    <row r="80" spans="1:57" ht="13"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2570</v>
      </c>
      <c r="BE80" s="1249">
        <f>'Points System'!AF817</f>
        <v>10</v>
      </c>
    </row>
    <row r="81" spans="1:57" ht="13"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2571</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3" customHeight="1">
      <c r="A83" s="1260" t="s">
        <v>2159</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2573</v>
      </c>
      <c r="BE83" s="1253">
        <f>'Tie Breaker'!H5</f>
        <v>0.54474504643962851</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2574</v>
      </c>
      <c r="BE84" s="1249" t="str">
        <f>Application!O153</f>
        <v>Town of Mammoth Lakes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Rob Patterson</v>
      </c>
    </row>
    <row r="86" spans="1:57" ht="13" customHeight="1">
      <c r="A86" s="1260" t="s">
        <v>2160</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2576</v>
      </c>
      <c r="BE86" s="1249" t="str">
        <f>Application!O155</f>
        <v>Town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2577</v>
      </c>
      <c r="BE87" s="1249" t="str">
        <f>Application!O156</f>
        <v>437 Old Mammoth Road, Suite 230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Mammoth Lakes</v>
      </c>
    </row>
    <row r="89" spans="1:57" ht="13" customHeight="1">
      <c r="A89" s="1557" t="s">
        <v>2161</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c r="BD89" s="1247" t="s">
        <v>2579</v>
      </c>
      <c r="BE89" s="1249">
        <f>Application!O158</f>
        <v>93546</v>
      </c>
    </row>
    <row r="90" spans="1:57" ht="13"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c r="BD90" s="1248" t="s">
        <v>2580</v>
      </c>
      <c r="BE90" s="1249" t="str">
        <f>Application!H16</f>
        <v>Central Valley Coalition for Affordable Housing, a CA Nonprofit Public Benefit Corp.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3351 M Street, Suite 100</v>
      </c>
    </row>
    <row r="92" spans="1:57" ht="13" customHeight="1">
      <c r="A92" s="1547" t="s">
        <v>2162</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2582</v>
      </c>
      <c r="BE92" s="1249" t="str">
        <f>Application!M234</f>
        <v>Merced</v>
      </c>
    </row>
    <row r="93" spans="1:57" ht="13"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2583</v>
      </c>
      <c r="BE93" s="1249" t="str">
        <f>Application!W234</f>
        <v>CA</v>
      </c>
    </row>
    <row r="94" spans="1:57" ht="13"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2584</v>
      </c>
      <c r="BE94" s="1249">
        <f>Application!AC234</f>
        <v>95348</v>
      </c>
    </row>
    <row r="95" spans="1:57" ht="13"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2585</v>
      </c>
      <c r="BE95" s="1249" t="str">
        <f>Application!M235</f>
        <v>Christina Alley</v>
      </c>
    </row>
    <row r="96" spans="1:57" ht="13"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2586</v>
      </c>
      <c r="BE96" s="1249" t="str">
        <f>Application!M237</f>
        <v>chris@centralvalleycoalition.com</v>
      </c>
    </row>
    <row r="97" spans="1:57" ht="13"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2587</v>
      </c>
      <c r="BE97" s="1249" t="str">
        <f>Application!M248</f>
        <v>chris@centralvalleycoalition.com</v>
      </c>
    </row>
    <row r="98" spans="1:57" ht="13"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2588</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f>Application!M264</f>
        <v>0</v>
      </c>
    </row>
    <row r="100" spans="1:57" ht="13" customHeight="1">
      <c r="A100" s="1558" t="s">
        <v>2163</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558"/>
      <c r="AS100" s="1558"/>
      <c r="AT100" s="1558"/>
      <c r="AU100" s="20"/>
      <c r="AV100" s="20"/>
      <c r="AW100" s="20"/>
      <c r="AX100" s="20"/>
      <c r="AY100" s="20"/>
      <c r="AZ100" s="20"/>
      <c r="BD100" s="1248" t="s">
        <v>2590</v>
      </c>
      <c r="BE100" s="1249" t="str">
        <f>Application!L279</f>
        <v>tonyc@tpchousing.com</v>
      </c>
    </row>
    <row r="101" spans="1:57" ht="13"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c r="W101" s="1558"/>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558"/>
      <c r="AS101" s="1558"/>
      <c r="AT101" s="1558"/>
      <c r="AU101" s="20"/>
      <c r="AV101" s="20"/>
      <c r="AW101" s="20"/>
      <c r="AX101" s="20"/>
      <c r="AY101" s="20"/>
      <c r="AZ101" s="20"/>
      <c r="BD101" s="3" t="s">
        <v>2595</v>
      </c>
      <c r="BE101">
        <f>'Sources and Uses Budget'!C105</f>
        <v>56420274</v>
      </c>
    </row>
    <row r="102" spans="1:57" ht="13" customHeight="1">
      <c r="A102" s="1558"/>
      <c r="B102" s="1558"/>
      <c r="C102" s="1558"/>
      <c r="D102" s="1558"/>
      <c r="E102" s="1558"/>
      <c r="F102" s="1558"/>
      <c r="G102" s="1558"/>
      <c r="H102" s="1558"/>
      <c r="I102" s="1558"/>
      <c r="J102" s="1558"/>
      <c r="K102" s="1558"/>
      <c r="L102" s="1558"/>
      <c r="M102" s="1558"/>
      <c r="N102" s="1558"/>
      <c r="O102" s="1558"/>
      <c r="P102" s="1558"/>
      <c r="Q102" s="1558"/>
      <c r="R102" s="1558"/>
      <c r="S102" s="1558"/>
      <c r="T102" s="1558"/>
      <c r="U102" s="1558"/>
      <c r="V102" s="1558"/>
      <c r="W102" s="1558"/>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558"/>
      <c r="AS102" s="1558"/>
      <c r="AT102" s="1558"/>
      <c r="AU102" s="20"/>
      <c r="AV102" s="20"/>
      <c r="AW102" s="20"/>
      <c r="AX102" s="20"/>
      <c r="AY102" s="20"/>
      <c r="AZ102" s="20"/>
      <c r="BD102" s="3" t="s">
        <v>2596</v>
      </c>
      <c r="BE102" t="b">
        <f>T197="Yes"</f>
        <v>0</v>
      </c>
    </row>
    <row r="103" spans="1:57" ht="13" customHeight="1">
      <c r="A103" s="1558"/>
      <c r="B103" s="1558"/>
      <c r="C103" s="1558"/>
      <c r="D103" s="1558"/>
      <c r="E103" s="1558"/>
      <c r="F103" s="1558"/>
      <c r="G103" s="1558"/>
      <c r="H103" s="1558"/>
      <c r="I103" s="1558"/>
      <c r="J103" s="1558"/>
      <c r="K103" s="1558"/>
      <c r="L103" s="1558"/>
      <c r="M103" s="1558"/>
      <c r="N103" s="1558"/>
      <c r="O103" s="1558"/>
      <c r="P103" s="1558"/>
      <c r="Q103" s="1558"/>
      <c r="R103" s="1558"/>
      <c r="S103" s="1558"/>
      <c r="T103" s="1558"/>
      <c r="U103" s="1558"/>
      <c r="V103" s="1558"/>
      <c r="W103" s="1558"/>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558"/>
      <c r="AS103" s="1558"/>
      <c r="AT103" s="1558"/>
      <c r="AU103" s="20"/>
      <c r="AV103" s="20"/>
      <c r="AW103" s="20"/>
      <c r="AX103" s="20"/>
      <c r="AY103" s="20"/>
      <c r="BD103" t="s">
        <v>2173</v>
      </c>
      <c r="BE103" s="1249" t="b">
        <f>T199="Yes"</f>
        <v>1</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8" t="s">
        <v>2164</v>
      </c>
      <c r="B105" s="1558"/>
      <c r="C105" s="1558"/>
      <c r="D105" s="1558"/>
      <c r="E105" s="1558"/>
      <c r="F105" s="1558"/>
      <c r="G105" s="1558"/>
      <c r="H105" s="1558"/>
      <c r="I105" s="1558"/>
      <c r="J105" s="1558"/>
      <c r="K105" s="1558"/>
      <c r="L105" s="1558"/>
      <c r="M105" s="1558"/>
      <c r="N105" s="1558"/>
      <c r="O105" s="1558"/>
      <c r="P105" s="1558"/>
      <c r="Q105" s="1558"/>
      <c r="R105" s="1558"/>
      <c r="S105" s="1558"/>
      <c r="T105" s="1558"/>
      <c r="U105" s="1558"/>
      <c r="V105" s="1558"/>
      <c r="W105" s="1558"/>
      <c r="X105" s="1558"/>
      <c r="Y105" s="1558"/>
      <c r="Z105" s="1558"/>
      <c r="AA105" s="1558"/>
      <c r="AB105" s="1558"/>
      <c r="AC105" s="1558"/>
      <c r="AD105" s="1558"/>
      <c r="AE105" s="1558"/>
      <c r="AF105" s="1558"/>
      <c r="AG105" s="1558"/>
      <c r="AH105" s="1558"/>
      <c r="AI105" s="1558"/>
      <c r="AJ105" s="1558"/>
      <c r="AK105" s="1558"/>
      <c r="AL105" s="1558"/>
      <c r="AM105" s="1558"/>
      <c r="AN105" s="1558"/>
      <c r="AO105" s="1558"/>
      <c r="AP105" s="1558"/>
      <c r="AQ105" s="1558"/>
      <c r="AR105" s="1558"/>
      <c r="AS105" s="1558"/>
      <c r="AT105" s="1558"/>
      <c r="AU105" s="20"/>
      <c r="AV105" s="20"/>
      <c r="AW105" s="20"/>
      <c r="AX105" s="20"/>
      <c r="AY105" s="20"/>
    </row>
    <row r="106" spans="1:57" ht="13" customHeight="1">
      <c r="A106" s="1558"/>
      <c r="B106" s="1558"/>
      <c r="C106" s="1558"/>
      <c r="D106" s="1558"/>
      <c r="E106" s="1558"/>
      <c r="F106" s="1558"/>
      <c r="G106" s="1558"/>
      <c r="H106" s="1558"/>
      <c r="I106" s="1558"/>
      <c r="J106" s="1558"/>
      <c r="K106" s="1558"/>
      <c r="L106" s="1558"/>
      <c r="M106" s="1558"/>
      <c r="N106" s="1558"/>
      <c r="O106" s="1558"/>
      <c r="P106" s="1558"/>
      <c r="Q106" s="1558"/>
      <c r="R106" s="1558"/>
      <c r="S106" s="1558"/>
      <c r="T106" s="1558"/>
      <c r="U106" s="1558"/>
      <c r="V106" s="1558"/>
      <c r="W106" s="1558"/>
      <c r="X106" s="1558"/>
      <c r="Y106" s="1558"/>
      <c r="Z106" s="1558"/>
      <c r="AA106" s="1558"/>
      <c r="AB106" s="1558"/>
      <c r="AC106" s="1558"/>
      <c r="AD106" s="1558"/>
      <c r="AE106" s="1558"/>
      <c r="AF106" s="1558"/>
      <c r="AG106" s="1558"/>
      <c r="AH106" s="1558"/>
      <c r="AI106" s="1558"/>
      <c r="AJ106" s="1558"/>
      <c r="AK106" s="1558"/>
      <c r="AL106" s="1558"/>
      <c r="AM106" s="1558"/>
      <c r="AN106" s="1558"/>
      <c r="AO106" s="1558"/>
      <c r="AP106" s="1558"/>
      <c r="AQ106" s="1558"/>
      <c r="AR106" s="1558"/>
      <c r="AS106" s="1558"/>
      <c r="AT106" s="1558"/>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51"/>
      <c r="H113" s="1551"/>
      <c r="I113" s="3" t="s">
        <v>182</v>
      </c>
      <c r="L113" s="1551" t="s">
        <v>2610</v>
      </c>
      <c r="M113" s="1551"/>
      <c r="N113" s="1551"/>
      <c r="O113" s="1551"/>
      <c r="P113" s="1566" t="s">
        <v>2237</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2" t="s">
        <v>55</v>
      </c>
      <c r="D115" s="1552"/>
      <c r="E115" s="1552"/>
      <c r="F115" s="1552"/>
      <c r="G115" s="1552"/>
      <c r="H115" s="1552"/>
      <c r="I115" s="1552"/>
      <c r="J115" s="1552"/>
      <c r="K115" s="1552"/>
      <c r="L115" s="202" t="s">
        <v>2708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626</v>
      </c>
      <c r="Y117" s="1551"/>
      <c r="Z117" s="1551"/>
      <c r="AA117" s="1551"/>
      <c r="AB117" s="1551"/>
      <c r="AC117" s="1551"/>
      <c r="AD117" s="1551"/>
      <c r="AE117" s="1551"/>
      <c r="AF117" s="1551"/>
      <c r="AG117" s="1551"/>
      <c r="AH117" s="1551"/>
      <c r="AI117" s="1551"/>
      <c r="AJ117" s="1551"/>
      <c r="AK117" s="1551"/>
    </row>
    <row r="118" spans="1:117" ht="13" customHeight="1">
      <c r="X118" s="3"/>
      <c r="Y118" s="3"/>
      <c r="Z118" s="3" t="s">
        <v>627</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1" t="s">
        <v>2623</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630</v>
      </c>
      <c r="CR122" s="14"/>
      <c r="CS122" s="14"/>
      <c r="CT122" s="14"/>
      <c r="CU122" s="1697" t="s">
        <v>468</v>
      </c>
      <c r="CV122" s="1698"/>
      <c r="CW122" s="14"/>
      <c r="CX122" s="14" t="s">
        <v>632</v>
      </c>
      <c r="CY122" s="14"/>
      <c r="CZ122" s="14"/>
      <c r="DA122" s="14"/>
      <c r="DB122" s="14"/>
      <c r="DC122" s="14"/>
      <c r="DD122" s="14"/>
      <c r="DE122" s="14"/>
      <c r="DF122" s="14"/>
      <c r="DG122" s="1694" t="str">
        <f>T189</f>
        <v>Mono</v>
      </c>
      <c r="DH122" s="1695"/>
      <c r="DI122" s="1695"/>
      <c r="DJ122" s="1695"/>
      <c r="DK122" s="1695"/>
      <c r="DL122" s="1695"/>
      <c r="DM122" s="1696"/>
    </row>
    <row r="123" spans="1:117" ht="13" customHeight="1">
      <c r="A123" s="3"/>
      <c r="B123" s="3"/>
      <c r="T123" s="3"/>
      <c r="U123" s="3"/>
      <c r="V123" s="3"/>
      <c r="W123" s="3"/>
      <c r="X123" s="3"/>
      <c r="Y123" s="1551" t="s">
        <v>2709</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629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873</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3" customHeight="1">
      <c r="BM152">
        <v>4</v>
      </c>
      <c r="BN152" s="3" t="s">
        <v>2462</v>
      </c>
    </row>
    <row r="153" spans="1:108" ht="13" customHeight="1">
      <c r="D153" t="s">
        <v>643</v>
      </c>
      <c r="O153" s="1407" t="s">
        <v>2710</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2464</v>
      </c>
      <c r="CR153" s="31" t="s">
        <v>2597</v>
      </c>
      <c r="CS153" s="32"/>
      <c r="CT153" s="32"/>
      <c r="CU153" s="32"/>
      <c r="CV153" s="32"/>
      <c r="CW153" s="32"/>
      <c r="CX153" s="14"/>
      <c r="CY153" s="31" t="s">
        <v>2598</v>
      </c>
      <c r="CZ153" s="14"/>
      <c r="DA153" s="14"/>
      <c r="DB153" s="14"/>
      <c r="DC153" s="14"/>
      <c r="DD153" s="14"/>
    </row>
    <row r="154" spans="1:108" ht="13" customHeight="1">
      <c r="D154" s="303" t="s">
        <v>2713</v>
      </c>
      <c r="O154" s="1472" t="s">
        <v>2711</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2465</v>
      </c>
      <c r="CR154" s="31"/>
      <c r="CS154" s="32"/>
      <c r="CT154" s="32"/>
      <c r="CU154" s="32"/>
      <c r="CV154" s="32"/>
      <c r="CW154" s="32"/>
      <c r="CX154" s="14"/>
      <c r="CY154" s="31"/>
      <c r="CZ154" s="14"/>
      <c r="DA154" s="14"/>
      <c r="DB154" s="14"/>
      <c r="DC154" s="14"/>
      <c r="DD154" s="14"/>
    </row>
    <row r="155" spans="1:108" ht="13" customHeight="1">
      <c r="D155" s="8" t="s">
        <v>440</v>
      </c>
      <c r="F155" s="8"/>
      <c r="G155" s="8"/>
      <c r="H155" s="8"/>
      <c r="I155" s="8"/>
      <c r="J155" s="8"/>
      <c r="K155" s="8"/>
      <c r="L155" s="8"/>
      <c r="M155" s="8"/>
      <c r="N155" s="8"/>
      <c r="O155" s="1534" t="s">
        <v>2712</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590</v>
      </c>
      <c r="CR155" s="31"/>
      <c r="CS155" s="32"/>
      <c r="CT155" s="32"/>
      <c r="CU155" s="32"/>
      <c r="CV155" s="32"/>
      <c r="CW155" s="32"/>
      <c r="CX155" s="14"/>
      <c r="CY155" s="31"/>
      <c r="CZ155" s="14"/>
      <c r="DA155" s="14"/>
      <c r="DB155" s="14"/>
      <c r="DC155" s="14"/>
      <c r="DD155" s="14"/>
    </row>
    <row r="156" spans="1:108" ht="13" customHeight="1">
      <c r="D156" t="s">
        <v>313</v>
      </c>
      <c r="O156" s="1407" t="s">
        <v>2714</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2607</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07" t="s">
        <v>2715</v>
      </c>
      <c r="P157" s="1527"/>
      <c r="Q157" s="1527"/>
      <c r="R157" s="1527"/>
      <c r="S157" s="1527"/>
      <c r="T157" s="1527"/>
      <c r="U157" s="1527"/>
      <c r="V157" s="1527"/>
      <c r="W157" s="1527"/>
      <c r="X157" s="1527"/>
      <c r="Y157" s="8"/>
      <c r="Z157" s="8"/>
      <c r="AA157" s="8"/>
      <c r="AB157" s="8"/>
      <c r="AC157" s="8"/>
      <c r="AD157" s="8"/>
      <c r="AE157" s="8"/>
      <c r="AF157" s="8"/>
      <c r="BN157" s="23" t="s">
        <v>634</v>
      </c>
      <c r="BS157">
        <v>2</v>
      </c>
      <c r="BT157" t="s">
        <v>475</v>
      </c>
      <c r="CB157" s="286" t="s">
        <v>645</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61">
        <v>93546</v>
      </c>
      <c r="P158" s="1561"/>
      <c r="Q158" s="1561"/>
      <c r="R158" s="1561"/>
      <c r="S158" s="9"/>
      <c r="T158" s="9"/>
      <c r="U158" s="9"/>
      <c r="V158" s="9"/>
      <c r="W158" s="9"/>
      <c r="X158" s="9"/>
      <c r="Y158" s="9"/>
      <c r="Z158" s="9"/>
      <c r="AA158" s="9"/>
      <c r="AB158" s="9"/>
      <c r="AC158" s="9"/>
      <c r="AD158" s="9"/>
      <c r="AE158" s="9"/>
      <c r="AF158" s="9"/>
      <c r="BN158" s="23" t="s">
        <v>635</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45" t="s">
        <v>2716</v>
      </c>
      <c r="P159" s="1556"/>
      <c r="Q159" s="1556"/>
      <c r="R159" s="1556"/>
      <c r="S159" s="1556"/>
      <c r="T159" s="1556"/>
      <c r="V159" s="97" t="s">
        <v>271</v>
      </c>
      <c r="W159" s="1562"/>
      <c r="X159" s="1562"/>
      <c r="Y159" s="10"/>
      <c r="Z159" s="10"/>
      <c r="AA159" s="10"/>
      <c r="AB159" s="10"/>
      <c r="AC159" s="10"/>
      <c r="AD159" s="10"/>
      <c r="AE159" s="10"/>
      <c r="AF159" s="10"/>
      <c r="BN159" s="23" t="s">
        <v>339</v>
      </c>
      <c r="BS159">
        <v>7</v>
      </c>
      <c r="BT159" t="s">
        <v>477</v>
      </c>
      <c r="CB159" s="347" t="s">
        <v>646</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631</v>
      </c>
      <c r="CT159" s="72" t="s">
        <v>325</v>
      </c>
      <c r="CU159" s="72" t="s">
        <v>163</v>
      </c>
      <c r="CV159" s="72" t="s">
        <v>164</v>
      </c>
      <c r="CW159" s="72" t="s">
        <v>459</v>
      </c>
      <c r="CX159" s="14"/>
      <c r="CY159" s="14"/>
      <c r="CZ159" s="71" t="s">
        <v>631</v>
      </c>
      <c r="DA159" s="72" t="s">
        <v>325</v>
      </c>
      <c r="DB159" s="72" t="s">
        <v>163</v>
      </c>
      <c r="DC159" s="72" t="s">
        <v>164</v>
      </c>
      <c r="DD159" s="72" t="s">
        <v>459</v>
      </c>
    </row>
    <row r="160" spans="1:108" ht="13" customHeight="1">
      <c r="D160" t="s">
        <v>317</v>
      </c>
      <c r="O160" s="1545" t="s">
        <v>2717</v>
      </c>
      <c r="P160" s="1556"/>
      <c r="Q160" s="1556"/>
      <c r="R160" s="1556"/>
      <c r="S160" s="1556"/>
      <c r="T160" s="1556"/>
      <c r="U160" s="10"/>
      <c r="V160" s="10"/>
      <c r="W160" s="10"/>
      <c r="X160" s="10"/>
      <c r="Y160" s="10"/>
      <c r="Z160" s="10"/>
      <c r="AA160" s="10"/>
      <c r="AB160" s="10"/>
      <c r="AC160" s="10"/>
      <c r="AD160" s="10"/>
      <c r="AE160" s="10"/>
      <c r="AF160" s="10"/>
      <c r="BN160" s="23" t="s">
        <v>658</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634</v>
      </c>
      <c r="CS160" s="323">
        <v>473390</v>
      </c>
      <c r="CT160" s="323">
        <v>545814</v>
      </c>
      <c r="CU160" s="323">
        <v>658400</v>
      </c>
      <c r="CV160" s="323">
        <v>842752</v>
      </c>
      <c r="CW160" s="323">
        <v>938878</v>
      </c>
      <c r="CX160" s="14"/>
      <c r="CY160" s="23" t="s">
        <v>634</v>
      </c>
      <c r="CZ160" s="323">
        <v>473390</v>
      </c>
      <c r="DA160" s="323">
        <v>545814</v>
      </c>
      <c r="DB160" s="323">
        <v>658400</v>
      </c>
      <c r="DC160" s="323">
        <v>842752</v>
      </c>
      <c r="DD160" s="323">
        <v>938878</v>
      </c>
    </row>
    <row r="161" spans="1:108" ht="13" customHeight="1">
      <c r="D161" t="s">
        <v>318</v>
      </c>
      <c r="O161" s="1542" t="s">
        <v>2718</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667</v>
      </c>
      <c r="BN161" s="23" t="s">
        <v>659</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635</v>
      </c>
      <c r="CS161" s="321">
        <v>352022</v>
      </c>
      <c r="CT161" s="321">
        <v>405878</v>
      </c>
      <c r="CU161" s="321">
        <v>489600</v>
      </c>
      <c r="CV161" s="321">
        <v>626688</v>
      </c>
      <c r="CW161" s="321">
        <v>698170</v>
      </c>
      <c r="CX161" s="14"/>
      <c r="CY161" s="23" t="s">
        <v>635</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660</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661</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658</v>
      </c>
      <c r="CS163" s="321">
        <v>319236</v>
      </c>
      <c r="CT163" s="321">
        <v>368076</v>
      </c>
      <c r="CU163" s="321">
        <v>444000</v>
      </c>
      <c r="CV163" s="321">
        <v>568320</v>
      </c>
      <c r="CW163" s="321">
        <v>633144</v>
      </c>
      <c r="CX163" s="14"/>
      <c r="CY163" s="23" t="s">
        <v>658</v>
      </c>
      <c r="CZ163" s="321">
        <v>319236</v>
      </c>
      <c r="DA163" s="321">
        <v>368076</v>
      </c>
      <c r="DB163" s="321">
        <v>444000</v>
      </c>
      <c r="DC163" s="321">
        <v>568320</v>
      </c>
      <c r="DD163" s="321">
        <v>633144</v>
      </c>
    </row>
    <row r="164" spans="1:108" ht="13" customHeight="1">
      <c r="C164" s="27"/>
      <c r="D164" s="1553" t="s">
        <v>2214</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662</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659</v>
      </c>
      <c r="CS164" s="323">
        <v>352022</v>
      </c>
      <c r="CT164" s="323">
        <v>405878</v>
      </c>
      <c r="CU164" s="323">
        <v>489600</v>
      </c>
      <c r="CV164" s="323">
        <v>626688</v>
      </c>
      <c r="CW164" s="323">
        <v>698170</v>
      </c>
      <c r="CX164" s="14"/>
      <c r="CY164" s="23" t="s">
        <v>659</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663</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660</v>
      </c>
      <c r="CS165" s="321">
        <v>352022</v>
      </c>
      <c r="CT165" s="321">
        <v>405878</v>
      </c>
      <c r="CU165" s="321">
        <v>489600</v>
      </c>
      <c r="CV165" s="321">
        <v>626688</v>
      </c>
      <c r="CW165" s="321">
        <v>698170</v>
      </c>
      <c r="CX165" s="14"/>
      <c r="CY165" s="23" t="s">
        <v>660</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665</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661</v>
      </c>
      <c r="CS166" s="323">
        <v>473390</v>
      </c>
      <c r="CT166" s="323">
        <v>545814</v>
      </c>
      <c r="CU166" s="323">
        <v>658400</v>
      </c>
      <c r="CV166" s="323">
        <v>842752</v>
      </c>
      <c r="CW166" s="323">
        <v>938878</v>
      </c>
      <c r="CX166" s="14"/>
      <c r="CY166" s="23" t="s">
        <v>661</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668</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662</v>
      </c>
      <c r="CS167" s="321">
        <v>352022</v>
      </c>
      <c r="CT167" s="321">
        <v>405878</v>
      </c>
      <c r="CU167" s="321">
        <v>489600</v>
      </c>
      <c r="CV167" s="321">
        <v>626688</v>
      </c>
      <c r="CW167" s="321">
        <v>698170</v>
      </c>
      <c r="CX167" s="14"/>
      <c r="CY167" s="23" t="s">
        <v>662</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669</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663</v>
      </c>
      <c r="CS168" s="323">
        <v>331890</v>
      </c>
      <c r="CT168" s="323">
        <v>382666</v>
      </c>
      <c r="CU168" s="323">
        <v>461600</v>
      </c>
      <c r="CV168" s="323">
        <v>590848</v>
      </c>
      <c r="CW168" s="323">
        <v>658242</v>
      </c>
      <c r="CX168" s="14"/>
      <c r="CY168" s="23" t="s">
        <v>663</v>
      </c>
      <c r="CZ168" s="323">
        <v>331890</v>
      </c>
      <c r="DA168" s="323">
        <v>382666</v>
      </c>
      <c r="DB168" s="323">
        <v>461600</v>
      </c>
      <c r="DC168" s="323">
        <v>590848</v>
      </c>
      <c r="DD168" s="323">
        <v>658242</v>
      </c>
    </row>
    <row r="169" spans="1:108" ht="13" customHeight="1">
      <c r="A169" s="1537" t="s">
        <v>538</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671</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665</v>
      </c>
      <c r="CS169" s="321">
        <v>307732</v>
      </c>
      <c r="CT169" s="321">
        <v>354812</v>
      </c>
      <c r="CU169" s="321">
        <v>428000</v>
      </c>
      <c r="CV169" s="321">
        <v>547840</v>
      </c>
      <c r="CW169" s="321">
        <v>610328</v>
      </c>
      <c r="CX169" s="14"/>
      <c r="CY169" s="23" t="s">
        <v>665</v>
      </c>
      <c r="CZ169" s="321">
        <v>307732</v>
      </c>
      <c r="DA169" s="321">
        <v>354812</v>
      </c>
      <c r="DB169" s="321">
        <v>428000</v>
      </c>
      <c r="DC169" s="321">
        <v>547840</v>
      </c>
      <c r="DD169" s="321">
        <v>610328</v>
      </c>
    </row>
    <row r="170" spans="1:108" ht="13"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672</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668</v>
      </c>
      <c r="CS170" s="323">
        <v>352022</v>
      </c>
      <c r="CT170" s="323">
        <v>405878</v>
      </c>
      <c r="CU170" s="323">
        <v>489600</v>
      </c>
      <c r="CV170" s="323">
        <v>626688</v>
      </c>
      <c r="CW170" s="323">
        <v>698170</v>
      </c>
      <c r="CX170" s="14"/>
      <c r="CY170" s="23" t="s">
        <v>668</v>
      </c>
      <c r="CZ170" s="323">
        <v>352022</v>
      </c>
      <c r="DA170" s="323">
        <v>405878</v>
      </c>
      <c r="DB170" s="323">
        <v>489600</v>
      </c>
      <c r="DC170" s="323">
        <v>626688</v>
      </c>
      <c r="DD170" s="323">
        <v>698170</v>
      </c>
    </row>
    <row r="171" spans="1:108" ht="13" customHeight="1">
      <c r="BN171" s="23" t="s">
        <v>211</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669</v>
      </c>
      <c r="CS171" s="321">
        <v>352022</v>
      </c>
      <c r="CT171" s="321">
        <v>405878</v>
      </c>
      <c r="CU171" s="321">
        <v>489600</v>
      </c>
      <c r="CV171" s="321">
        <v>626688</v>
      </c>
      <c r="CW171" s="321">
        <v>698170</v>
      </c>
      <c r="CX171" s="14"/>
      <c r="CY171" s="23" t="s">
        <v>669</v>
      </c>
      <c r="CZ171" s="321">
        <v>352022</v>
      </c>
      <c r="DA171" s="321">
        <v>405878</v>
      </c>
      <c r="DB171" s="321">
        <v>489600</v>
      </c>
      <c r="DC171" s="321">
        <v>626688</v>
      </c>
      <c r="DD171" s="321">
        <v>698170</v>
      </c>
    </row>
    <row r="172" spans="1:108" ht="13" customHeight="1">
      <c r="A172" s="2" t="s">
        <v>319</v>
      </c>
      <c r="C172" s="2" t="s">
        <v>320</v>
      </c>
      <c r="BN172" s="23" t="s">
        <v>213</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671</v>
      </c>
      <c r="CS172" s="323">
        <v>324988</v>
      </c>
      <c r="CT172" s="323">
        <v>374708</v>
      </c>
      <c r="CU172" s="323">
        <v>452000</v>
      </c>
      <c r="CV172" s="323">
        <v>578560</v>
      </c>
      <c r="CW172" s="323">
        <v>644552</v>
      </c>
      <c r="CX172" s="14"/>
      <c r="CY172" s="23" t="s">
        <v>671</v>
      </c>
      <c r="CZ172" s="323">
        <v>324988</v>
      </c>
      <c r="DA172" s="323">
        <v>374708</v>
      </c>
      <c r="DB172" s="323">
        <v>452000</v>
      </c>
      <c r="DC172" s="323">
        <v>578560</v>
      </c>
      <c r="DD172" s="323">
        <v>644552</v>
      </c>
    </row>
    <row r="173" spans="1:108" ht="13" customHeight="1">
      <c r="C173" s="24"/>
      <c r="D173" t="s">
        <v>321</v>
      </c>
      <c r="J173" s="1533" t="s">
        <v>371</v>
      </c>
      <c r="K173" s="1533"/>
      <c r="L173" s="1533"/>
      <c r="M173" s="1533"/>
      <c r="N173" s="1533"/>
      <c r="O173" s="1533"/>
      <c r="P173" s="1533"/>
      <c r="Q173" s="1533"/>
      <c r="R173" s="1533"/>
      <c r="S173" s="1533"/>
      <c r="U173" s="25"/>
      <c r="X173" s="25"/>
      <c r="BB173" s="3" t="s">
        <v>307</v>
      </c>
      <c r="BN173" s="23" t="s">
        <v>214</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672</v>
      </c>
      <c r="CS173" s="321">
        <v>352022</v>
      </c>
      <c r="CT173" s="321">
        <v>405878</v>
      </c>
      <c r="CU173" s="321">
        <v>489600</v>
      </c>
      <c r="CV173" s="321">
        <v>626688</v>
      </c>
      <c r="CW173" s="321">
        <v>698170</v>
      </c>
      <c r="CX173" s="14"/>
      <c r="CY173" s="23" t="s">
        <v>672</v>
      </c>
      <c r="CZ173" s="321">
        <v>352022</v>
      </c>
      <c r="DA173" s="321">
        <v>405878</v>
      </c>
      <c r="DB173" s="321">
        <v>489600</v>
      </c>
      <c r="DC173" s="321">
        <v>626688</v>
      </c>
      <c r="DD173" s="321">
        <v>698170</v>
      </c>
    </row>
    <row r="174" spans="1:108" ht="13" customHeight="1">
      <c r="C174" s="24"/>
      <c r="D174" s="3" t="s">
        <v>1200</v>
      </c>
      <c r="J174" s="1408" t="s">
        <v>2099</v>
      </c>
      <c r="K174" s="1408"/>
      <c r="L174" s="1408"/>
      <c r="M174" s="1408"/>
      <c r="N174" s="1408"/>
      <c r="O174" s="1408"/>
      <c r="P174" s="1408"/>
      <c r="Q174" s="1408"/>
      <c r="R174" s="1408"/>
      <c r="S174" s="1408"/>
      <c r="T174" s="1408"/>
      <c r="U174" s="1408"/>
      <c r="V174" s="1408"/>
      <c r="W174" s="1408"/>
      <c r="X174" s="1408"/>
      <c r="Y174" s="1408"/>
      <c r="Z174" s="1408"/>
      <c r="AA174" s="1408"/>
      <c r="AB174" s="1408"/>
      <c r="BB174" t="s">
        <v>1967</v>
      </c>
      <c r="BN174" s="23" t="s">
        <v>216</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6" t="s">
        <v>544</v>
      </c>
      <c r="V175" s="1416"/>
      <c r="BB175" t="s">
        <v>1935</v>
      </c>
      <c r="BN175" s="23" t="s">
        <v>217</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2077</v>
      </c>
      <c r="T176" s="27" t="s">
        <v>305</v>
      </c>
      <c r="U176" s="1512">
        <v>25</v>
      </c>
      <c r="V176" s="1512"/>
      <c r="W176" s="1" t="s">
        <v>306</v>
      </c>
      <c r="X176" s="1570">
        <v>537</v>
      </c>
      <c r="Y176" s="1570"/>
      <c r="BB176" t="s">
        <v>1968</v>
      </c>
      <c r="BN176" s="23" t="s">
        <v>219</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6" t="s">
        <v>667</v>
      </c>
      <c r="S177" s="1416"/>
      <c r="BB177" t="s">
        <v>2211</v>
      </c>
      <c r="BN177" s="23" t="s">
        <v>220</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1201</v>
      </c>
      <c r="AA178" t="s">
        <v>2077</v>
      </c>
      <c r="AE178" s="27" t="s">
        <v>305</v>
      </c>
      <c r="AF178" s="1569"/>
      <c r="AG178" s="1569"/>
      <c r="AH178" s="1" t="s">
        <v>306</v>
      </c>
      <c r="AI178" s="1447"/>
      <c r="AJ178" s="1447"/>
      <c r="AK178" s="1447"/>
      <c r="BB178" t="s">
        <v>2212</v>
      </c>
      <c r="BN178" s="23" t="s">
        <v>221</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2078</v>
      </c>
      <c r="X180" s="1416" t="s">
        <v>667</v>
      </c>
      <c r="Y180" s="1416"/>
      <c r="BN180" s="23" t="s">
        <v>224</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974</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575</v>
      </c>
      <c r="C183" s="2" t="s">
        <v>576</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577</v>
      </c>
      <c r="I184" s="1485" t="str">
        <f>H18</f>
        <v>Kingfisher II</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586</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578</v>
      </c>
      <c r="I185" s="1371" t="s">
        <v>2719</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587</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0"/>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579</v>
      </c>
      <c r="I189" s="1407" t="s">
        <v>2715</v>
      </c>
      <c r="J189" s="1408"/>
      <c r="K189" s="1408"/>
      <c r="L189" s="1408"/>
      <c r="M189" s="1408"/>
      <c r="N189" s="1408"/>
      <c r="O189" s="1408"/>
      <c r="P189" s="1408"/>
      <c r="Q189" t="s">
        <v>581</v>
      </c>
      <c r="T189" s="1408" t="s">
        <v>60</v>
      </c>
      <c r="U189" s="1408"/>
      <c r="V189" s="1408"/>
      <c r="W189" s="1408"/>
      <c r="X189" s="1408"/>
      <c r="Y189" s="1408"/>
      <c r="Z189" s="1408"/>
      <c r="AA189" s="1408"/>
      <c r="AB189" s="1408"/>
      <c r="AC189" s="1408"/>
      <c r="AD189" s="1408"/>
      <c r="AE189" s="1408"/>
      <c r="BC189" t="s">
        <v>307</v>
      </c>
      <c r="BH189" s="3" t="s">
        <v>590</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582</v>
      </c>
      <c r="I190" s="1371">
        <v>93546</v>
      </c>
      <c r="J190" s="1371"/>
      <c r="K190" s="1371"/>
      <c r="L190" s="1371"/>
      <c r="M190" s="1371"/>
      <c r="N190" s="1371"/>
      <c r="O190" t="s">
        <v>584</v>
      </c>
      <c r="T190" s="1559">
        <v>2.0099999999999998</v>
      </c>
      <c r="U190" s="1559"/>
      <c r="V190" s="1559"/>
      <c r="W190" s="1559"/>
      <c r="X190" s="1559"/>
      <c r="Y190" s="1559"/>
      <c r="Z190" s="1559"/>
      <c r="AA190" s="1559"/>
      <c r="AB190" s="1559"/>
      <c r="AC190" s="1559"/>
      <c r="AD190" s="1559"/>
      <c r="AE190" s="1559"/>
      <c r="BC190" t="s">
        <v>1039</v>
      </c>
      <c r="BH190" t="s">
        <v>1039</v>
      </c>
      <c r="BN190" s="23" t="s">
        <v>633</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461</v>
      </c>
      <c r="N191" s="1530" t="s">
        <v>2720</v>
      </c>
      <c r="O191" s="1531"/>
      <c r="P191" s="1531"/>
      <c r="Q191" s="1531"/>
      <c r="R191" s="1531"/>
      <c r="S191" s="1531"/>
      <c r="T191" s="1531"/>
      <c r="U191" s="1531"/>
      <c r="V191" s="1531"/>
      <c r="W191" s="1531"/>
      <c r="X191" s="1531"/>
      <c r="Y191" s="1531"/>
      <c r="Z191" s="1531"/>
      <c r="AA191" s="1531"/>
      <c r="AB191" s="1531"/>
      <c r="AC191" s="1531"/>
      <c r="AD191" s="1531"/>
      <c r="AE191" s="1531"/>
      <c r="BC191" t="s">
        <v>1038</v>
      </c>
      <c r="BH191" t="s">
        <v>1038</v>
      </c>
      <c r="BN191" s="23" t="s">
        <v>686</v>
      </c>
      <c r="BS191">
        <v>4</v>
      </c>
      <c r="BT191" t="s">
        <v>725</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1041</v>
      </c>
      <c r="BH192" s="3" t="s">
        <v>1362</v>
      </c>
      <c r="BN192" s="23" t="s">
        <v>687</v>
      </c>
      <c r="BS192">
        <v>5</v>
      </c>
      <c r="BT192" t="s">
        <v>726</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2079</v>
      </c>
      <c r="M193" s="40"/>
      <c r="N193" s="894"/>
      <c r="O193" s="894"/>
      <c r="P193" s="894"/>
      <c r="Q193" s="894"/>
      <c r="R193" s="894"/>
      <c r="S193" s="894"/>
      <c r="T193" s="1563" t="s">
        <v>1935</v>
      </c>
      <c r="U193" s="1563"/>
      <c r="V193" s="1563"/>
      <c r="W193" s="1563"/>
      <c r="X193" s="1563"/>
      <c r="Y193" s="1563"/>
      <c r="Z193" s="1563"/>
      <c r="AA193" s="1563"/>
      <c r="AB193" s="1563"/>
      <c r="AC193" s="1563"/>
      <c r="AD193" s="1563"/>
      <c r="AE193" s="1563"/>
      <c r="AF193" s="1563"/>
      <c r="AG193" s="1563"/>
      <c r="AH193" s="1563"/>
      <c r="AI193" s="1563"/>
      <c r="BC193" t="s">
        <v>1040</v>
      </c>
      <c r="BH193" s="3" t="s">
        <v>1627</v>
      </c>
      <c r="BN193" s="23" t="s">
        <v>688</v>
      </c>
      <c r="BS193">
        <v>4</v>
      </c>
      <c r="BT193" t="s">
        <v>727</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633</v>
      </c>
      <c r="CS193" s="321">
        <v>331890</v>
      </c>
      <c r="CT193" s="321">
        <v>382666</v>
      </c>
      <c r="CU193" s="321">
        <v>461600</v>
      </c>
      <c r="CV193" s="321">
        <v>590848</v>
      </c>
      <c r="CW193" s="321">
        <v>658242</v>
      </c>
      <c r="CX193" s="14"/>
      <c r="CY193" s="23" t="s">
        <v>633</v>
      </c>
      <c r="CZ193" s="321">
        <v>331890</v>
      </c>
      <c r="DA193" s="321">
        <v>382666</v>
      </c>
      <c r="DB193" s="321">
        <v>461600</v>
      </c>
      <c r="DC193" s="321">
        <v>590848</v>
      </c>
      <c r="DD193" s="321">
        <v>658242</v>
      </c>
    </row>
    <row r="194" spans="1:108" ht="13" customHeight="1">
      <c r="C194" s="21"/>
      <c r="D194" s="3" t="s">
        <v>2213</v>
      </c>
      <c r="M194" s="40"/>
      <c r="N194" s="894"/>
      <c r="O194" s="894"/>
      <c r="P194" s="894"/>
      <c r="Q194" s="894"/>
      <c r="R194" s="894"/>
      <c r="S194" s="894"/>
      <c r="AH194" s="1416" t="s">
        <v>667</v>
      </c>
      <c r="AI194" s="1416"/>
      <c r="BC194" t="s">
        <v>1362</v>
      </c>
      <c r="BN194" s="23" t="s">
        <v>689</v>
      </c>
      <c r="BS194">
        <v>2</v>
      </c>
      <c r="BT194" t="s">
        <v>728</v>
      </c>
      <c r="CB194" s="350" t="s">
        <v>725</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686</v>
      </c>
      <c r="CS194" s="323">
        <v>352022</v>
      </c>
      <c r="CT194" s="323">
        <v>405878</v>
      </c>
      <c r="CU194" s="323">
        <v>489600</v>
      </c>
      <c r="CV194" s="323">
        <v>626688</v>
      </c>
      <c r="CW194" s="323">
        <v>698170</v>
      </c>
      <c r="CX194" s="14"/>
      <c r="CY194" s="23" t="s">
        <v>686</v>
      </c>
      <c r="CZ194" s="323">
        <v>352022</v>
      </c>
      <c r="DA194" s="323">
        <v>405878</v>
      </c>
      <c r="DB194" s="323">
        <v>489600</v>
      </c>
      <c r="DC194" s="323">
        <v>626688</v>
      </c>
      <c r="DD194" s="323">
        <v>698170</v>
      </c>
    </row>
    <row r="195" spans="1:108" ht="13" customHeight="1">
      <c r="C195" s="21"/>
      <c r="D195" t="s">
        <v>331</v>
      </c>
      <c r="T195" s="1416" t="s">
        <v>544</v>
      </c>
      <c r="U195" s="1416"/>
      <c r="W195" t="s">
        <v>682</v>
      </c>
      <c r="AH195" s="1416">
        <v>3</v>
      </c>
      <c r="AI195" s="1416"/>
      <c r="BC195" t="s">
        <v>1854</v>
      </c>
      <c r="BN195" s="23" t="s">
        <v>242</v>
      </c>
      <c r="BS195">
        <v>6</v>
      </c>
      <c r="BT195" t="s">
        <v>729</v>
      </c>
      <c r="CB195" s="350" t="s">
        <v>726</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687</v>
      </c>
      <c r="CS195" s="321">
        <v>324988</v>
      </c>
      <c r="CT195" s="321">
        <v>374708</v>
      </c>
      <c r="CU195" s="321">
        <v>452000</v>
      </c>
      <c r="CV195" s="321">
        <v>578560</v>
      </c>
      <c r="CW195" s="321">
        <v>644552</v>
      </c>
      <c r="CX195" s="14"/>
      <c r="CY195" s="23" t="s">
        <v>687</v>
      </c>
      <c r="CZ195" s="321">
        <v>324988</v>
      </c>
      <c r="DA195" s="321">
        <v>374708</v>
      </c>
      <c r="DB195" s="321">
        <v>452000</v>
      </c>
      <c r="DC195" s="321">
        <v>578560</v>
      </c>
      <c r="DD195" s="321">
        <v>644552</v>
      </c>
    </row>
    <row r="196" spans="1:108" ht="13" customHeight="1">
      <c r="C196" s="21"/>
      <c r="D196" t="s">
        <v>386</v>
      </c>
      <c r="T196" s="1428" t="s">
        <v>667</v>
      </c>
      <c r="U196" s="1428"/>
      <c r="W196" t="s">
        <v>683</v>
      </c>
      <c r="AH196" s="1416">
        <v>8</v>
      </c>
      <c r="AI196" s="1416"/>
      <c r="BN196" s="23" t="s">
        <v>243</v>
      </c>
      <c r="BS196">
        <v>4</v>
      </c>
      <c r="BT196" t="s">
        <v>69</v>
      </c>
      <c r="CB196" s="350" t="s">
        <v>727</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688</v>
      </c>
      <c r="CS196" s="323">
        <v>353173</v>
      </c>
      <c r="CT196" s="323">
        <v>407205</v>
      </c>
      <c r="CU196" s="323">
        <v>491200</v>
      </c>
      <c r="CV196" s="323">
        <v>628736</v>
      </c>
      <c r="CW196" s="323">
        <v>700451</v>
      </c>
      <c r="CX196" s="14"/>
      <c r="CY196" s="23" t="s">
        <v>688</v>
      </c>
      <c r="CZ196" s="323">
        <v>353173</v>
      </c>
      <c r="DA196" s="323">
        <v>407205</v>
      </c>
      <c r="DB196" s="323">
        <v>491200</v>
      </c>
      <c r="DC196" s="323">
        <v>628736</v>
      </c>
      <c r="DD196" s="323">
        <v>700451</v>
      </c>
    </row>
    <row r="197" spans="1:108" ht="13" customHeight="1">
      <c r="C197" s="21"/>
      <c r="D197" s="3" t="s">
        <v>169</v>
      </c>
      <c r="T197" s="1428" t="s">
        <v>667</v>
      </c>
      <c r="U197" s="1428"/>
      <c r="W197" t="s">
        <v>684</v>
      </c>
      <c r="AH197" s="1416">
        <v>4</v>
      </c>
      <c r="AI197" s="1416"/>
      <c r="BC197" t="s">
        <v>307</v>
      </c>
      <c r="BN197" s="23" t="s">
        <v>244</v>
      </c>
      <c r="BS197">
        <v>2</v>
      </c>
      <c r="BT197" t="s">
        <v>70</v>
      </c>
      <c r="CB197" s="350" t="s">
        <v>728</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689</v>
      </c>
      <c r="CS197" s="321">
        <v>689665</v>
      </c>
      <c r="CT197" s="321">
        <v>795177</v>
      </c>
      <c r="CU197" s="321">
        <v>959200</v>
      </c>
      <c r="CV197" s="321">
        <v>1227776</v>
      </c>
      <c r="CW197" s="321">
        <v>1367819</v>
      </c>
      <c r="CX197" s="14"/>
      <c r="CY197" s="23" t="s">
        <v>689</v>
      </c>
      <c r="CZ197" s="321">
        <v>689665</v>
      </c>
      <c r="DA197" s="321">
        <v>795177</v>
      </c>
      <c r="DB197" s="321">
        <v>959200</v>
      </c>
      <c r="DC197" s="321">
        <v>1227776</v>
      </c>
      <c r="DD197" s="321">
        <v>1367819</v>
      </c>
    </row>
    <row r="198" spans="1:108" s="14" customFormat="1" ht="13" customHeight="1">
      <c r="A198"/>
      <c r="B198"/>
      <c r="C198" s="21"/>
      <c r="D198" s="3" t="s">
        <v>1650</v>
      </c>
      <c r="E198"/>
      <c r="F198"/>
      <c r="G198"/>
      <c r="H198"/>
      <c r="I198"/>
      <c r="J198"/>
      <c r="K198"/>
      <c r="L198"/>
      <c r="M198"/>
      <c r="N198"/>
      <c r="O198"/>
      <c r="P198"/>
      <c r="Q198"/>
      <c r="R198"/>
      <c r="S198"/>
      <c r="T198" s="1549" t="s">
        <v>590</v>
      </c>
      <c r="U198" s="1428"/>
      <c r="V198"/>
      <c r="X198" s="1538" t="s">
        <v>2511</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590</v>
      </c>
      <c r="BD198"/>
      <c r="BN198" s="23" t="s">
        <v>695</v>
      </c>
      <c r="BO198"/>
      <c r="BP198"/>
      <c r="BQ198"/>
      <c r="BR198"/>
      <c r="BS198">
        <v>4</v>
      </c>
      <c r="BT198" t="s">
        <v>191</v>
      </c>
      <c r="BU198"/>
      <c r="BV198" s="31"/>
      <c r="CB198" s="350" t="s">
        <v>729</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2514</v>
      </c>
      <c r="E199"/>
      <c r="F199"/>
      <c r="G199"/>
      <c r="H199"/>
      <c r="I199"/>
      <c r="J199"/>
      <c r="K199"/>
      <c r="L199"/>
      <c r="M199"/>
      <c r="N199"/>
      <c r="O199"/>
      <c r="P199"/>
      <c r="Q199"/>
      <c r="R199"/>
      <c r="S199"/>
      <c r="T199" s="1416" t="s">
        <v>544</v>
      </c>
      <c r="U199" s="1416"/>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873</v>
      </c>
      <c r="BD199"/>
      <c r="BN199" s="23" t="s">
        <v>696</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2512</v>
      </c>
      <c r="T200" s="1416" t="s">
        <v>667</v>
      </c>
      <c r="U200" s="1416"/>
      <c r="V200"/>
      <c r="W200"/>
      <c r="X200"/>
      <c r="Y200"/>
      <c r="AA200"/>
      <c r="AB200" s="1250" t="s">
        <v>916</v>
      </c>
      <c r="AC200"/>
      <c r="AF200"/>
      <c r="AG200"/>
      <c r="AH200" s="1"/>
      <c r="AJ200"/>
      <c r="AK200"/>
      <c r="AL200"/>
      <c r="AM200"/>
      <c r="AN200"/>
      <c r="AO200"/>
      <c r="AP200"/>
      <c r="AQ200"/>
      <c r="AR200"/>
      <c r="AS200"/>
      <c r="AU200"/>
      <c r="AV200"/>
      <c r="AW200"/>
      <c r="AX200"/>
      <c r="AY200"/>
      <c r="AZ200" s="30"/>
      <c r="BA200" s="30"/>
      <c r="BC200" s="3" t="s">
        <v>872</v>
      </c>
      <c r="BD200" s="436"/>
      <c r="BN200" s="23" t="s">
        <v>697</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2513</v>
      </c>
      <c r="V201"/>
      <c r="X201"/>
      <c r="Y201"/>
      <c r="Z201"/>
      <c r="AB201" s="1250" t="s">
        <v>917</v>
      </c>
      <c r="AC201"/>
      <c r="AH201" s="1"/>
      <c r="AJ201"/>
      <c r="AK201"/>
      <c r="AL201"/>
      <c r="AM201"/>
      <c r="AN201"/>
      <c r="AO201"/>
      <c r="AP201"/>
      <c r="AQ201"/>
      <c r="AR201"/>
      <c r="AS201"/>
      <c r="AU201"/>
      <c r="AV201"/>
      <c r="AW201"/>
      <c r="AX201"/>
      <c r="AY201"/>
      <c r="AZ201" s="30"/>
      <c r="BA201" s="30"/>
      <c r="BC201" s="3" t="s">
        <v>1059</v>
      </c>
      <c r="BD201" s="436"/>
      <c r="BN201" s="23" t="s">
        <v>698</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695</v>
      </c>
      <c r="CS201" s="321">
        <v>404366</v>
      </c>
      <c r="CT201" s="321">
        <v>466230</v>
      </c>
      <c r="CU201" s="321">
        <v>562400</v>
      </c>
      <c r="CV201" s="321">
        <v>719872</v>
      </c>
      <c r="CW201" s="321">
        <v>801982</v>
      </c>
      <c r="CY201" s="23" t="s">
        <v>695</v>
      </c>
      <c r="CZ201" s="321">
        <v>404366</v>
      </c>
      <c r="DA201" s="321">
        <v>466230</v>
      </c>
      <c r="DB201" s="321">
        <v>562400</v>
      </c>
      <c r="DC201" s="321">
        <v>719872</v>
      </c>
      <c r="DD201" s="321">
        <v>801982</v>
      </c>
    </row>
    <row r="202" spans="1:108" ht="13" customHeight="1">
      <c r="C202" s="21"/>
      <c r="AE202" s="8"/>
      <c r="BC202" t="s">
        <v>610</v>
      </c>
      <c r="BD202" s="436"/>
      <c r="BN202" s="23" t="s">
        <v>699</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696</v>
      </c>
      <c r="CS202" s="322">
        <v>532060</v>
      </c>
      <c r="CT202" s="322">
        <v>613460</v>
      </c>
      <c r="CU202" s="322">
        <v>740000</v>
      </c>
      <c r="CV202" s="322">
        <v>947200</v>
      </c>
      <c r="CW202" s="322">
        <v>1055240</v>
      </c>
      <c r="CX202" s="14"/>
      <c r="CY202" s="23" t="s">
        <v>696</v>
      </c>
      <c r="CZ202" s="322">
        <v>532060</v>
      </c>
      <c r="DA202" s="322">
        <v>613460</v>
      </c>
      <c r="DB202" s="322">
        <v>740000</v>
      </c>
      <c r="DC202" s="322">
        <v>947200</v>
      </c>
      <c r="DD202" s="322">
        <v>1055240</v>
      </c>
    </row>
    <row r="203" spans="1:108" ht="13" customHeight="1">
      <c r="A203" s="2" t="s">
        <v>585</v>
      </c>
      <c r="C203" s="2" t="s">
        <v>136</v>
      </c>
      <c r="BC203" t="s">
        <v>1060</v>
      </c>
      <c r="BN203" s="23" t="s">
        <v>700</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697</v>
      </c>
      <c r="CS203" s="321">
        <v>404366</v>
      </c>
      <c r="CT203" s="321">
        <v>466230</v>
      </c>
      <c r="CU203" s="321">
        <v>562400</v>
      </c>
      <c r="CV203" s="321">
        <v>719872</v>
      </c>
      <c r="CW203" s="321">
        <v>801982</v>
      </c>
      <c r="CX203" s="14"/>
      <c r="CY203" s="23" t="s">
        <v>697</v>
      </c>
      <c r="CZ203" s="321">
        <v>404366</v>
      </c>
      <c r="DA203" s="321">
        <v>466230</v>
      </c>
      <c r="DB203" s="321">
        <v>562400</v>
      </c>
      <c r="DC203" s="321">
        <v>719872</v>
      </c>
      <c r="DD203" s="321">
        <v>801982</v>
      </c>
    </row>
    <row r="204" spans="1:108" ht="13" customHeight="1">
      <c r="D204" s="1485" t="s">
        <v>385</v>
      </c>
      <c r="E204" s="1485"/>
      <c r="F204" s="1485"/>
      <c r="G204" s="1485"/>
      <c r="H204" s="1485"/>
      <c r="I204" s="1485"/>
      <c r="J204" s="1485"/>
      <c r="K204" s="1485"/>
      <c r="L204" s="1485"/>
      <c r="M204" s="1485"/>
      <c r="P204" s="1554">
        <f>M26</f>
        <v>2868087</v>
      </c>
      <c r="Q204" s="1555"/>
      <c r="R204" s="1555"/>
      <c r="S204" s="1555"/>
      <c r="T204" s="1555"/>
      <c r="U204" s="1555"/>
      <c r="BC204" t="s">
        <v>1061</v>
      </c>
      <c r="BN204" s="23" t="s">
        <v>701</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698</v>
      </c>
      <c r="CS204" s="323">
        <v>319236</v>
      </c>
      <c r="CT204" s="323">
        <v>368076</v>
      </c>
      <c r="CU204" s="323">
        <v>444000</v>
      </c>
      <c r="CV204" s="323">
        <v>568320</v>
      </c>
      <c r="CW204" s="323">
        <v>633144</v>
      </c>
      <c r="CX204" s="14"/>
      <c r="CY204" s="23" t="s">
        <v>698</v>
      </c>
      <c r="CZ204" s="323">
        <v>319236</v>
      </c>
      <c r="DA204" s="323">
        <v>368076</v>
      </c>
      <c r="DB204" s="323">
        <v>444000</v>
      </c>
      <c r="DC204" s="323">
        <v>568320</v>
      </c>
      <c r="DD204" s="323">
        <v>633144</v>
      </c>
    </row>
    <row r="205" spans="1:108" ht="13" customHeight="1">
      <c r="C205" s="21"/>
      <c r="D205" s="1540" t="s">
        <v>1245</v>
      </c>
      <c r="E205" s="1485"/>
      <c r="F205" s="1485"/>
      <c r="G205" s="1485"/>
      <c r="H205" s="1485"/>
      <c r="I205" s="1485"/>
      <c r="J205" s="1485"/>
      <c r="K205" s="1485"/>
      <c r="L205" s="1485"/>
      <c r="M205" s="1485"/>
      <c r="P205" s="1555">
        <f>M27</f>
        <v>14400000</v>
      </c>
      <c r="Q205" s="1555"/>
      <c r="R205" s="1555"/>
      <c r="S205" s="1555"/>
      <c r="T205" s="1555"/>
      <c r="U205" s="1555"/>
      <c r="V205" s="28"/>
      <c r="W205" s="3" t="s">
        <v>1718</v>
      </c>
      <c r="Z205" s="1536" t="s">
        <v>2217</v>
      </c>
      <c r="AA205" s="1536"/>
      <c r="AB205" s="1536"/>
      <c r="AC205" s="1536"/>
      <c r="AD205" s="1536"/>
      <c r="AE205" s="1536"/>
      <c r="AF205" s="1536"/>
      <c r="AG205" s="1536"/>
      <c r="AH205" s="1536"/>
      <c r="AI205" s="1536"/>
      <c r="AJ205" s="1536"/>
      <c r="AK205" s="1536"/>
      <c r="AL205" s="1536"/>
      <c r="AM205" s="1536"/>
      <c r="AN205" s="1536"/>
      <c r="AP205" s="1405"/>
      <c r="AQ205" s="1405"/>
      <c r="BC205" t="s">
        <v>609</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699</v>
      </c>
      <c r="CS205" s="321">
        <v>352022</v>
      </c>
      <c r="CT205" s="321">
        <v>405878</v>
      </c>
      <c r="CU205" s="321">
        <v>489600</v>
      </c>
      <c r="CV205" s="321">
        <v>626688</v>
      </c>
      <c r="CW205" s="321">
        <v>698170</v>
      </c>
      <c r="CX205" s="14"/>
      <c r="CY205" s="23" t="s">
        <v>699</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1024</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700</v>
      </c>
      <c r="CS206" s="323">
        <v>352022</v>
      </c>
      <c r="CT206" s="323">
        <v>405878</v>
      </c>
      <c r="CU206" s="323">
        <v>489600</v>
      </c>
      <c r="CV206" s="323">
        <v>626688</v>
      </c>
      <c r="CW206" s="323">
        <v>698170</v>
      </c>
      <c r="CX206" s="14"/>
      <c r="CY206" s="23" t="s">
        <v>700</v>
      </c>
      <c r="CZ206" s="323">
        <v>352022</v>
      </c>
      <c r="DA206" s="323">
        <v>405878</v>
      </c>
      <c r="DB206" s="323">
        <v>489600</v>
      </c>
      <c r="DC206" s="323">
        <v>626688</v>
      </c>
      <c r="DD206" s="323">
        <v>698170</v>
      </c>
    </row>
    <row r="207" spans="1:108" ht="13" customHeight="1">
      <c r="A207" s="2" t="s">
        <v>588</v>
      </c>
      <c r="C207" s="2" t="s">
        <v>550</v>
      </c>
      <c r="BC207" s="437" t="s">
        <v>1062</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701</v>
      </c>
      <c r="CS207" s="321">
        <v>384234</v>
      </c>
      <c r="CT207" s="321">
        <v>443018</v>
      </c>
      <c r="CU207" s="321">
        <v>534400</v>
      </c>
      <c r="CV207" s="321">
        <v>684032</v>
      </c>
      <c r="CW207" s="321">
        <v>762054</v>
      </c>
      <c r="CX207" s="14"/>
      <c r="CY207" s="23" t="s">
        <v>701</v>
      </c>
      <c r="CZ207" s="321">
        <v>384234</v>
      </c>
      <c r="DA207" s="321">
        <v>443018</v>
      </c>
      <c r="DB207" s="321">
        <v>534400</v>
      </c>
      <c r="DC207" s="321">
        <v>684032</v>
      </c>
      <c r="DD207" s="321">
        <v>762054</v>
      </c>
    </row>
    <row r="208" spans="1:108" ht="13" customHeight="1">
      <c r="C208" s="21"/>
      <c r="D208" s="1527" t="s">
        <v>2613</v>
      </c>
      <c r="E208" s="1527"/>
      <c r="F208" s="1527"/>
      <c r="G208" s="1527"/>
      <c r="H208" s="1527"/>
      <c r="I208" s="1527"/>
      <c r="J208" s="1527"/>
      <c r="K208" s="1527"/>
      <c r="L208" s="1527"/>
      <c r="M208" s="1527"/>
      <c r="BC208" s="3" t="s">
        <v>2204</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1063</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589</v>
      </c>
      <c r="C210" s="2" t="s">
        <v>388</v>
      </c>
      <c r="BC210" t="s">
        <v>657</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7" t="s">
        <v>1039</v>
      </c>
      <c r="E211" s="1527"/>
      <c r="F211" s="1527"/>
      <c r="G211" s="1527"/>
      <c r="H211" s="1527"/>
      <c r="I211" s="1527"/>
      <c r="J211" s="1527"/>
      <c r="K211" s="1527"/>
      <c r="L211" s="1527"/>
      <c r="M211" s="152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2228</v>
      </c>
      <c r="Q212" s="1416">
        <v>0</v>
      </c>
      <c r="R212" s="1416"/>
      <c r="T212" s="1567">
        <f>IFERROR(Q212/AG440,0)</f>
        <v>0</v>
      </c>
      <c r="U212" s="1568"/>
      <c r="BC212" t="s">
        <v>307</v>
      </c>
      <c r="BI212" t="s">
        <v>1182</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2471</v>
      </c>
      <c r="BC213" t="s">
        <v>525</v>
      </c>
      <c r="BI213" s="3" t="s">
        <v>2225</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0" t="s">
        <v>590</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529</v>
      </c>
      <c r="BI214" s="3" t="s">
        <v>2218</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1651</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526</v>
      </c>
      <c r="BI215" s="3" t="s">
        <v>2219</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1649</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565</v>
      </c>
      <c r="BI216" t="s">
        <v>2217</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2221</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591</v>
      </c>
      <c r="C218" s="2" t="s">
        <v>2231</v>
      </c>
      <c r="D218" s="28"/>
      <c r="AC218" s="2" t="s">
        <v>2460</v>
      </c>
      <c r="BC218" t="s">
        <v>528</v>
      </c>
    </row>
    <row r="219" spans="1:108" ht="13" customHeight="1">
      <c r="A219" s="2"/>
      <c r="C219" s="2"/>
      <c r="D219" s="3" t="s">
        <v>2461</v>
      </c>
      <c r="AZ219" s="3"/>
      <c r="BA219" s="3"/>
      <c r="BC219" t="s">
        <v>377</v>
      </c>
    </row>
    <row r="220" spans="1:108" ht="13" customHeight="1">
      <c r="A220" s="2"/>
      <c r="C220" s="2"/>
      <c r="D220" s="1527" t="s">
        <v>590</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590</v>
      </c>
      <c r="AD220" s="1539"/>
      <c r="AE220" s="1539"/>
      <c r="AF220" s="1539"/>
      <c r="AG220" s="1539"/>
      <c r="AH220" s="1539"/>
      <c r="AI220" s="1539"/>
      <c r="AJ220" s="1539"/>
      <c r="AK220" s="1539"/>
      <c r="AL220" s="1539"/>
      <c r="AM220" s="1539"/>
      <c r="AN220" s="1539"/>
      <c r="AO220" s="1539"/>
      <c r="AP220" s="1539"/>
      <c r="AQ220" s="1539"/>
      <c r="BA220" s="3"/>
      <c r="BC220" t="s">
        <v>300</v>
      </c>
    </row>
    <row r="221" spans="1:108" ht="13" customHeight="1">
      <c r="A221" s="2"/>
      <c r="B221" s="14"/>
      <c r="C221" s="2"/>
      <c r="BA221" s="3"/>
    </row>
    <row r="222" spans="1:108" ht="13" customHeight="1">
      <c r="A222" s="1537" t="s">
        <v>539</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3"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3" customHeight="1">
      <c r="AZ224" s="4"/>
      <c r="BA224" s="3"/>
      <c r="BB224" s="3"/>
      <c r="BQ224" s="34"/>
    </row>
    <row r="225" spans="1:59" ht="13" customHeight="1">
      <c r="A225" s="2" t="s">
        <v>319</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590</v>
      </c>
      <c r="AJ226" s="1416"/>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3"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544</v>
      </c>
      <c r="AJ227" s="1416"/>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590</v>
      </c>
      <c r="AJ228" s="1416"/>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590</v>
      </c>
      <c r="AJ229" s="1416"/>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2</v>
      </c>
    </row>
    <row r="231" spans="1:59" ht="13" customHeight="1">
      <c r="A231" s="2" t="s">
        <v>575</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469</v>
      </c>
      <c r="E232" s="4"/>
      <c r="F232" s="4"/>
      <c r="G232" s="4"/>
      <c r="H232" s="4"/>
      <c r="I232" s="4"/>
      <c r="J232" s="4"/>
      <c r="K232" s="4"/>
      <c r="M232" s="1560" t="str">
        <f>H16</f>
        <v>Central Valley Coalition for Affordable Housing, a CA Nonprofit Public Benefit Corp.</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05" t="s">
        <v>537</v>
      </c>
      <c r="BG232" s="241">
        <f>IF(AND(AND($M$249="nonprofit",$M$257="nonprofit",$M$265="for profit")),2,0)</f>
        <v>0</v>
      </c>
    </row>
    <row r="233" spans="1:59" ht="13" customHeight="1">
      <c r="D233" s="4" t="s">
        <v>85</v>
      </c>
      <c r="E233" s="4"/>
      <c r="F233" s="4"/>
      <c r="G233" s="4"/>
      <c r="H233" s="4"/>
      <c r="I233" s="4"/>
      <c r="J233" s="4"/>
      <c r="K233" s="4"/>
      <c r="M233" s="1407" t="s">
        <v>2621</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537</v>
      </c>
      <c r="BG233" s="241">
        <f>IF(AND(AND($M$249="nonprofit",$M$257="for profit",$M$265="nonprofit")),2,0)</f>
        <v>0</v>
      </c>
    </row>
    <row r="234" spans="1:59" ht="13" customHeight="1">
      <c r="D234" s="4" t="s">
        <v>579</v>
      </c>
      <c r="E234" s="4"/>
      <c r="M234" s="1407" t="s">
        <v>55</v>
      </c>
      <c r="N234" s="1527"/>
      <c r="O234" s="1527"/>
      <c r="P234" s="1527"/>
      <c r="Q234" s="1527"/>
      <c r="R234" s="1527"/>
      <c r="S234" s="1527"/>
      <c r="T234" s="1527"/>
      <c r="V234" s="33" t="s">
        <v>86</v>
      </c>
      <c r="W234" s="1472" t="s">
        <v>2622</v>
      </c>
      <c r="X234" s="1473"/>
      <c r="Y234" s="4" t="s">
        <v>582</v>
      </c>
      <c r="AC234" s="1527">
        <v>95348</v>
      </c>
      <c r="AD234" s="1527"/>
      <c r="AE234" s="1527"/>
      <c r="AU234" s="4"/>
      <c r="AV234" s="4"/>
      <c r="AW234" s="4"/>
      <c r="AX234" s="4"/>
      <c r="AY234" s="4"/>
      <c r="AZ234" s="4"/>
      <c r="BB234" s="205" t="s">
        <v>537</v>
      </c>
      <c r="BG234" s="240">
        <f>IF(AND(AND($M$249="for profit",$M$257="nonprofit",$M$265="nonprofit")),2,0)</f>
        <v>0</v>
      </c>
    </row>
    <row r="235" spans="1:59" ht="13" customHeight="1">
      <c r="D235" s="4" t="s">
        <v>87</v>
      </c>
      <c r="E235" s="4"/>
      <c r="F235" s="4"/>
      <c r="G235" s="4"/>
      <c r="H235" s="4"/>
      <c r="I235" s="4"/>
      <c r="J235" s="4"/>
      <c r="K235" s="19"/>
      <c r="M235" s="1407" t="s">
        <v>2623</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3" customHeight="1">
      <c r="D236" s="4" t="s">
        <v>88</v>
      </c>
      <c r="E236" s="4"/>
      <c r="F236" s="4"/>
      <c r="M236" s="1489" t="s">
        <v>2624</v>
      </c>
      <c r="N236" s="1490"/>
      <c r="O236" s="1490"/>
      <c r="P236" s="1490"/>
      <c r="Q236" s="1490"/>
      <c r="R236" s="1490"/>
      <c r="S236" s="4" t="s">
        <v>206</v>
      </c>
      <c r="T236" s="4"/>
      <c r="U236" s="1473"/>
      <c r="V236" s="1473"/>
      <c r="W236" s="1473"/>
      <c r="X236" s="4" t="s">
        <v>89</v>
      </c>
      <c r="Z236" s="1489" t="s">
        <v>2625</v>
      </c>
      <c r="AA236" s="1490"/>
      <c r="AB236" s="1490"/>
      <c r="AC236" s="1490"/>
      <c r="AD236" s="1490"/>
      <c r="AE236" s="1490"/>
      <c r="AU236" s="4"/>
      <c r="AV236" s="4"/>
      <c r="AW236" s="4"/>
      <c r="AX236" s="4"/>
      <c r="AY236" s="4"/>
      <c r="AZ236" s="4"/>
      <c r="BB236" s="204" t="s">
        <v>536</v>
      </c>
      <c r="BG236" s="241">
        <f>IF(AND(AND($M$249="nonprofit",$M$257="nonprofit",$M$265="(select one)")),1,0)</f>
        <v>0</v>
      </c>
    </row>
    <row r="237" spans="1:59" ht="13" customHeight="1">
      <c r="D237" s="4" t="s">
        <v>90</v>
      </c>
      <c r="E237" s="4"/>
      <c r="F237" s="4"/>
      <c r="M237" s="1542" t="s">
        <v>2626</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3" customHeight="1">
      <c r="A238" s="2" t="s">
        <v>585</v>
      </c>
      <c r="C238" s="2" t="s">
        <v>524</v>
      </c>
      <c r="M238" s="1371" t="s">
        <v>377</v>
      </c>
      <c r="N238" s="1371"/>
      <c r="O238" s="1371"/>
      <c r="P238" s="1371"/>
      <c r="Q238" s="1371"/>
      <c r="R238" s="1371"/>
      <c r="S238" s="1371"/>
      <c r="T238" s="1371"/>
      <c r="U238" s="204" t="s">
        <v>904</v>
      </c>
      <c r="V238" s="204"/>
      <c r="W238" s="204"/>
      <c r="X238" s="204"/>
      <c r="Y238" s="204"/>
      <c r="Z238" s="204"/>
      <c r="AA238" s="1564" t="s">
        <v>590</v>
      </c>
      <c r="AB238" s="1565"/>
      <c r="AC238" s="1565"/>
      <c r="AD238" s="1565"/>
      <c r="AE238" s="1565"/>
      <c r="AF238" s="1565"/>
      <c r="AG238" s="1565"/>
      <c r="AH238" s="1565"/>
      <c r="AI238" s="1565"/>
      <c r="AJ238" s="1565"/>
      <c r="AK238" s="1565"/>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3" customHeight="1">
      <c r="D239" t="s">
        <v>530</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875</v>
      </c>
      <c r="BG239" s="241">
        <f>IF(AND(AND($M$249="for profit",$M$257="for profit",$M$265="(select one)")),3,0)</f>
        <v>0</v>
      </c>
    </row>
    <row r="240" spans="1:59" ht="13" customHeight="1">
      <c r="D240" s="4"/>
      <c r="BB240" s="204" t="s">
        <v>875</v>
      </c>
      <c r="BG240" s="241">
        <f>IF(AND(AND($M$249="for profit",$M$257="for profit",$M$265="for profit")),3,0)</f>
        <v>0</v>
      </c>
    </row>
    <row r="241" spans="1:67" ht="13" customHeight="1">
      <c r="A241" s="2" t="s">
        <v>588</v>
      </c>
      <c r="C241" s="2" t="s">
        <v>1181</v>
      </c>
      <c r="D241" s="4"/>
      <c r="L241" s="8"/>
      <c r="M241" s="8"/>
      <c r="N241" s="8"/>
      <c r="AU241" s="3"/>
      <c r="AV241" s="3"/>
      <c r="AW241" s="3"/>
      <c r="AX241" s="3"/>
      <c r="AY241" s="3"/>
      <c r="BB241" s="204" t="s">
        <v>875</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472</v>
      </c>
      <c r="D243" s="4" t="s">
        <v>531</v>
      </c>
      <c r="E243" s="4"/>
      <c r="F243" s="4"/>
      <c r="G243" s="4"/>
      <c r="H243" s="4"/>
      <c r="I243" s="4"/>
      <c r="J243" s="4"/>
      <c r="K243" s="4"/>
      <c r="L243" s="4"/>
      <c r="M243" s="1571" t="s">
        <v>2619</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2620</v>
      </c>
      <c r="AG243" s="1544"/>
      <c r="AH243" s="1544"/>
      <c r="AI243" s="1544"/>
      <c r="AJ243" s="1544"/>
      <c r="AK243" s="1544"/>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07" t="s">
        <v>2621</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1177</v>
      </c>
      <c r="AL244" s="4"/>
      <c r="AM244" s="4"/>
      <c r="AN244" s="4"/>
      <c r="AO244" s="4"/>
      <c r="AP244" s="4"/>
      <c r="AQ244" s="4"/>
      <c r="AR244" s="4"/>
      <c r="AS244" s="4"/>
      <c r="AT244" s="4"/>
      <c r="BB244" t="s">
        <v>307</v>
      </c>
      <c r="BG244">
        <v>1</v>
      </c>
      <c r="BH244" t="s">
        <v>533</v>
      </c>
    </row>
    <row r="245" spans="1:67" ht="13" customHeight="1">
      <c r="A245" s="19"/>
      <c r="B245" s="4"/>
      <c r="C245" s="4"/>
      <c r="D245" s="4" t="s">
        <v>579</v>
      </c>
      <c r="E245" s="4"/>
      <c r="M245" s="1407" t="s">
        <v>55</v>
      </c>
      <c r="N245" s="1527"/>
      <c r="O245" s="1527"/>
      <c r="P245" s="1527"/>
      <c r="Q245" s="1527"/>
      <c r="R245" s="1527"/>
      <c r="S245" s="1527"/>
      <c r="T245" s="1527"/>
      <c r="V245" s="33" t="s">
        <v>86</v>
      </c>
      <c r="W245" s="1472" t="s">
        <v>2622</v>
      </c>
      <c r="X245" s="1473"/>
      <c r="Y245" s="4" t="s">
        <v>582</v>
      </c>
      <c r="AC245" s="1527">
        <v>95348</v>
      </c>
      <c r="AD245" s="1527"/>
      <c r="AE245" s="1527"/>
      <c r="AF245" s="3" t="s">
        <v>1178</v>
      </c>
      <c r="AU245" s="4"/>
      <c r="AV245" s="4"/>
      <c r="AW245" s="4"/>
      <c r="AX245" s="4"/>
      <c r="AY245" s="4"/>
      <c r="BB245" s="4" t="s">
        <v>280</v>
      </c>
      <c r="BG245">
        <v>2</v>
      </c>
      <c r="BH245" t="s">
        <v>565</v>
      </c>
      <c r="BO245" s="239" t="str">
        <f>VLOOKUP(BG243,BG244:BH247,2,FALSE)</f>
        <v>Joint Venture</v>
      </c>
    </row>
    <row r="246" spans="1:67" ht="13" customHeight="1">
      <c r="A246" s="19"/>
      <c r="B246" s="4"/>
      <c r="C246" s="4"/>
      <c r="D246" s="4" t="s">
        <v>87</v>
      </c>
      <c r="E246" s="4"/>
      <c r="F246" s="4"/>
      <c r="G246" s="4"/>
      <c r="H246" s="4"/>
      <c r="I246" s="4"/>
      <c r="J246" s="4"/>
      <c r="K246" s="4"/>
      <c r="L246" s="19"/>
      <c r="M246" s="1407" t="s">
        <v>2623</v>
      </c>
      <c r="N246" s="1527"/>
      <c r="O246" s="1527"/>
      <c r="P246" s="1527"/>
      <c r="Q246" s="1527"/>
      <c r="R246" s="1527"/>
      <c r="S246" s="1527"/>
      <c r="T246" s="1527"/>
      <c r="U246" s="1527"/>
      <c r="V246" s="1527"/>
      <c r="W246" s="1527"/>
      <c r="X246" s="1527"/>
      <c r="Y246" s="1527"/>
      <c r="Z246" s="1527"/>
      <c r="AA246" s="1527"/>
      <c r="AB246" s="1527"/>
      <c r="AC246" s="1527"/>
      <c r="AD246" s="1527"/>
      <c r="AE246" s="1527"/>
      <c r="AH246" s="1541">
        <v>1E-3</v>
      </c>
      <c r="AI246" s="1541"/>
      <c r="AJ246" s="1541"/>
      <c r="AK246" s="1541"/>
      <c r="AL246" s="4"/>
      <c r="AM246" s="4"/>
      <c r="AN246" s="4"/>
      <c r="AO246" s="4"/>
      <c r="AP246" s="4"/>
      <c r="AQ246" s="4"/>
      <c r="AR246" s="4"/>
      <c r="AS246" s="4"/>
      <c r="AT246" s="4"/>
      <c r="BB246" s="4" t="s">
        <v>173</v>
      </c>
      <c r="BG246">
        <v>3</v>
      </c>
      <c r="BH246" t="s">
        <v>535</v>
      </c>
      <c r="BN246" s="34"/>
    </row>
    <row r="247" spans="1:67" ht="13" customHeight="1">
      <c r="A247" s="19"/>
      <c r="B247" s="4"/>
      <c r="C247" s="4"/>
      <c r="D247" s="4" t="s">
        <v>88</v>
      </c>
      <c r="E247" s="4"/>
      <c r="F247" s="4"/>
      <c r="M247" s="1489" t="s">
        <v>2624</v>
      </c>
      <c r="N247" s="1490"/>
      <c r="O247" s="1490"/>
      <c r="P247" s="1490"/>
      <c r="Q247" s="1490"/>
      <c r="R247" s="1490"/>
      <c r="S247" s="4" t="s">
        <v>206</v>
      </c>
      <c r="T247" s="4"/>
      <c r="U247" s="1473"/>
      <c r="V247" s="1473"/>
      <c r="W247" s="1473"/>
      <c r="X247" s="4" t="s">
        <v>89</v>
      </c>
      <c r="Z247" s="1489" t="s">
        <v>2625</v>
      </c>
      <c r="AA247" s="1490"/>
      <c r="AB247" s="1490"/>
      <c r="AC247" s="1490"/>
      <c r="AD247" s="1490"/>
      <c r="AE247" s="1490"/>
      <c r="AU247" s="4"/>
      <c r="AV247" s="4"/>
      <c r="AW247" s="4"/>
      <c r="AX247" s="4"/>
      <c r="AY247" s="4"/>
      <c r="BG247">
        <v>0</v>
      </c>
      <c r="BH247" s="3" t="str">
        <f>""</f>
        <v/>
      </c>
      <c r="BN247" s="34"/>
    </row>
    <row r="248" spans="1:67" ht="13" customHeight="1">
      <c r="A248" s="19"/>
      <c r="B248" s="4"/>
      <c r="C248" s="4"/>
      <c r="D248" s="4" t="s">
        <v>90</v>
      </c>
      <c r="E248" s="4"/>
      <c r="F248" s="4"/>
      <c r="M248" s="1542" t="s">
        <v>2626</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3" customHeight="1">
      <c r="A249" s="13"/>
      <c r="B249" s="4"/>
      <c r="C249" s="56"/>
      <c r="D249" s="4" t="s">
        <v>534</v>
      </c>
      <c r="E249" s="4"/>
      <c r="F249" s="4"/>
      <c r="G249" s="4"/>
      <c r="H249" s="4"/>
      <c r="I249" s="4"/>
      <c r="J249" s="4"/>
      <c r="K249" s="4"/>
      <c r="L249" s="4"/>
      <c r="M249" s="1371" t="s">
        <v>533</v>
      </c>
      <c r="N249" s="1371"/>
      <c r="O249" s="1371"/>
      <c r="P249" s="1371"/>
      <c r="Q249" s="1371"/>
      <c r="R249" s="1371"/>
      <c r="S249" s="1371"/>
      <c r="T249" s="1371"/>
      <c r="U249" s="204" t="s">
        <v>904</v>
      </c>
      <c r="V249" s="204"/>
      <c r="W249" s="204"/>
      <c r="X249" s="204"/>
      <c r="Y249" s="204"/>
      <c r="Z249" s="204"/>
      <c r="AA249" s="1564" t="s">
        <v>590</v>
      </c>
      <c r="AB249" s="1565"/>
      <c r="AC249" s="1565"/>
      <c r="AD249" s="1565"/>
      <c r="AE249" s="1565"/>
      <c r="AF249" s="1565"/>
      <c r="AG249" s="1565"/>
      <c r="AH249" s="1565"/>
      <c r="AI249" s="1565"/>
      <c r="AJ249" s="1565"/>
      <c r="AK249" s="1565"/>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953</v>
      </c>
      <c r="E251" s="4"/>
      <c r="F251" s="4"/>
      <c r="G251" s="4"/>
      <c r="H251" s="4"/>
      <c r="I251" s="4"/>
      <c r="J251" s="4"/>
      <c r="K251" s="4"/>
      <c r="L251" s="4"/>
      <c r="M251" s="1571" t="s">
        <v>2627</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2628</v>
      </c>
      <c r="AG251" s="1544"/>
      <c r="AH251" s="1544"/>
      <c r="AI251" s="1544"/>
      <c r="AJ251" s="1544"/>
      <c r="AK251" s="1544"/>
      <c r="AU251" s="4"/>
      <c r="AV251" s="4"/>
      <c r="AW251" s="4"/>
      <c r="AX251" s="4"/>
      <c r="AY251" s="4"/>
      <c r="BN251" s="34"/>
    </row>
    <row r="252" spans="1:67" ht="13" customHeight="1">
      <c r="A252" s="19"/>
      <c r="B252" s="4"/>
      <c r="C252" s="4"/>
      <c r="D252" s="4" t="s">
        <v>85</v>
      </c>
      <c r="E252" s="4"/>
      <c r="F252" s="4"/>
      <c r="G252" s="4"/>
      <c r="H252" s="4"/>
      <c r="I252" s="4"/>
      <c r="J252" s="4"/>
      <c r="K252" s="4"/>
      <c r="L252" s="4"/>
      <c r="M252" s="1407" t="s">
        <v>2614</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1177</v>
      </c>
      <c r="AL252" s="4"/>
      <c r="AM252" s="4"/>
      <c r="AN252" s="4"/>
      <c r="AO252" s="4"/>
      <c r="AP252" s="4"/>
      <c r="AQ252" s="4"/>
      <c r="AR252" s="4"/>
      <c r="AS252" s="4"/>
      <c r="AT252" s="4"/>
      <c r="BN252" s="34"/>
    </row>
    <row r="253" spans="1:67" ht="13" customHeight="1">
      <c r="A253" s="19"/>
      <c r="B253" s="4"/>
      <c r="C253" s="4"/>
      <c r="D253" s="4" t="s">
        <v>579</v>
      </c>
      <c r="E253" s="4"/>
      <c r="M253" s="1407" t="s">
        <v>2611</v>
      </c>
      <c r="N253" s="1527"/>
      <c r="O253" s="1527"/>
      <c r="P253" s="1527"/>
      <c r="Q253" s="1527"/>
      <c r="R253" s="1527"/>
      <c r="S253" s="1527"/>
      <c r="T253" s="1527"/>
      <c r="V253" s="33" t="s">
        <v>86</v>
      </c>
      <c r="W253" s="1472" t="s">
        <v>2615</v>
      </c>
      <c r="X253" s="1473"/>
      <c r="Y253" s="4" t="s">
        <v>582</v>
      </c>
      <c r="AC253" s="1527">
        <v>83616</v>
      </c>
      <c r="AD253" s="1527"/>
      <c r="AE253" s="1527"/>
      <c r="AF253" s="3" t="s">
        <v>1178</v>
      </c>
      <c r="AU253" s="4"/>
      <c r="AV253" s="4"/>
      <c r="AW253" s="4"/>
      <c r="AX253" s="4"/>
      <c r="AY253" s="4"/>
      <c r="BN253" s="34"/>
    </row>
    <row r="254" spans="1:67" ht="13" customHeight="1">
      <c r="A254" s="19"/>
      <c r="B254" s="4"/>
      <c r="C254" s="4"/>
      <c r="D254" s="4" t="s">
        <v>87</v>
      </c>
      <c r="E254" s="4"/>
      <c r="F254" s="4"/>
      <c r="G254" s="4"/>
      <c r="H254" s="4"/>
      <c r="I254" s="4"/>
      <c r="J254" s="4"/>
      <c r="K254" s="4"/>
      <c r="L254" s="19"/>
      <c r="M254" s="1407" t="s">
        <v>2612</v>
      </c>
      <c r="N254" s="1527"/>
      <c r="O254" s="1527"/>
      <c r="P254" s="1527"/>
      <c r="Q254" s="1527"/>
      <c r="R254" s="1527"/>
      <c r="S254" s="1527"/>
      <c r="T254" s="1527"/>
      <c r="U254" s="1527"/>
      <c r="V254" s="1527"/>
      <c r="W254" s="1527"/>
      <c r="X254" s="1527"/>
      <c r="Y254" s="1527"/>
      <c r="Z254" s="1527"/>
      <c r="AA254" s="1527"/>
      <c r="AB254" s="1527"/>
      <c r="AC254" s="1527"/>
      <c r="AD254" s="1527"/>
      <c r="AE254" s="1527"/>
      <c r="AH254" s="1541">
        <v>8.9999999999999993E-3</v>
      </c>
      <c r="AI254" s="1541"/>
      <c r="AJ254" s="1541"/>
      <c r="AK254" s="1541"/>
      <c r="AL254" s="4"/>
      <c r="AM254" s="4"/>
      <c r="AN254" s="4"/>
      <c r="AO254" s="4"/>
      <c r="AP254" s="4"/>
      <c r="AQ254" s="4"/>
      <c r="AR254" s="4"/>
      <c r="AS254" s="4"/>
      <c r="AT254" s="4"/>
    </row>
    <row r="255" spans="1:67" ht="13" customHeight="1">
      <c r="A255" s="19"/>
      <c r="B255" s="4"/>
      <c r="C255" s="4"/>
      <c r="D255" s="4" t="s">
        <v>88</v>
      </c>
      <c r="E255" s="4"/>
      <c r="F255" s="4"/>
      <c r="M255" s="1489" t="s">
        <v>2616</v>
      </c>
      <c r="N255" s="1490"/>
      <c r="O255" s="1490"/>
      <c r="P255" s="1490"/>
      <c r="Q255" s="1490"/>
      <c r="R255" s="1490"/>
      <c r="S255" s="4" t="s">
        <v>206</v>
      </c>
      <c r="T255" s="4"/>
      <c r="U255" s="1473">
        <v>3015</v>
      </c>
      <c r="V255" s="1473"/>
      <c r="W255" s="1473"/>
      <c r="X255" s="4" t="s">
        <v>89</v>
      </c>
      <c r="Z255" s="1489" t="s">
        <v>2617</v>
      </c>
      <c r="AA255" s="1490"/>
      <c r="AB255" s="1490"/>
      <c r="AC255" s="1490"/>
      <c r="AD255" s="1490"/>
      <c r="AE255" s="1490"/>
      <c r="AU255" s="4"/>
      <c r="AV255" s="4"/>
      <c r="AW255" s="4"/>
      <c r="AX255" s="4"/>
      <c r="AY255" s="4"/>
      <c r="BN255" s="34"/>
    </row>
    <row r="256" spans="1:67" ht="13" customHeight="1">
      <c r="A256" s="19"/>
      <c r="B256" s="4"/>
      <c r="C256" s="4"/>
      <c r="D256" s="4" t="s">
        <v>90</v>
      </c>
      <c r="E256" s="4"/>
      <c r="F256" s="4"/>
      <c r="M256" s="1542" t="s">
        <v>2618</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534</v>
      </c>
      <c r="E257" s="4"/>
      <c r="F257" s="4"/>
      <c r="G257" s="4"/>
      <c r="H257" s="4"/>
      <c r="I257" s="4"/>
      <c r="J257" s="4"/>
      <c r="K257" s="4"/>
      <c r="L257" s="4"/>
      <c r="M257" s="1371" t="s">
        <v>535</v>
      </c>
      <c r="N257" s="1371"/>
      <c r="O257" s="1371"/>
      <c r="P257" s="1371"/>
      <c r="Q257" s="1371"/>
      <c r="R257" s="1371"/>
      <c r="S257" s="1371"/>
      <c r="T257" s="1371"/>
      <c r="U257" s="204" t="s">
        <v>904</v>
      </c>
      <c r="V257" s="204"/>
      <c r="W257" s="204"/>
      <c r="X257" s="204"/>
      <c r="Y257" s="204"/>
      <c r="Z257" s="204"/>
      <c r="AA257" s="1564" t="s">
        <v>2629</v>
      </c>
      <c r="AB257" s="1565"/>
      <c r="AC257" s="1565"/>
      <c r="AD257" s="1565"/>
      <c r="AE257" s="1565"/>
      <c r="AF257" s="1565"/>
      <c r="AG257" s="1565"/>
      <c r="AH257" s="1565"/>
      <c r="AI257" s="1565"/>
      <c r="AJ257" s="1565"/>
      <c r="AK257" s="1565"/>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874</v>
      </c>
      <c r="D259" s="4" t="s">
        <v>531</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1177</v>
      </c>
      <c r="AL260" s="3"/>
      <c r="AM260" s="3"/>
      <c r="AN260" s="3"/>
      <c r="AO260" s="3"/>
      <c r="AP260" s="3"/>
      <c r="AQ260" s="3"/>
      <c r="AR260" s="3"/>
      <c r="AS260" s="3"/>
      <c r="AT260" s="3"/>
      <c r="AU260" s="3"/>
      <c r="AV260" s="3"/>
      <c r="AW260" s="3"/>
      <c r="AX260" s="3"/>
      <c r="AY260" s="3"/>
    </row>
    <row r="261" spans="1:51" ht="13" customHeight="1">
      <c r="A261" s="13"/>
      <c r="B261" s="4"/>
      <c r="C261" s="4"/>
      <c r="D261" s="4" t="s">
        <v>579</v>
      </c>
      <c r="E261" s="4"/>
      <c r="M261" s="1527"/>
      <c r="N261" s="1527"/>
      <c r="O261" s="1527"/>
      <c r="P261" s="1527"/>
      <c r="Q261" s="1527"/>
      <c r="R261" s="1527"/>
      <c r="S261" s="1527"/>
      <c r="T261" s="1527"/>
      <c r="V261" s="33" t="s">
        <v>86</v>
      </c>
      <c r="W261" s="1473"/>
      <c r="X261" s="1473"/>
      <c r="Y261" s="4" t="s">
        <v>582</v>
      </c>
      <c r="AC261" s="1527"/>
      <c r="AD261" s="1527"/>
      <c r="AE261" s="1527"/>
      <c r="AF261" s="3" t="s">
        <v>1178</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0"/>
      <c r="N263" s="1490"/>
      <c r="O263" s="1490"/>
      <c r="P263" s="1490"/>
      <c r="Q263" s="1490"/>
      <c r="R263" s="1490"/>
      <c r="S263" s="4" t="s">
        <v>206</v>
      </c>
      <c r="T263" s="4"/>
      <c r="U263" s="1473"/>
      <c r="V263" s="1473"/>
      <c r="W263" s="1473"/>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534</v>
      </c>
      <c r="E265" s="4"/>
      <c r="F265" s="4"/>
      <c r="G265" s="4"/>
      <c r="H265" s="4"/>
      <c r="I265" s="4"/>
      <c r="J265" s="4"/>
      <c r="K265" s="4"/>
      <c r="L265" s="4"/>
      <c r="M265" s="1371" t="s">
        <v>307</v>
      </c>
      <c r="N265" s="1371"/>
      <c r="O265" s="1371"/>
      <c r="P265" s="1371"/>
      <c r="Q265" s="1371"/>
      <c r="R265" s="1371"/>
      <c r="S265" s="1371"/>
      <c r="T265" s="1371"/>
      <c r="U265" s="204" t="s">
        <v>904</v>
      </c>
      <c r="V265" s="204"/>
      <c r="W265" s="204"/>
      <c r="X265" s="204"/>
      <c r="Y265" s="204"/>
      <c r="Z265" s="204"/>
      <c r="AA265" s="1578"/>
      <c r="AB265" s="1578"/>
      <c r="AC265" s="1578"/>
      <c r="AD265" s="1578"/>
      <c r="AE265" s="1578"/>
      <c r="AF265" s="1578"/>
      <c r="AG265" s="1578"/>
      <c r="AH265" s="1578"/>
      <c r="AI265" s="1578"/>
      <c r="AJ265" s="1578"/>
      <c r="AK265" s="1578"/>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589</v>
      </c>
      <c r="B267" s="4"/>
      <c r="C267" s="2" t="s">
        <v>295</v>
      </c>
      <c r="D267" s="4"/>
      <c r="E267" s="4"/>
      <c r="F267" s="4"/>
      <c r="G267" s="4"/>
      <c r="H267" s="4"/>
      <c r="I267" s="4"/>
      <c r="J267" s="4"/>
      <c r="K267" s="4"/>
      <c r="L267" s="4"/>
      <c r="M267" s="35"/>
      <c r="N267" s="35"/>
      <c r="O267" s="35"/>
      <c r="P267" s="35"/>
      <c r="Q267" s="35"/>
      <c r="T267" s="1572" t="str">
        <f>IFERROR(BO245,"")</f>
        <v>Joint Venture</v>
      </c>
      <c r="U267" s="1572"/>
      <c r="V267" s="1572"/>
      <c r="W267" s="1572"/>
      <c r="X267" s="1572"/>
      <c r="Z267" s="307" t="s">
        <v>952</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805</v>
      </c>
      <c r="AF268" s="4"/>
      <c r="AG268" s="4"/>
      <c r="AH268" s="4"/>
      <c r="AI268" s="4"/>
      <c r="AJ268" s="4"/>
      <c r="AL268" s="65"/>
    </row>
    <row r="269" spans="1:51" ht="13"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1" t="s">
        <v>951</v>
      </c>
      <c r="AA269" s="48"/>
      <c r="AB269" s="48"/>
      <c r="AC269" s="48"/>
      <c r="AD269" s="48"/>
      <c r="AE269" s="48"/>
      <c r="AF269" s="104"/>
      <c r="AG269" s="104"/>
      <c r="AH269" s="104"/>
      <c r="AI269" s="104"/>
      <c r="AJ269" s="104"/>
      <c r="AK269" s="48"/>
      <c r="AL269" s="49"/>
    </row>
    <row r="270" spans="1:51" ht="13" customHeight="1">
      <c r="A270" s="4"/>
      <c r="B270" s="36">
        <v>0</v>
      </c>
      <c r="D270" s="1527" t="s">
        <v>280</v>
      </c>
      <c r="E270" s="1527"/>
      <c r="F270" s="1527"/>
      <c r="G270" s="1527"/>
      <c r="H270" s="1527"/>
      <c r="J270" t="s">
        <v>279</v>
      </c>
      <c r="X270" s="1509"/>
      <c r="Y270" s="1509"/>
      <c r="Z270" s="1509"/>
      <c r="AA270" s="1509"/>
      <c r="AB270" s="1509"/>
      <c r="AC270" s="1509"/>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71" t="s">
        <v>2630</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7" t="s">
        <v>2614</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 customHeight="1">
      <c r="D276" s="4" t="s">
        <v>579</v>
      </c>
      <c r="E276" s="4"/>
      <c r="L276" s="1407" t="s">
        <v>2611</v>
      </c>
      <c r="M276" s="1527"/>
      <c r="N276" s="1527"/>
      <c r="O276" s="1527"/>
      <c r="P276" s="1527"/>
      <c r="Q276" s="1527"/>
      <c r="R276" s="1527"/>
      <c r="S276" s="1527"/>
      <c r="U276" s="33" t="s">
        <v>86</v>
      </c>
      <c r="V276" s="1472" t="s">
        <v>2615</v>
      </c>
      <c r="W276" s="1473"/>
      <c r="X276" s="4" t="s">
        <v>582</v>
      </c>
      <c r="AB276" s="1527">
        <v>83616</v>
      </c>
      <c r="AC276" s="1527"/>
      <c r="AD276" s="152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7" t="s">
        <v>2631</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 customHeight="1">
      <c r="D278" s="4" t="s">
        <v>88</v>
      </c>
      <c r="E278" s="4"/>
      <c r="F278" s="4"/>
      <c r="L278" s="1489" t="s">
        <v>2632</v>
      </c>
      <c r="M278" s="1490"/>
      <c r="N278" s="1490"/>
      <c r="O278" s="1490"/>
      <c r="P278" s="1490"/>
      <c r="Q278" s="1490"/>
      <c r="R278" s="4" t="s">
        <v>206</v>
      </c>
      <c r="S278" s="4"/>
      <c r="T278" s="1473"/>
      <c r="U278" s="1473"/>
      <c r="V278" s="1473"/>
      <c r="W278" s="4" t="s">
        <v>89</v>
      </c>
      <c r="Y278" s="1489" t="s">
        <v>2617</v>
      </c>
      <c r="Z278" s="1490"/>
      <c r="AA278" s="1490"/>
      <c r="AB278" s="1490"/>
      <c r="AC278" s="1490"/>
      <c r="AD278" s="1490"/>
    </row>
    <row r="279" spans="1:51" ht="13" customHeight="1">
      <c r="D279" s="4" t="s">
        <v>90</v>
      </c>
      <c r="E279" s="4"/>
      <c r="F279" s="4"/>
      <c r="L279" s="1542" t="s">
        <v>2633</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3" customHeight="1">
      <c r="D280" s="3" t="s">
        <v>622</v>
      </c>
      <c r="E280" s="3"/>
      <c r="F280" s="3"/>
      <c r="G280" s="3"/>
      <c r="H280" s="3"/>
      <c r="I280" s="3"/>
      <c r="L280" s="1472" t="s">
        <v>2634</v>
      </c>
      <c r="M280" s="1472"/>
      <c r="N280" s="1472"/>
      <c r="O280" s="1472"/>
      <c r="P280" s="1472"/>
      <c r="Q280" s="1472"/>
      <c r="R280" s="1472"/>
      <c r="S280" s="1472"/>
      <c r="T280" s="1472"/>
      <c r="U280" s="1472"/>
      <c r="V280" s="1472"/>
      <c r="W280" s="1472"/>
      <c r="X280" s="1472"/>
      <c r="Y280" s="1472"/>
      <c r="Z280" s="1472"/>
      <c r="AA280" s="1472"/>
      <c r="AB280" s="1472"/>
      <c r="AC280" s="1472"/>
      <c r="AD280" s="1472"/>
      <c r="AK280" s="3"/>
      <c r="AL280" s="3"/>
      <c r="AM280" s="3"/>
      <c r="AN280" s="3"/>
      <c r="AO280" s="3"/>
      <c r="AP280" s="3"/>
      <c r="AQ280" s="3"/>
      <c r="AR280" s="3"/>
      <c r="AS280" s="3"/>
      <c r="AT280" s="3"/>
    </row>
    <row r="281" spans="1:51" ht="13" customHeight="1">
      <c r="L281" s="22" t="s">
        <v>623</v>
      </c>
      <c r="AU281" s="95"/>
      <c r="AV281" s="95"/>
      <c r="AW281" s="95"/>
      <c r="AX281" s="95"/>
      <c r="AY281" s="95"/>
    </row>
    <row r="282" spans="1:51" ht="13" customHeight="1">
      <c r="A282" s="1537" t="s">
        <v>540</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3"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625</v>
      </c>
      <c r="C287" s="3"/>
      <c r="D287" s="3"/>
      <c r="E287" s="3"/>
      <c r="F287" s="3"/>
      <c r="H287" s="1407" t="s">
        <v>2630</v>
      </c>
      <c r="I287" s="1408"/>
      <c r="J287" s="1408"/>
      <c r="K287" s="1408"/>
      <c r="L287" s="1408"/>
      <c r="M287" s="1408"/>
      <c r="N287" s="1408"/>
      <c r="O287" s="1408"/>
      <c r="P287" s="1408"/>
      <c r="Q287" s="1408"/>
      <c r="R287" s="1408"/>
      <c r="T287" s="3" t="s">
        <v>566</v>
      </c>
      <c r="V287" s="3"/>
      <c r="W287" s="3"/>
      <c r="X287" s="3"/>
      <c r="Y287" s="3"/>
      <c r="AA287" s="1407" t="s">
        <v>2721</v>
      </c>
      <c r="AB287" s="1408"/>
      <c r="AC287" s="1408"/>
      <c r="AD287" s="1408"/>
      <c r="AE287" s="1408"/>
      <c r="AF287" s="1408"/>
      <c r="AG287" s="1408"/>
      <c r="AH287" s="1408"/>
      <c r="AI287" s="1408"/>
      <c r="AJ287" s="1408"/>
      <c r="AK287" s="1408"/>
    </row>
    <row r="288" spans="1:51" ht="13" customHeight="1">
      <c r="B288" s="3" t="s">
        <v>470</v>
      </c>
      <c r="C288" s="3"/>
      <c r="D288" s="3"/>
      <c r="E288" s="3"/>
      <c r="F288" s="3"/>
      <c r="H288" s="1472" t="s">
        <v>2614</v>
      </c>
      <c r="I288" s="1371"/>
      <c r="J288" s="1371"/>
      <c r="K288" s="1371"/>
      <c r="L288" s="1371"/>
      <c r="M288" s="1371"/>
      <c r="N288" s="1371"/>
      <c r="O288" s="1371"/>
      <c r="P288" s="1371"/>
      <c r="Q288" s="1371"/>
      <c r="R288" s="1371"/>
      <c r="T288" s="3" t="s">
        <v>470</v>
      </c>
      <c r="V288" s="3"/>
      <c r="W288" s="3"/>
      <c r="X288" s="3"/>
      <c r="Y288" s="3"/>
      <c r="AA288" s="1472" t="s">
        <v>2722</v>
      </c>
      <c r="AB288" s="1371"/>
      <c r="AC288" s="1371"/>
      <c r="AD288" s="1371"/>
      <c r="AE288" s="1371"/>
      <c r="AF288" s="1371"/>
      <c r="AG288" s="1371"/>
      <c r="AH288" s="1371"/>
      <c r="AI288" s="1371"/>
      <c r="AJ288" s="1371"/>
      <c r="AK288" s="1371"/>
    </row>
    <row r="289" spans="2:37" ht="13" customHeight="1">
      <c r="B289" s="3" t="s">
        <v>471</v>
      </c>
      <c r="C289" s="3"/>
      <c r="D289" s="3"/>
      <c r="E289" s="3"/>
      <c r="F289" s="3"/>
      <c r="H289" s="1472" t="s">
        <v>2635</v>
      </c>
      <c r="I289" s="1371"/>
      <c r="J289" s="1371"/>
      <c r="K289" s="1371"/>
      <c r="L289" s="1371"/>
      <c r="M289" s="1371"/>
      <c r="N289" s="1371"/>
      <c r="O289" s="1371"/>
      <c r="P289" s="1371"/>
      <c r="Q289" s="1371"/>
      <c r="R289" s="1371"/>
      <c r="T289" s="3" t="s">
        <v>75</v>
      </c>
      <c r="V289" s="3"/>
      <c r="W289" s="3"/>
      <c r="X289" s="3"/>
      <c r="Y289" s="3"/>
      <c r="AA289" s="1472" t="s">
        <v>2723</v>
      </c>
      <c r="AB289" s="1371"/>
      <c r="AC289" s="1371"/>
      <c r="AD289" s="1371"/>
      <c r="AE289" s="1371"/>
      <c r="AF289" s="1371"/>
      <c r="AG289" s="1371"/>
      <c r="AH289" s="1371"/>
      <c r="AI289" s="1371"/>
      <c r="AJ289" s="1371"/>
      <c r="AK289" s="1371"/>
    </row>
    <row r="290" spans="2:37" ht="13" customHeight="1">
      <c r="B290" s="3" t="s">
        <v>87</v>
      </c>
      <c r="C290" s="3"/>
      <c r="D290" s="3"/>
      <c r="E290" s="3"/>
      <c r="F290" s="3"/>
      <c r="H290" s="1472" t="s">
        <v>2612</v>
      </c>
      <c r="I290" s="1371"/>
      <c r="J290" s="1371"/>
      <c r="K290" s="1371"/>
      <c r="L290" s="1371"/>
      <c r="M290" s="1371"/>
      <c r="N290" s="1371"/>
      <c r="O290" s="1371"/>
      <c r="P290" s="1371"/>
      <c r="Q290" s="1371"/>
      <c r="R290" s="1371"/>
      <c r="T290" s="3" t="s">
        <v>87</v>
      </c>
      <c r="V290" s="3"/>
      <c r="W290" s="3"/>
      <c r="X290" s="3"/>
      <c r="Y290" s="3"/>
      <c r="AA290" s="1472" t="s">
        <v>2724</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5" t="s">
        <v>2616</v>
      </c>
      <c r="I291" s="1546"/>
      <c r="J291" s="1546"/>
      <c r="K291" s="1546"/>
      <c r="L291" s="1546"/>
      <c r="M291" s="1546"/>
      <c r="N291" s="4" t="s">
        <v>206</v>
      </c>
      <c r="O291" s="4"/>
      <c r="P291" s="1527">
        <v>3015</v>
      </c>
      <c r="Q291" s="1527"/>
      <c r="R291" s="1527"/>
      <c r="S291" s="3"/>
      <c r="T291" s="3" t="s">
        <v>88</v>
      </c>
      <c r="V291" s="3"/>
      <c r="W291" s="3"/>
      <c r="X291" s="3"/>
      <c r="Y291" s="3"/>
      <c r="AA291" s="1545" t="s">
        <v>2725</v>
      </c>
      <c r="AB291" s="1546"/>
      <c r="AC291" s="1546"/>
      <c r="AD291" s="1546"/>
      <c r="AE291" s="1546"/>
      <c r="AF291" s="1546"/>
      <c r="AG291" s="4" t="s">
        <v>206</v>
      </c>
      <c r="AH291" s="4"/>
      <c r="AI291" s="1527"/>
      <c r="AJ291" s="1527"/>
      <c r="AK291" s="1527"/>
    </row>
    <row r="292" spans="2:37" ht="13" customHeight="1">
      <c r="B292" s="3" t="s">
        <v>89</v>
      </c>
      <c r="C292" s="3"/>
      <c r="D292" s="3"/>
      <c r="E292" s="3"/>
      <c r="F292" s="3"/>
      <c r="G292" s="3"/>
      <c r="H292" s="1489" t="s">
        <v>2617</v>
      </c>
      <c r="I292" s="1490"/>
      <c r="J292" s="1490"/>
      <c r="K292" s="1490"/>
      <c r="L292" s="1490"/>
      <c r="M292" s="1490"/>
      <c r="N292" s="4"/>
      <c r="O292" s="4"/>
      <c r="P292" s="35"/>
      <c r="Q292" s="35"/>
      <c r="R292" s="35"/>
      <c r="S292" s="3"/>
      <c r="T292" s="3" t="s">
        <v>89</v>
      </c>
      <c r="V292" s="3"/>
      <c r="W292" s="3"/>
      <c r="X292" s="3"/>
      <c r="Y292" s="3"/>
      <c r="AA292" s="1489"/>
      <c r="AB292" s="1490"/>
      <c r="AC292" s="1490"/>
      <c r="AD292" s="1490"/>
      <c r="AE292" s="1490"/>
      <c r="AF292" s="1490"/>
      <c r="AG292" s="4"/>
      <c r="AH292" s="4"/>
      <c r="AI292" s="35"/>
      <c r="AJ292" s="35"/>
      <c r="AK292" s="35"/>
    </row>
    <row r="293" spans="2:37" ht="13" customHeight="1">
      <c r="B293" s="3" t="s">
        <v>76</v>
      </c>
      <c r="C293" s="3"/>
      <c r="D293" s="3"/>
      <c r="E293" s="3"/>
      <c r="F293" s="3"/>
      <c r="G293" s="3"/>
      <c r="H293" s="1472" t="s">
        <v>2618</v>
      </c>
      <c r="I293" s="1371"/>
      <c r="J293" s="1371"/>
      <c r="K293" s="1371"/>
      <c r="L293" s="1371"/>
      <c r="M293" s="1371"/>
      <c r="N293" s="1408"/>
      <c r="O293" s="1408"/>
      <c r="P293" s="1408"/>
      <c r="Q293" s="1408"/>
      <c r="R293" s="1408"/>
      <c r="S293" s="3"/>
      <c r="T293" s="3" t="s">
        <v>76</v>
      </c>
      <c r="V293" s="3"/>
      <c r="W293" s="3"/>
      <c r="X293" s="3"/>
      <c r="Y293" s="3"/>
      <c r="AA293" s="1472" t="s">
        <v>2726</v>
      </c>
      <c r="AB293" s="1371"/>
      <c r="AC293" s="1371"/>
      <c r="AD293" s="1371"/>
      <c r="AE293" s="1371"/>
      <c r="AF293" s="1371"/>
      <c r="AG293" s="1408"/>
      <c r="AH293" s="1408"/>
      <c r="AI293" s="1408"/>
      <c r="AJ293" s="1408"/>
      <c r="AK293" s="140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7" t="s">
        <v>2637</v>
      </c>
      <c r="I295" s="1408"/>
      <c r="J295" s="1408"/>
      <c r="K295" s="1408"/>
      <c r="L295" s="1408"/>
      <c r="M295" s="1408"/>
      <c r="N295" s="1408"/>
      <c r="O295" s="1408"/>
      <c r="P295" s="1408"/>
      <c r="Q295" s="1408"/>
      <c r="R295" s="1408"/>
      <c r="T295" s="3" t="s">
        <v>364</v>
      </c>
      <c r="V295" s="3"/>
      <c r="W295" s="3"/>
      <c r="X295" s="3"/>
      <c r="Y295" s="3"/>
      <c r="AA295" s="1407" t="s">
        <v>2638</v>
      </c>
      <c r="AB295" s="1408"/>
      <c r="AC295" s="1408"/>
      <c r="AD295" s="1408"/>
      <c r="AE295" s="1408"/>
      <c r="AF295" s="1408"/>
      <c r="AG295" s="1408"/>
      <c r="AH295" s="1408"/>
      <c r="AI295" s="1408"/>
      <c r="AJ295" s="1408"/>
      <c r="AK295" s="1408"/>
    </row>
    <row r="296" spans="2:37" ht="13" customHeight="1">
      <c r="B296" s="3" t="s">
        <v>470</v>
      </c>
      <c r="C296" s="3"/>
      <c r="D296" s="3"/>
      <c r="E296" s="3"/>
      <c r="F296" s="3"/>
      <c r="H296" s="1472" t="s">
        <v>2639</v>
      </c>
      <c r="I296" s="1371"/>
      <c r="J296" s="1371"/>
      <c r="K296" s="1371"/>
      <c r="L296" s="1371"/>
      <c r="M296" s="1371"/>
      <c r="N296" s="1371"/>
      <c r="O296" s="1371"/>
      <c r="P296" s="1371"/>
      <c r="Q296" s="1371"/>
      <c r="R296" s="1371"/>
      <c r="T296" s="3" t="s">
        <v>470</v>
      </c>
      <c r="V296" s="3"/>
      <c r="W296" s="3"/>
      <c r="X296" s="3"/>
      <c r="Y296" s="3"/>
      <c r="AA296" s="1472" t="s">
        <v>2614</v>
      </c>
      <c r="AB296" s="1371"/>
      <c r="AC296" s="1371"/>
      <c r="AD296" s="1371"/>
      <c r="AE296" s="1371"/>
      <c r="AF296" s="1371"/>
      <c r="AG296" s="1371"/>
      <c r="AH296" s="1371"/>
      <c r="AI296" s="1371"/>
      <c r="AJ296" s="1371"/>
      <c r="AK296" s="1371"/>
    </row>
    <row r="297" spans="2:37" ht="13" customHeight="1">
      <c r="B297" s="3" t="s">
        <v>471</v>
      </c>
      <c r="C297" s="3"/>
      <c r="D297" s="3"/>
      <c r="E297" s="3"/>
      <c r="F297" s="3"/>
      <c r="H297" s="1472" t="s">
        <v>2635</v>
      </c>
      <c r="I297" s="1371"/>
      <c r="J297" s="1371"/>
      <c r="K297" s="1371"/>
      <c r="L297" s="1371"/>
      <c r="M297" s="1371"/>
      <c r="N297" s="1371"/>
      <c r="O297" s="1371"/>
      <c r="P297" s="1371"/>
      <c r="Q297" s="1371"/>
      <c r="R297" s="1371"/>
      <c r="T297" s="3" t="s">
        <v>75</v>
      </c>
      <c r="V297" s="3"/>
      <c r="W297" s="3"/>
      <c r="X297" s="3"/>
      <c r="Y297" s="3"/>
      <c r="AA297" s="1472" t="s">
        <v>2635</v>
      </c>
      <c r="AB297" s="1371"/>
      <c r="AC297" s="1371"/>
      <c r="AD297" s="1371"/>
      <c r="AE297" s="1371"/>
      <c r="AF297" s="1371"/>
      <c r="AG297" s="1371"/>
      <c r="AH297" s="1371"/>
      <c r="AI297" s="1371"/>
      <c r="AJ297" s="1371"/>
      <c r="AK297" s="1371"/>
    </row>
    <row r="298" spans="2:37" ht="13" customHeight="1">
      <c r="B298" s="3" t="s">
        <v>87</v>
      </c>
      <c r="C298" s="3"/>
      <c r="D298" s="3"/>
      <c r="E298" s="3"/>
      <c r="F298" s="3"/>
      <c r="H298" s="1472" t="s">
        <v>2640</v>
      </c>
      <c r="I298" s="1371"/>
      <c r="J298" s="1371"/>
      <c r="K298" s="1371"/>
      <c r="L298" s="1371"/>
      <c r="M298" s="1371"/>
      <c r="N298" s="1371"/>
      <c r="O298" s="1371"/>
      <c r="P298" s="1371"/>
      <c r="Q298" s="1371"/>
      <c r="R298" s="1371"/>
      <c r="T298" s="3" t="s">
        <v>87</v>
      </c>
      <c r="V298" s="3"/>
      <c r="W298" s="3"/>
      <c r="X298" s="3"/>
      <c r="Y298" s="3"/>
      <c r="AA298" s="1472" t="s">
        <v>2612</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5" t="s">
        <v>2641</v>
      </c>
      <c r="I299" s="1546"/>
      <c r="J299" s="1546"/>
      <c r="K299" s="1546"/>
      <c r="L299" s="1546"/>
      <c r="M299" s="1546"/>
      <c r="N299" s="4" t="s">
        <v>206</v>
      </c>
      <c r="O299" s="4"/>
      <c r="P299" s="1527"/>
      <c r="Q299" s="1527"/>
      <c r="R299" s="1527"/>
      <c r="S299" s="3"/>
      <c r="T299" s="3" t="s">
        <v>88</v>
      </c>
      <c r="V299" s="3"/>
      <c r="W299" s="3"/>
      <c r="X299" s="3"/>
      <c r="Y299" s="3"/>
      <c r="AA299" s="1545" t="s">
        <v>2616</v>
      </c>
      <c r="AB299" s="1546"/>
      <c r="AC299" s="1546"/>
      <c r="AD299" s="1546"/>
      <c r="AE299" s="1546"/>
      <c r="AF299" s="1546"/>
      <c r="AG299" s="4" t="s">
        <v>206</v>
      </c>
      <c r="AH299" s="4"/>
      <c r="AI299" s="1527">
        <v>3015</v>
      </c>
      <c r="AJ299" s="1527"/>
      <c r="AK299" s="1527"/>
    </row>
    <row r="300" spans="2:37" ht="13" customHeight="1">
      <c r="B300" s="3" t="s">
        <v>89</v>
      </c>
      <c r="C300" s="3"/>
      <c r="D300" s="3"/>
      <c r="E300" s="3"/>
      <c r="F300" s="3"/>
      <c r="G300" s="3"/>
      <c r="H300" s="1489" t="s">
        <v>2617</v>
      </c>
      <c r="I300" s="1490"/>
      <c r="J300" s="1490"/>
      <c r="K300" s="1490"/>
      <c r="L300" s="1490"/>
      <c r="M300" s="1490"/>
      <c r="N300" s="4"/>
      <c r="O300" s="4"/>
      <c r="P300" s="35"/>
      <c r="Q300" s="35"/>
      <c r="R300" s="35"/>
      <c r="S300" s="3"/>
      <c r="T300" s="3" t="s">
        <v>89</v>
      </c>
      <c r="V300" s="3"/>
      <c r="W300" s="3"/>
      <c r="X300" s="3"/>
      <c r="Y300" s="3"/>
      <c r="AA300" s="1489" t="s">
        <v>2636</v>
      </c>
      <c r="AB300" s="1490"/>
      <c r="AC300" s="1490"/>
      <c r="AD300" s="1490"/>
      <c r="AE300" s="1490"/>
      <c r="AF300" s="1490"/>
      <c r="AG300" s="4"/>
      <c r="AH300" s="4"/>
      <c r="AI300" s="35"/>
      <c r="AJ300" s="35"/>
      <c r="AK300" s="35"/>
    </row>
    <row r="301" spans="2:37" ht="13" customHeight="1">
      <c r="B301" s="3" t="s">
        <v>76</v>
      </c>
      <c r="C301" s="3"/>
      <c r="D301" s="3"/>
      <c r="E301" s="3"/>
      <c r="F301" s="3"/>
      <c r="G301" s="3"/>
      <c r="H301" s="1472" t="s">
        <v>2642</v>
      </c>
      <c r="I301" s="1371"/>
      <c r="J301" s="1371"/>
      <c r="K301" s="1371"/>
      <c r="L301" s="1371"/>
      <c r="M301" s="1371"/>
      <c r="N301" s="1408"/>
      <c r="O301" s="1408"/>
      <c r="P301" s="1408"/>
      <c r="Q301" s="1408"/>
      <c r="R301" s="1408"/>
      <c r="S301" s="3"/>
      <c r="T301" s="3" t="s">
        <v>76</v>
      </c>
      <c r="V301" s="3"/>
      <c r="W301" s="3"/>
      <c r="X301" s="3"/>
      <c r="Y301" s="3"/>
      <c r="AA301" s="1472" t="s">
        <v>2618</v>
      </c>
      <c r="AB301" s="1371"/>
      <c r="AC301" s="1371"/>
      <c r="AD301" s="1371"/>
      <c r="AE301" s="1371"/>
      <c r="AF301" s="1371"/>
      <c r="AG301" s="1408"/>
      <c r="AH301" s="1408"/>
      <c r="AI301" s="1408"/>
      <c r="AJ301" s="1408"/>
      <c r="AK301" s="1408"/>
    </row>
    <row r="302" spans="2:37" ht="13" customHeight="1"/>
    <row r="303" spans="2:37" ht="13" customHeight="1">
      <c r="B303" s="3" t="s">
        <v>77</v>
      </c>
      <c r="C303" s="3"/>
      <c r="D303" s="3"/>
      <c r="E303" s="3"/>
      <c r="F303" s="3"/>
      <c r="H303" s="1407" t="s">
        <v>2643</v>
      </c>
      <c r="I303" s="1408"/>
      <c r="J303" s="1408"/>
      <c r="K303" s="1408"/>
      <c r="L303" s="1408"/>
      <c r="M303" s="1408"/>
      <c r="N303" s="1408"/>
      <c r="O303" s="1408"/>
      <c r="P303" s="1408"/>
      <c r="Q303" s="1408"/>
      <c r="R303" s="1408"/>
      <c r="T303" s="4" t="s">
        <v>876</v>
      </c>
      <c r="V303" s="3"/>
      <c r="W303" s="3"/>
      <c r="X303" s="3"/>
      <c r="Y303" s="3"/>
      <c r="AA303" s="1407" t="s">
        <v>2644</v>
      </c>
      <c r="AB303" s="1408"/>
      <c r="AC303" s="1408"/>
      <c r="AD303" s="1408"/>
      <c r="AE303" s="1408"/>
      <c r="AF303" s="1408"/>
      <c r="AG303" s="1408"/>
      <c r="AH303" s="1408"/>
      <c r="AI303" s="1408"/>
      <c r="AJ303" s="1408"/>
      <c r="AK303" s="1408"/>
    </row>
    <row r="304" spans="2:37" ht="13" customHeight="1">
      <c r="B304" s="3" t="s">
        <v>470</v>
      </c>
      <c r="C304" s="3"/>
      <c r="D304" s="3"/>
      <c r="E304" s="3"/>
      <c r="F304" s="3"/>
      <c r="H304" s="1472" t="s">
        <v>2645</v>
      </c>
      <c r="I304" s="1371"/>
      <c r="J304" s="1371"/>
      <c r="K304" s="1371"/>
      <c r="L304" s="1371"/>
      <c r="M304" s="1371"/>
      <c r="N304" s="1371"/>
      <c r="O304" s="1371"/>
      <c r="P304" s="1371"/>
      <c r="Q304" s="1371"/>
      <c r="R304" s="1371"/>
      <c r="T304" s="3" t="s">
        <v>470</v>
      </c>
      <c r="V304" s="3"/>
      <c r="W304" s="3"/>
      <c r="X304" s="3"/>
      <c r="Y304" s="3"/>
      <c r="AA304" s="1472" t="s">
        <v>2646</v>
      </c>
      <c r="AB304" s="1371"/>
      <c r="AC304" s="1371"/>
      <c r="AD304" s="1371"/>
      <c r="AE304" s="1371"/>
      <c r="AF304" s="1371"/>
      <c r="AG304" s="1371"/>
      <c r="AH304" s="1371"/>
      <c r="AI304" s="1371"/>
      <c r="AJ304" s="1371"/>
      <c r="AK304" s="1371"/>
    </row>
    <row r="305" spans="2:37" ht="13" customHeight="1">
      <c r="B305" s="3" t="s">
        <v>471</v>
      </c>
      <c r="C305" s="3"/>
      <c r="D305" s="3"/>
      <c r="E305" s="3"/>
      <c r="F305" s="3"/>
      <c r="H305" s="1472" t="s">
        <v>2647</v>
      </c>
      <c r="I305" s="1371"/>
      <c r="J305" s="1371"/>
      <c r="K305" s="1371"/>
      <c r="L305" s="1371"/>
      <c r="M305" s="1371"/>
      <c r="N305" s="1371"/>
      <c r="O305" s="1371"/>
      <c r="P305" s="1371"/>
      <c r="Q305" s="1371"/>
      <c r="R305" s="1371"/>
      <c r="T305" s="3" t="s">
        <v>75</v>
      </c>
      <c r="V305" s="3"/>
      <c r="W305" s="3"/>
      <c r="X305" s="3"/>
      <c r="Y305" s="3"/>
      <c r="AA305" s="1472" t="s">
        <v>2648</v>
      </c>
      <c r="AB305" s="1371"/>
      <c r="AC305" s="1371"/>
      <c r="AD305" s="1371"/>
      <c r="AE305" s="1371"/>
      <c r="AF305" s="1371"/>
      <c r="AG305" s="1371"/>
      <c r="AH305" s="1371"/>
      <c r="AI305" s="1371"/>
      <c r="AJ305" s="1371"/>
      <c r="AK305" s="1371"/>
    </row>
    <row r="306" spans="2:37" ht="13" customHeight="1">
      <c r="B306" s="3" t="s">
        <v>87</v>
      </c>
      <c r="C306" s="3"/>
      <c r="D306" s="3"/>
      <c r="E306" s="3"/>
      <c r="F306" s="3"/>
      <c r="H306" s="1472" t="s">
        <v>2649</v>
      </c>
      <c r="I306" s="1371"/>
      <c r="J306" s="1371"/>
      <c r="K306" s="1371"/>
      <c r="L306" s="1371"/>
      <c r="M306" s="1371"/>
      <c r="N306" s="1371"/>
      <c r="O306" s="1371"/>
      <c r="P306" s="1371"/>
      <c r="Q306" s="1371"/>
      <c r="R306" s="1371"/>
      <c r="T306" s="3" t="s">
        <v>87</v>
      </c>
      <c r="V306" s="3"/>
      <c r="W306" s="3"/>
      <c r="X306" s="3"/>
      <c r="Y306" s="3"/>
      <c r="AA306" s="1472" t="s">
        <v>2650</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5" t="s">
        <v>2651</v>
      </c>
      <c r="I307" s="1546"/>
      <c r="J307" s="1546"/>
      <c r="K307" s="1546"/>
      <c r="L307" s="1546"/>
      <c r="M307" s="1546"/>
      <c r="N307" s="4" t="s">
        <v>206</v>
      </c>
      <c r="O307" s="4"/>
      <c r="P307" s="1527"/>
      <c r="Q307" s="1527"/>
      <c r="R307" s="1527"/>
      <c r="S307" s="3"/>
      <c r="T307" s="3" t="s">
        <v>88</v>
      </c>
      <c r="V307" s="3"/>
      <c r="W307" s="3"/>
      <c r="X307" s="3"/>
      <c r="Y307" s="3"/>
      <c r="AA307" s="1545" t="s">
        <v>2652</v>
      </c>
      <c r="AB307" s="1546"/>
      <c r="AC307" s="1546"/>
      <c r="AD307" s="1546"/>
      <c r="AE307" s="1546"/>
      <c r="AF307" s="1546"/>
      <c r="AG307" s="4" t="s">
        <v>206</v>
      </c>
      <c r="AH307" s="4"/>
      <c r="AI307" s="1527"/>
      <c r="AJ307" s="1527"/>
      <c r="AK307" s="1527"/>
    </row>
    <row r="308" spans="2:37" ht="13" customHeight="1">
      <c r="B308" s="3" t="s">
        <v>89</v>
      </c>
      <c r="C308" s="3"/>
      <c r="D308" s="3"/>
      <c r="E308" s="3"/>
      <c r="F308" s="3"/>
      <c r="G308" s="3"/>
      <c r="H308" s="1489" t="s">
        <v>2653</v>
      </c>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3" customHeight="1">
      <c r="B309" s="3" t="s">
        <v>76</v>
      </c>
      <c r="C309" s="3"/>
      <c r="D309" s="3"/>
      <c r="E309" s="3"/>
      <c r="F309" s="3"/>
      <c r="G309" s="3"/>
      <c r="H309" s="1472" t="s">
        <v>2654</v>
      </c>
      <c r="I309" s="1371"/>
      <c r="J309" s="1371"/>
      <c r="K309" s="1371"/>
      <c r="L309" s="1371"/>
      <c r="M309" s="1371"/>
      <c r="N309" s="1408"/>
      <c r="O309" s="1408"/>
      <c r="P309" s="1408"/>
      <c r="Q309" s="1408"/>
      <c r="R309" s="1408"/>
      <c r="S309" s="3"/>
      <c r="T309" s="3" t="s">
        <v>76</v>
      </c>
      <c r="V309" s="3"/>
      <c r="W309" s="3"/>
      <c r="X309" s="3"/>
      <c r="Y309" s="3"/>
      <c r="AA309" s="1472" t="s">
        <v>2655</v>
      </c>
      <c r="AB309" s="1371"/>
      <c r="AC309" s="1371"/>
      <c r="AD309" s="1371"/>
      <c r="AE309" s="1371"/>
      <c r="AF309" s="1371"/>
      <c r="AG309" s="1408"/>
      <c r="AH309" s="1408"/>
      <c r="AI309" s="1408"/>
      <c r="AJ309" s="1408"/>
      <c r="AK309" s="140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905</v>
      </c>
      <c r="C311" s="3"/>
      <c r="D311" s="3"/>
      <c r="E311" s="3"/>
      <c r="F311" s="3"/>
      <c r="H311" s="1407" t="s">
        <v>2643</v>
      </c>
      <c r="I311" s="1408"/>
      <c r="J311" s="1408"/>
      <c r="K311" s="1408"/>
      <c r="L311" s="1408"/>
      <c r="M311" s="1408"/>
      <c r="N311" s="1408"/>
      <c r="O311" s="1408"/>
      <c r="P311" s="1408"/>
      <c r="Q311" s="1408"/>
      <c r="R311" s="1408"/>
      <c r="S311" s="3"/>
      <c r="T311" s="3" t="s">
        <v>365</v>
      </c>
      <c r="V311" s="3"/>
      <c r="W311" s="3"/>
      <c r="X311" s="3"/>
      <c r="Y311" s="3"/>
      <c r="AA311" s="1407" t="s">
        <v>2656</v>
      </c>
      <c r="AB311" s="1408"/>
      <c r="AC311" s="1408"/>
      <c r="AD311" s="1408"/>
      <c r="AE311" s="1408"/>
      <c r="AF311" s="1408"/>
      <c r="AG311" s="1408"/>
      <c r="AH311" s="1408"/>
      <c r="AI311" s="1408"/>
      <c r="AJ311" s="1408"/>
      <c r="AK311" s="1408"/>
    </row>
    <row r="312" spans="2:37" ht="13" customHeight="1">
      <c r="B312" s="3" t="s">
        <v>470</v>
      </c>
      <c r="C312" s="3"/>
      <c r="D312" s="3"/>
      <c r="E312" s="3"/>
      <c r="F312" s="3"/>
      <c r="H312" s="1472" t="s">
        <v>2645</v>
      </c>
      <c r="I312" s="1371"/>
      <c r="J312" s="1371"/>
      <c r="K312" s="1371"/>
      <c r="L312" s="1371"/>
      <c r="M312" s="1371"/>
      <c r="N312" s="1371"/>
      <c r="O312" s="1371"/>
      <c r="P312" s="1371"/>
      <c r="Q312" s="1371"/>
      <c r="R312" s="1371"/>
      <c r="S312" s="3"/>
      <c r="T312" s="3" t="s">
        <v>470</v>
      </c>
      <c r="V312" s="3"/>
      <c r="W312" s="3"/>
      <c r="X312" s="3"/>
      <c r="Y312" s="3"/>
      <c r="AA312" s="1472" t="s">
        <v>2657</v>
      </c>
      <c r="AB312" s="1371"/>
      <c r="AC312" s="1371"/>
      <c r="AD312" s="1371"/>
      <c r="AE312" s="1371"/>
      <c r="AF312" s="1371"/>
      <c r="AG312" s="1371"/>
      <c r="AH312" s="1371"/>
      <c r="AI312" s="1371"/>
      <c r="AJ312" s="1371"/>
      <c r="AK312" s="1371"/>
    </row>
    <row r="313" spans="2:37" ht="13" customHeight="1">
      <c r="B313" s="3" t="s">
        <v>471</v>
      </c>
      <c r="C313" s="3"/>
      <c r="D313" s="3"/>
      <c r="E313" s="3"/>
      <c r="F313" s="3"/>
      <c r="H313" s="1472" t="s">
        <v>2647</v>
      </c>
      <c r="I313" s="1371"/>
      <c r="J313" s="1371"/>
      <c r="K313" s="1371"/>
      <c r="L313" s="1371"/>
      <c r="M313" s="1371"/>
      <c r="N313" s="1371"/>
      <c r="O313" s="1371"/>
      <c r="P313" s="1371"/>
      <c r="Q313" s="1371"/>
      <c r="R313" s="1371"/>
      <c r="S313" s="3"/>
      <c r="T313" s="3" t="s">
        <v>75</v>
      </c>
      <c r="V313" s="3"/>
      <c r="W313" s="3"/>
      <c r="X313" s="3"/>
      <c r="Y313" s="3"/>
      <c r="AA313" s="1472" t="s">
        <v>2658</v>
      </c>
      <c r="AB313" s="1371"/>
      <c r="AC313" s="1371"/>
      <c r="AD313" s="1371"/>
      <c r="AE313" s="1371"/>
      <c r="AF313" s="1371"/>
      <c r="AG313" s="1371"/>
      <c r="AH313" s="1371"/>
      <c r="AI313" s="1371"/>
      <c r="AJ313" s="1371"/>
      <c r="AK313" s="1371"/>
    </row>
    <row r="314" spans="2:37" ht="13" customHeight="1">
      <c r="B314" s="3" t="s">
        <v>87</v>
      </c>
      <c r="C314" s="3"/>
      <c r="D314" s="3"/>
      <c r="E314" s="3"/>
      <c r="F314" s="3"/>
      <c r="H314" s="1472" t="s">
        <v>2649</v>
      </c>
      <c r="I314" s="1371"/>
      <c r="J314" s="1371"/>
      <c r="K314" s="1371"/>
      <c r="L314" s="1371"/>
      <c r="M314" s="1371"/>
      <c r="N314" s="1371"/>
      <c r="O314" s="1371"/>
      <c r="P314" s="1371"/>
      <c r="Q314" s="1371"/>
      <c r="R314" s="1371"/>
      <c r="S314" s="3"/>
      <c r="T314" s="3" t="s">
        <v>87</v>
      </c>
      <c r="V314" s="3"/>
      <c r="W314" s="3"/>
      <c r="X314" s="3"/>
      <c r="Y314" s="3"/>
      <c r="AA314" s="1472" t="s">
        <v>2659</v>
      </c>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5" t="s">
        <v>2651</v>
      </c>
      <c r="I315" s="1546"/>
      <c r="J315" s="1546"/>
      <c r="K315" s="1546"/>
      <c r="L315" s="1546"/>
      <c r="M315" s="1546"/>
      <c r="N315" s="4" t="s">
        <v>206</v>
      </c>
      <c r="O315" s="4"/>
      <c r="P315" s="1527"/>
      <c r="Q315" s="1527"/>
      <c r="R315" s="1527"/>
      <c r="S315" s="3"/>
      <c r="T315" s="3" t="s">
        <v>88</v>
      </c>
      <c r="V315" s="3"/>
      <c r="W315" s="3"/>
      <c r="X315" s="3"/>
      <c r="Y315" s="3"/>
      <c r="AA315" s="1545" t="s">
        <v>2660</v>
      </c>
      <c r="AB315" s="1546"/>
      <c r="AC315" s="1546"/>
      <c r="AD315" s="1546"/>
      <c r="AE315" s="1546"/>
      <c r="AF315" s="1546"/>
      <c r="AG315" s="4" t="s">
        <v>206</v>
      </c>
      <c r="AH315" s="4"/>
      <c r="AI315" s="1527"/>
      <c r="AJ315" s="1527"/>
      <c r="AK315" s="1527"/>
    </row>
    <row r="316" spans="2:37" ht="13" customHeight="1">
      <c r="B316" s="3" t="s">
        <v>89</v>
      </c>
      <c r="C316" s="3"/>
      <c r="D316" s="3"/>
      <c r="E316" s="3"/>
      <c r="F316" s="3"/>
      <c r="G316" s="3"/>
      <c r="H316" s="1489" t="s">
        <v>2653</v>
      </c>
      <c r="I316" s="1490"/>
      <c r="J316" s="1490"/>
      <c r="K316" s="1490"/>
      <c r="L316" s="1490"/>
      <c r="M316" s="1490"/>
      <c r="N316" s="4"/>
      <c r="O316" s="4"/>
      <c r="P316" s="35"/>
      <c r="Q316" s="35"/>
      <c r="R316" s="35"/>
      <c r="S316" s="3"/>
      <c r="T316" s="3" t="s">
        <v>89</v>
      </c>
      <c r="V316" s="3"/>
      <c r="W316" s="3"/>
      <c r="X316" s="3"/>
      <c r="Y316" s="3"/>
      <c r="AA316" s="1489" t="s">
        <v>2661</v>
      </c>
      <c r="AB316" s="1490"/>
      <c r="AC316" s="1490"/>
      <c r="AD316" s="1490"/>
      <c r="AE316" s="1490"/>
      <c r="AF316" s="1490"/>
      <c r="AG316" s="4"/>
      <c r="AH316" s="4"/>
      <c r="AI316" s="35"/>
      <c r="AJ316" s="35"/>
      <c r="AK316" s="35"/>
    </row>
    <row r="317" spans="2:37" ht="13" customHeight="1">
      <c r="B317" s="3" t="s">
        <v>76</v>
      </c>
      <c r="C317" s="3"/>
      <c r="D317" s="3"/>
      <c r="E317" s="3"/>
      <c r="F317" s="3"/>
      <c r="G317" s="3"/>
      <c r="H317" s="1472" t="s">
        <v>2654</v>
      </c>
      <c r="I317" s="1371"/>
      <c r="J317" s="1371"/>
      <c r="K317" s="1371"/>
      <c r="L317" s="1371"/>
      <c r="M317" s="1371"/>
      <c r="N317" s="1408"/>
      <c r="O317" s="1408"/>
      <c r="P317" s="1408"/>
      <c r="Q317" s="1408"/>
      <c r="R317" s="1408"/>
      <c r="S317" s="3"/>
      <c r="T317" s="3" t="s">
        <v>76</v>
      </c>
      <c r="V317" s="3"/>
      <c r="W317" s="3"/>
      <c r="X317" s="3"/>
      <c r="Y317" s="3"/>
      <c r="AA317" s="1472" t="s">
        <v>2662</v>
      </c>
      <c r="AB317" s="1371"/>
      <c r="AC317" s="1371"/>
      <c r="AD317" s="1371"/>
      <c r="AE317" s="1371"/>
      <c r="AF317" s="1371"/>
      <c r="AG317" s="1408"/>
      <c r="AH317" s="1408"/>
      <c r="AI317" s="1408"/>
      <c r="AJ317" s="1408"/>
      <c r="AK317" s="1408"/>
    </row>
    <row r="318" spans="2:37" ht="13" customHeight="1"/>
    <row r="319" spans="2:37" ht="13" customHeight="1">
      <c r="B319" s="4" t="s">
        <v>906</v>
      </c>
      <c r="C319" s="3"/>
      <c r="D319" s="3"/>
      <c r="E319" s="3"/>
      <c r="F319" s="3"/>
      <c r="H319" s="1407" t="s">
        <v>2663</v>
      </c>
      <c r="I319" s="1408"/>
      <c r="J319" s="1408"/>
      <c r="K319" s="1408"/>
      <c r="L319" s="1408"/>
      <c r="M319" s="1408"/>
      <c r="N319" s="1408"/>
      <c r="O319" s="1408"/>
      <c r="P319" s="1408"/>
      <c r="Q319" s="1408"/>
      <c r="R319" s="1408"/>
      <c r="T319" s="3" t="s">
        <v>366</v>
      </c>
      <c r="V319" s="3"/>
      <c r="W319" s="3"/>
      <c r="X319" s="3"/>
      <c r="Y319" s="3"/>
      <c r="AA319" s="1407" t="s">
        <v>2664</v>
      </c>
      <c r="AB319" s="1408"/>
      <c r="AC319" s="1408"/>
      <c r="AD319" s="1408"/>
      <c r="AE319" s="1408"/>
      <c r="AF319" s="1408"/>
      <c r="AG319" s="1408"/>
      <c r="AH319" s="1408"/>
      <c r="AI319" s="1408"/>
      <c r="AJ319" s="1408"/>
      <c r="AK319" s="1408"/>
    </row>
    <row r="320" spans="2:37" ht="13" customHeight="1">
      <c r="B320" s="3" t="s">
        <v>470</v>
      </c>
      <c r="C320" s="3"/>
      <c r="D320" s="3"/>
      <c r="E320" s="3"/>
      <c r="F320" s="3"/>
      <c r="H320" s="1371"/>
      <c r="I320" s="1371"/>
      <c r="J320" s="1371"/>
      <c r="K320" s="1371"/>
      <c r="L320" s="1371"/>
      <c r="M320" s="1371"/>
      <c r="N320" s="1371"/>
      <c r="O320" s="1371"/>
      <c r="P320" s="1371"/>
      <c r="Q320" s="1371"/>
      <c r="R320" s="1371"/>
      <c r="T320" s="3" t="s">
        <v>470</v>
      </c>
      <c r="V320" s="3"/>
      <c r="W320" s="3"/>
      <c r="X320" s="3"/>
      <c r="Y320" s="3"/>
      <c r="AA320" s="1472" t="s">
        <v>2727</v>
      </c>
      <c r="AB320" s="1371"/>
      <c r="AC320" s="1371"/>
      <c r="AD320" s="1371"/>
      <c r="AE320" s="1371"/>
      <c r="AF320" s="1371"/>
      <c r="AG320" s="1371"/>
      <c r="AH320" s="1371"/>
      <c r="AI320" s="1371"/>
      <c r="AJ320" s="1371"/>
      <c r="AK320" s="1371"/>
    </row>
    <row r="321" spans="2:37" ht="13" customHeight="1">
      <c r="B321" s="3" t="s">
        <v>471</v>
      </c>
      <c r="C321" s="3"/>
      <c r="D321" s="3"/>
      <c r="E321" s="3"/>
      <c r="F321" s="3"/>
      <c r="H321" s="1371"/>
      <c r="I321" s="1371"/>
      <c r="J321" s="1371"/>
      <c r="K321" s="1371"/>
      <c r="L321" s="1371"/>
      <c r="M321" s="1371"/>
      <c r="N321" s="1371"/>
      <c r="O321" s="1371"/>
      <c r="P321" s="1371"/>
      <c r="Q321" s="1371"/>
      <c r="R321" s="1371"/>
      <c r="T321" s="3" t="s">
        <v>75</v>
      </c>
      <c r="V321" s="3"/>
      <c r="W321" s="3"/>
      <c r="X321" s="3"/>
      <c r="Y321" s="3"/>
      <c r="AA321" s="1472" t="s">
        <v>2665</v>
      </c>
      <c r="AB321" s="1371"/>
      <c r="AC321" s="1371"/>
      <c r="AD321" s="1371"/>
      <c r="AE321" s="1371"/>
      <c r="AF321" s="1371"/>
      <c r="AG321" s="1371"/>
      <c r="AH321" s="1371"/>
      <c r="AI321" s="1371"/>
      <c r="AJ321" s="1371"/>
      <c r="AK321" s="1371"/>
    </row>
    <row r="322" spans="2:37" ht="13"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472" t="s">
        <v>2666</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6"/>
      <c r="I323" s="1546"/>
      <c r="J323" s="1546"/>
      <c r="K323" s="1546"/>
      <c r="L323" s="1546"/>
      <c r="M323" s="1546"/>
      <c r="N323" s="4" t="s">
        <v>206</v>
      </c>
      <c r="O323" s="4"/>
      <c r="P323" s="1527"/>
      <c r="Q323" s="1527"/>
      <c r="R323" s="1527"/>
      <c r="S323" s="3"/>
      <c r="T323" s="3" t="s">
        <v>88</v>
      </c>
      <c r="V323" s="3"/>
      <c r="W323" s="3"/>
      <c r="X323" s="3"/>
      <c r="Y323" s="3"/>
      <c r="AA323" s="1545" t="s">
        <v>2667</v>
      </c>
      <c r="AB323" s="1546"/>
      <c r="AC323" s="1546"/>
      <c r="AD323" s="1546"/>
      <c r="AE323" s="1546"/>
      <c r="AF323" s="1546"/>
      <c r="AG323" s="4" t="s">
        <v>206</v>
      </c>
      <c r="AH323" s="4"/>
      <c r="AI323" s="1527"/>
      <c r="AJ323" s="1527"/>
      <c r="AK323" s="1527"/>
    </row>
    <row r="324" spans="2:37" ht="13"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3"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472" t="s">
        <v>2668</v>
      </c>
      <c r="AB325" s="1371"/>
      <c r="AC325" s="1371"/>
      <c r="AD325" s="1371"/>
      <c r="AE325" s="1371"/>
      <c r="AF325" s="1371"/>
      <c r="AG325" s="1408"/>
      <c r="AH325" s="1408"/>
      <c r="AI325" s="1408"/>
      <c r="AJ325" s="1408"/>
      <c r="AK325" s="140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2664</v>
      </c>
      <c r="I327" s="1408"/>
      <c r="J327" s="1408"/>
      <c r="K327" s="1408"/>
      <c r="L327" s="1408"/>
      <c r="M327" s="1408"/>
      <c r="N327" s="1408"/>
      <c r="O327" s="1408"/>
      <c r="P327" s="1408"/>
      <c r="Q327" s="1408"/>
      <c r="R327" s="1408"/>
      <c r="T327" s="3" t="s">
        <v>368</v>
      </c>
      <c r="V327" s="3"/>
      <c r="W327" s="3"/>
      <c r="X327" s="3"/>
      <c r="Y327" s="3"/>
      <c r="AA327" s="1407" t="s">
        <v>2663</v>
      </c>
      <c r="AB327" s="1408"/>
      <c r="AC327" s="1408"/>
      <c r="AD327" s="1408"/>
      <c r="AE327" s="1408"/>
      <c r="AF327" s="1408"/>
      <c r="AG327" s="1408"/>
      <c r="AH327" s="1408"/>
      <c r="AI327" s="1408"/>
      <c r="AJ327" s="1408"/>
      <c r="AK327" s="1408"/>
    </row>
    <row r="328" spans="2:37" ht="13" customHeight="1">
      <c r="B328" s="3" t="s">
        <v>470</v>
      </c>
      <c r="C328" s="3"/>
      <c r="D328" s="3"/>
      <c r="E328" s="3"/>
      <c r="F328" s="3"/>
      <c r="H328" s="1371" t="s">
        <v>2727</v>
      </c>
      <c r="I328" s="1371"/>
      <c r="J328" s="1371"/>
      <c r="K328" s="1371"/>
      <c r="L328" s="1371"/>
      <c r="M328" s="1371"/>
      <c r="N328" s="1371"/>
      <c r="O328" s="1371"/>
      <c r="P328" s="1371"/>
      <c r="Q328" s="1371"/>
      <c r="R328" s="1371"/>
      <c r="T328" s="3" t="s">
        <v>470</v>
      </c>
      <c r="V328" s="3"/>
      <c r="W328" s="3"/>
      <c r="X328" s="3"/>
      <c r="Y328" s="3"/>
      <c r="AA328" s="1371"/>
      <c r="AB328" s="1371"/>
      <c r="AC328" s="1371"/>
      <c r="AD328" s="1371"/>
      <c r="AE328" s="1371"/>
      <c r="AF328" s="1371"/>
      <c r="AG328" s="1371"/>
      <c r="AH328" s="1371"/>
      <c r="AI328" s="1371"/>
      <c r="AJ328" s="1371"/>
      <c r="AK328" s="1371"/>
    </row>
    <row r="329" spans="2:37" ht="13" customHeight="1">
      <c r="B329" s="3" t="s">
        <v>471</v>
      </c>
      <c r="C329" s="3"/>
      <c r="D329" s="3"/>
      <c r="E329" s="3"/>
      <c r="F329" s="3"/>
      <c r="H329" s="1371" t="s">
        <v>2665</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 customHeight="1">
      <c r="B330" s="3" t="s">
        <v>87</v>
      </c>
      <c r="C330" s="3"/>
      <c r="D330" s="3"/>
      <c r="E330" s="3"/>
      <c r="F330" s="3"/>
      <c r="H330" s="1371" t="s">
        <v>2666</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5" t="s">
        <v>2667</v>
      </c>
      <c r="I331" s="1546"/>
      <c r="J331" s="1546"/>
      <c r="K331" s="1546"/>
      <c r="L331" s="1546"/>
      <c r="M331" s="1546"/>
      <c r="N331" s="4" t="s">
        <v>206</v>
      </c>
      <c r="O331" s="4"/>
      <c r="P331" s="1527"/>
      <c r="Q331" s="1527"/>
      <c r="R331" s="1527"/>
      <c r="S331" s="3"/>
      <c r="T331" s="3" t="s">
        <v>88</v>
      </c>
      <c r="V331" s="3"/>
      <c r="W331" s="3"/>
      <c r="X331" s="3"/>
      <c r="Y331" s="3"/>
      <c r="AA331" s="1546"/>
      <c r="AB331" s="1546"/>
      <c r="AC331" s="1546"/>
      <c r="AD331" s="1546"/>
      <c r="AE331" s="1546"/>
      <c r="AF331" s="1546"/>
      <c r="AG331" s="4" t="s">
        <v>206</v>
      </c>
      <c r="AH331" s="4"/>
      <c r="AI331" s="1527"/>
      <c r="AJ331" s="1527"/>
      <c r="AK331" s="1527"/>
    </row>
    <row r="332" spans="2:37" ht="13" customHeight="1">
      <c r="B332" s="3" t="s">
        <v>89</v>
      </c>
      <c r="C332" s="3"/>
      <c r="D332" s="3"/>
      <c r="E332" s="3"/>
      <c r="F332" s="3"/>
      <c r="G332" s="3"/>
      <c r="H332" s="1490"/>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3" customHeight="1">
      <c r="B333" s="3" t="s">
        <v>76</v>
      </c>
      <c r="C333" s="3"/>
      <c r="D333" s="3"/>
      <c r="E333" s="3"/>
      <c r="F333" s="3"/>
      <c r="G333" s="3"/>
      <c r="H333" s="1371" t="s">
        <v>2668</v>
      </c>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2669</v>
      </c>
      <c r="I335" s="1408"/>
      <c r="J335" s="1408"/>
      <c r="K335" s="1408"/>
      <c r="L335" s="1408"/>
      <c r="M335" s="1408"/>
      <c r="N335" s="1408"/>
      <c r="O335" s="1408"/>
      <c r="P335" s="1408"/>
      <c r="Q335" s="1408"/>
      <c r="R335" s="1408"/>
      <c r="T335" s="204" t="s">
        <v>884</v>
      </c>
      <c r="V335" s="3"/>
      <c r="W335" s="3"/>
      <c r="X335" s="3"/>
      <c r="Y335" s="3"/>
      <c r="AA335" s="1407" t="s">
        <v>2728</v>
      </c>
      <c r="AB335" s="1408"/>
      <c r="AC335" s="1408"/>
      <c r="AD335" s="1408"/>
      <c r="AE335" s="1408"/>
      <c r="AF335" s="1408"/>
      <c r="AG335" s="1408"/>
      <c r="AH335" s="1408"/>
      <c r="AI335" s="1408"/>
      <c r="AJ335" s="1408"/>
      <c r="AK335" s="1408"/>
    </row>
    <row r="336" spans="2:37" ht="13" customHeight="1">
      <c r="B336" s="3" t="s">
        <v>470</v>
      </c>
      <c r="C336" s="3"/>
      <c r="D336" s="3"/>
      <c r="E336" s="3"/>
      <c r="F336" s="3"/>
      <c r="H336" s="1472" t="s">
        <v>2670</v>
      </c>
      <c r="I336" s="1371"/>
      <c r="J336" s="1371"/>
      <c r="K336" s="1371"/>
      <c r="L336" s="1371"/>
      <c r="M336" s="1371"/>
      <c r="N336" s="1371"/>
      <c r="O336" s="1371"/>
      <c r="P336" s="1371"/>
      <c r="Q336" s="1371"/>
      <c r="R336" s="1371"/>
      <c r="T336" s="3" t="s">
        <v>470</v>
      </c>
      <c r="V336" s="3"/>
      <c r="W336" s="3"/>
      <c r="X336" s="3"/>
      <c r="Y336" s="3"/>
      <c r="AA336" s="1472" t="s">
        <v>2729</v>
      </c>
      <c r="AB336" s="1371"/>
      <c r="AC336" s="1371"/>
      <c r="AD336" s="1371"/>
      <c r="AE336" s="1371"/>
      <c r="AF336" s="1371"/>
      <c r="AG336" s="1371"/>
      <c r="AH336" s="1371"/>
      <c r="AI336" s="1371"/>
      <c r="AJ336" s="1371"/>
      <c r="AK336" s="1371"/>
    </row>
    <row r="337" spans="1:66" ht="13" customHeight="1">
      <c r="B337" s="3" t="s">
        <v>75</v>
      </c>
      <c r="C337" s="3"/>
      <c r="D337" s="3"/>
      <c r="E337" s="3"/>
      <c r="F337" s="3"/>
      <c r="H337" s="1472" t="s">
        <v>2671</v>
      </c>
      <c r="I337" s="1371"/>
      <c r="J337" s="1371"/>
      <c r="K337" s="1371"/>
      <c r="L337" s="1371"/>
      <c r="M337" s="1371"/>
      <c r="N337" s="1371"/>
      <c r="O337" s="1371"/>
      <c r="P337" s="1371"/>
      <c r="Q337" s="1371"/>
      <c r="R337" s="1371"/>
      <c r="T337" s="3" t="s">
        <v>75</v>
      </c>
      <c r="V337" s="3"/>
      <c r="W337" s="3"/>
      <c r="X337" s="3"/>
      <c r="Y337" s="3"/>
      <c r="AA337" s="1472" t="s">
        <v>2730</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472" t="s">
        <v>2672</v>
      </c>
      <c r="I338" s="1371"/>
      <c r="J338" s="1371"/>
      <c r="K338" s="1371"/>
      <c r="L338" s="1371"/>
      <c r="M338" s="1371"/>
      <c r="N338" s="1371"/>
      <c r="O338" s="1371"/>
      <c r="P338" s="1371"/>
      <c r="Q338" s="1371"/>
      <c r="R338" s="1371"/>
      <c r="T338" s="3" t="s">
        <v>87</v>
      </c>
      <c r="V338" s="3"/>
      <c r="W338" s="3"/>
      <c r="X338" s="3"/>
      <c r="Y338" s="3"/>
      <c r="AA338" s="1472" t="s">
        <v>2731</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5" t="s">
        <v>2673</v>
      </c>
      <c r="I339" s="1546"/>
      <c r="J339" s="1546"/>
      <c r="K339" s="1546"/>
      <c r="L339" s="1546"/>
      <c r="M339" s="1546"/>
      <c r="N339" s="4" t="s">
        <v>206</v>
      </c>
      <c r="O339" s="4"/>
      <c r="P339" s="1527"/>
      <c r="Q339" s="1527"/>
      <c r="R339" s="1527"/>
      <c r="S339" s="3"/>
      <c r="T339" s="3" t="s">
        <v>88</v>
      </c>
      <c r="V339" s="3"/>
      <c r="W339" s="3"/>
      <c r="X339" s="3"/>
      <c r="Y339" s="3"/>
      <c r="AA339" s="1545" t="s">
        <v>2732</v>
      </c>
      <c r="AB339" s="1546"/>
      <c r="AC339" s="1546"/>
      <c r="AD339" s="1546"/>
      <c r="AE339" s="1546"/>
      <c r="AF339" s="1546"/>
      <c r="AG339" s="4" t="s">
        <v>206</v>
      </c>
      <c r="AH339" s="4"/>
      <c r="AI339" s="1527"/>
      <c r="AJ339" s="1527"/>
      <c r="AK339" s="1527"/>
    </row>
    <row r="340" spans="1:66" ht="13" customHeight="1">
      <c r="B340" s="3" t="s">
        <v>89</v>
      </c>
      <c r="C340" s="3"/>
      <c r="D340" s="3"/>
      <c r="E340" s="3"/>
      <c r="F340" s="3"/>
      <c r="G340" s="3"/>
      <c r="H340" s="1489" t="s">
        <v>2674</v>
      </c>
      <c r="I340" s="1490"/>
      <c r="J340" s="1490"/>
      <c r="K340" s="1490"/>
      <c r="L340" s="1490"/>
      <c r="M340" s="1490"/>
      <c r="N340" s="4"/>
      <c r="O340" s="4"/>
      <c r="P340" s="35"/>
      <c r="Q340" s="35"/>
      <c r="R340" s="35"/>
      <c r="S340" s="3"/>
      <c r="T340" s="3" t="s">
        <v>89</v>
      </c>
      <c r="V340" s="3"/>
      <c r="W340" s="3"/>
      <c r="X340" s="3"/>
      <c r="Y340" s="3"/>
      <c r="AA340" s="1489" t="s">
        <v>2733</v>
      </c>
      <c r="AB340" s="1490"/>
      <c r="AC340" s="1490"/>
      <c r="AD340" s="1490"/>
      <c r="AE340" s="1490"/>
      <c r="AF340" s="1490"/>
      <c r="AG340" s="4"/>
      <c r="AH340" s="4"/>
      <c r="AI340" s="35"/>
      <c r="AJ340" s="35"/>
      <c r="AK340" s="35"/>
    </row>
    <row r="341" spans="1:66" ht="13" customHeight="1">
      <c r="B341" s="3" t="s">
        <v>76</v>
      </c>
      <c r="C341" s="3"/>
      <c r="D341" s="3"/>
      <c r="E341" s="3"/>
      <c r="F341" s="3"/>
      <c r="G341" s="3"/>
      <c r="H341" s="1472" t="s">
        <v>2675</v>
      </c>
      <c r="I341" s="1371"/>
      <c r="J341" s="1371"/>
      <c r="K341" s="1371"/>
      <c r="L341" s="1371"/>
      <c r="M341" s="1371"/>
      <c r="N341" s="1408"/>
      <c r="O341" s="1408"/>
      <c r="P341" s="1408"/>
      <c r="Q341" s="1408"/>
      <c r="R341" s="1408"/>
      <c r="S341" s="3"/>
      <c r="T341" s="3" t="s">
        <v>76</v>
      </c>
      <c r="V341" s="3"/>
      <c r="W341" s="3"/>
      <c r="X341" s="3"/>
      <c r="Y341" s="3"/>
      <c r="AA341" s="1472" t="s">
        <v>2734</v>
      </c>
      <c r="AB341" s="1371"/>
      <c r="AC341" s="1371"/>
      <c r="AD341" s="1371"/>
      <c r="AE341" s="1371"/>
      <c r="AF341" s="1371"/>
      <c r="AG341" s="1408"/>
      <c r="AH341" s="1408"/>
      <c r="AI341" s="1408"/>
      <c r="AJ341" s="1408"/>
      <c r="AK341" s="140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3" customHeight="1">
      <c r="B343" s="3"/>
      <c r="C343" s="4"/>
      <c r="D343" s="4"/>
      <c r="E343" s="4"/>
      <c r="F343" s="4"/>
      <c r="I343" s="204" t="s">
        <v>885</v>
      </c>
      <c r="P343" s="1407" t="s">
        <v>2663</v>
      </c>
      <c r="Q343" s="1408"/>
      <c r="R343" s="1408"/>
      <c r="S343" s="1408"/>
      <c r="T343" s="1408"/>
      <c r="U343" s="1408"/>
      <c r="V343" s="1408"/>
      <c r="W343" s="1408"/>
      <c r="X343" s="1408"/>
      <c r="Y343" s="1408"/>
      <c r="Z343" s="1408"/>
      <c r="AA343" s="1408"/>
      <c r="AB343" s="1408"/>
      <c r="AC343" s="1408"/>
      <c r="AD343" s="1408"/>
      <c r="AE343" s="1408"/>
      <c r="BN343" t="s">
        <v>667</v>
      </c>
    </row>
    <row r="344" spans="1:66" ht="13" customHeight="1">
      <c r="B344" s="4"/>
      <c r="C344" s="4"/>
      <c r="D344" s="4"/>
      <c r="E344" s="4"/>
      <c r="F344" s="4"/>
      <c r="I344" s="4" t="s">
        <v>470</v>
      </c>
      <c r="P344" s="1371"/>
      <c r="Q344" s="1371"/>
      <c r="R344" s="1371"/>
      <c r="S344" s="1371"/>
      <c r="T344" s="1371"/>
      <c r="U344" s="1371"/>
      <c r="V344" s="1371"/>
      <c r="W344" s="1371"/>
      <c r="X344" s="1371"/>
      <c r="Y344" s="1371"/>
      <c r="Z344" s="1371"/>
      <c r="AA344" s="1371"/>
      <c r="AB344" s="1371"/>
      <c r="AC344" s="1371"/>
      <c r="AD344" s="1371"/>
      <c r="AE344" s="1371"/>
      <c r="BN344" t="s">
        <v>544</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90"/>
      <c r="Q347" s="1490"/>
      <c r="R347" s="1490"/>
      <c r="S347" s="1490"/>
      <c r="T347" s="1490"/>
      <c r="U347" s="1490"/>
      <c r="V347" s="1490"/>
      <c r="W347" s="1490"/>
      <c r="X347" s="1490"/>
      <c r="Y347" s="1490"/>
      <c r="Z347" s="1490"/>
      <c r="AA347" s="4" t="s">
        <v>206</v>
      </c>
      <c r="AB347" s="4"/>
      <c r="AC347" s="1473"/>
      <c r="AD347" s="1473"/>
      <c r="AE347" s="1473"/>
      <c r="AF347" s="302"/>
      <c r="AG347" s="4"/>
      <c r="AH347" s="4"/>
      <c r="AI347" s="4"/>
      <c r="AJ347" s="4"/>
      <c r="AK347" s="4"/>
    </row>
    <row r="348" spans="1:66" ht="13" customHeight="1">
      <c r="B348" s="4"/>
      <c r="C348" s="4"/>
      <c r="D348" s="4"/>
      <c r="E348" s="4"/>
      <c r="F348" s="4"/>
      <c r="G348" s="4"/>
      <c r="H348" s="302"/>
      <c r="I348" s="4" t="s">
        <v>89</v>
      </c>
      <c r="P348" s="1490"/>
      <c r="Q348" s="1490"/>
      <c r="R348" s="1490"/>
      <c r="S348" s="1490"/>
      <c r="T348" s="1490"/>
      <c r="U348" s="1490"/>
      <c r="V348" s="1490"/>
      <c r="W348" s="1490"/>
      <c r="X348" s="1490"/>
      <c r="Y348" s="1490"/>
      <c r="Z348" s="1490"/>
      <c r="AF348" s="302"/>
      <c r="AG348" s="4"/>
      <c r="AH348" s="4"/>
      <c r="AI348" s="35"/>
      <c r="AJ348" s="35"/>
      <c r="AK348" s="35"/>
    </row>
    <row r="349" spans="1:66" ht="13"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 customHeight="1">
      <c r="T350" s="8"/>
      <c r="U350" s="8"/>
      <c r="V350" s="8"/>
      <c r="W350" s="8"/>
      <c r="X350" s="8"/>
      <c r="Y350" s="8"/>
      <c r="Z350" s="8"/>
      <c r="AU350" s="95"/>
      <c r="AV350" s="95"/>
      <c r="AW350" s="95"/>
      <c r="AX350" s="95"/>
      <c r="AY350" s="95"/>
    </row>
    <row r="351" spans="1:66" ht="13" customHeight="1">
      <c r="A351" s="1537" t="s">
        <v>541</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3"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780</v>
      </c>
    </row>
    <row r="355" spans="1:46" ht="13" customHeight="1">
      <c r="D355" s="3" t="s">
        <v>2096</v>
      </c>
      <c r="M355" s="1416" t="s">
        <v>544</v>
      </c>
      <c r="N355" s="1416"/>
      <c r="P355" t="s">
        <v>1648</v>
      </c>
      <c r="AJ355" s="1416" t="s">
        <v>667</v>
      </c>
      <c r="AK355" s="1416"/>
    </row>
    <row r="356" spans="1:46" ht="13" customHeight="1">
      <c r="D356" s="3" t="s">
        <v>1637</v>
      </c>
      <c r="M356" s="1416" t="s">
        <v>590</v>
      </c>
      <c r="N356" s="1416"/>
      <c r="P356" s="3" t="s">
        <v>1717</v>
      </c>
      <c r="AJ356" s="1382"/>
      <c r="AK356" s="1382"/>
    </row>
    <row r="357" spans="1:46" ht="13" customHeight="1">
      <c r="D357" s="3" t="s">
        <v>702</v>
      </c>
      <c r="M357" s="1416" t="s">
        <v>590</v>
      </c>
      <c r="N357" s="1416"/>
      <c r="P357" t="s">
        <v>1647</v>
      </c>
      <c r="AJ357" s="1416" t="s">
        <v>590</v>
      </c>
      <c r="AK357" s="1416"/>
    </row>
    <row r="358" spans="1:46" ht="13" customHeight="1">
      <c r="D358" s="3" t="s">
        <v>703</v>
      </c>
      <c r="M358" s="1416" t="s">
        <v>590</v>
      </c>
      <c r="N358" s="1416"/>
      <c r="Q358" s="4"/>
    </row>
    <row r="359" spans="1:46" ht="13" customHeight="1">
      <c r="Q359" s="4"/>
    </row>
    <row r="360" spans="1:46" ht="13" customHeight="1">
      <c r="Q360" s="4"/>
    </row>
    <row r="361" spans="1:46" ht="13" customHeight="1">
      <c r="A361" s="2" t="s">
        <v>575</v>
      </c>
      <c r="B361" s="2"/>
      <c r="C361" s="2" t="s">
        <v>551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6" t="s">
        <v>590</v>
      </c>
      <c r="O363" s="1416"/>
      <c r="P363" s="40"/>
      <c r="Q363" s="40"/>
      <c r="R363" s="40"/>
      <c r="S363" s="40"/>
      <c r="T363" s="40"/>
      <c r="U363" s="40"/>
      <c r="V363" s="40"/>
      <c r="W363" s="40"/>
      <c r="X363" s="40"/>
      <c r="Y363" s="40"/>
      <c r="Z363" s="40"/>
      <c r="AC363" s="40"/>
      <c r="AD363" s="40"/>
      <c r="AE363" s="40"/>
    </row>
    <row r="364" spans="1:46" ht="13" customHeight="1">
      <c r="E364" t="s">
        <v>370</v>
      </c>
      <c r="Y364" s="1416" t="s">
        <v>590</v>
      </c>
      <c r="Z364" s="1416"/>
    </row>
    <row r="365" spans="1:46" ht="13" customHeight="1">
      <c r="D365" s="4" t="s">
        <v>976</v>
      </c>
      <c r="Q365" s="1408"/>
      <c r="R365" s="1408"/>
      <c r="S365" s="1408"/>
      <c r="T365" s="1408"/>
      <c r="U365" s="1408"/>
      <c r="V365" s="1408"/>
      <c r="W365" s="1408"/>
      <c r="X365" s="1408"/>
      <c r="Y365" s="1408"/>
      <c r="Z365" s="1408"/>
      <c r="AA365" s="1408"/>
      <c r="AB365" s="1408"/>
      <c r="AC365" s="1408"/>
      <c r="AD365" s="1408"/>
      <c r="AE365" s="1408"/>
      <c r="AF365" s="1408"/>
      <c r="AG365" s="1408"/>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6" t="s">
        <v>590</v>
      </c>
      <c r="K367" s="1416"/>
      <c r="L367" s="40"/>
      <c r="M367" s="40"/>
      <c r="N367" s="40"/>
      <c r="O367" s="40"/>
      <c r="P367" s="40"/>
      <c r="Q367" s="40"/>
      <c r="R367" s="40"/>
      <c r="S367" s="40"/>
      <c r="T367" s="40"/>
      <c r="U367" s="40"/>
      <c r="V367" s="40"/>
      <c r="W367" s="40"/>
      <c r="X367" s="40"/>
      <c r="Y367" s="40"/>
      <c r="Z367" s="40"/>
      <c r="AC367" s="40"/>
      <c r="AD367" s="40"/>
      <c r="AE367" s="40"/>
    </row>
    <row r="368" spans="1:46" ht="13" customHeight="1">
      <c r="E368" s="1548" t="s">
        <v>704</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3"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3" customHeight="1">
      <c r="E370" s="4" t="s">
        <v>447</v>
      </c>
      <c r="F370" s="4"/>
      <c r="G370" s="4"/>
      <c r="H370" s="4"/>
      <c r="I370" s="4"/>
      <c r="J370" s="4"/>
      <c r="K370" s="4"/>
      <c r="L370" s="4"/>
      <c r="N370" s="1390"/>
      <c r="O370" s="1390"/>
      <c r="P370" s="1390"/>
      <c r="Q370" s="1390"/>
      <c r="R370" s="4"/>
      <c r="U370" s="4" t="s">
        <v>448</v>
      </c>
      <c r="V370" s="4"/>
      <c r="W370" s="4"/>
      <c r="X370" s="4"/>
      <c r="Y370" s="4"/>
      <c r="Z370" s="4"/>
      <c r="AA370" s="4"/>
      <c r="AB370" s="4"/>
      <c r="AC370" s="1390"/>
      <c r="AD370" s="1390"/>
      <c r="AE370" s="1390"/>
      <c r="AF370" s="1390"/>
    </row>
    <row r="371" spans="1:34" ht="13" customHeight="1">
      <c r="E371" s="4" t="s">
        <v>449</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3"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3" customHeight="1">
      <c r="C375" s="512"/>
      <c r="E375" s="4"/>
      <c r="F375" s="4"/>
      <c r="G375" s="4"/>
      <c r="H375" s="4"/>
      <c r="I375" s="4"/>
      <c r="J375" s="4"/>
      <c r="K375" s="4"/>
      <c r="L375" s="4"/>
    </row>
    <row r="376" spans="1:34" ht="13" customHeight="1">
      <c r="D376" s="2" t="s">
        <v>973</v>
      </c>
      <c r="E376" s="2"/>
      <c r="F376" s="4"/>
      <c r="G376" s="4"/>
      <c r="H376" s="4"/>
      <c r="I376" s="4"/>
      <c r="J376" s="4"/>
      <c r="K376" s="4"/>
      <c r="L376" s="4"/>
    </row>
    <row r="377" spans="1:34" ht="13" customHeight="1">
      <c r="E377" s="4" t="s">
        <v>2082</v>
      </c>
      <c r="F377" s="4"/>
      <c r="G377" s="4"/>
      <c r="H377" s="4"/>
      <c r="I377" s="4"/>
      <c r="J377" s="4"/>
      <c r="K377" s="4"/>
      <c r="L377" s="4"/>
      <c r="N377" t="s">
        <v>2077</v>
      </c>
      <c r="R377" s="27" t="s">
        <v>305</v>
      </c>
      <c r="S377" s="1444"/>
      <c r="T377" s="1444"/>
      <c r="U377" s="1" t="s">
        <v>306</v>
      </c>
      <c r="V377" s="1444"/>
      <c r="W377" s="1444"/>
      <c r="Y377" t="s">
        <v>2077</v>
      </c>
      <c r="AC377" s="27" t="s">
        <v>305</v>
      </c>
      <c r="AD377" s="1444"/>
      <c r="AE377" s="1444"/>
      <c r="AF377" s="1" t="s">
        <v>306</v>
      </c>
      <c r="AG377" s="1444"/>
      <c r="AH377" s="1444"/>
    </row>
    <row r="378" spans="1:34" ht="13" customHeight="1">
      <c r="E378" s="4" t="s">
        <v>985</v>
      </c>
      <c r="F378" s="4"/>
      <c r="G378" s="4"/>
      <c r="H378" s="4"/>
      <c r="I378" s="4"/>
      <c r="J378" s="4"/>
      <c r="K378" s="4"/>
      <c r="L378" s="4"/>
      <c r="N378" s="1444"/>
      <c r="O378" s="1444"/>
      <c r="P378" s="1444"/>
    </row>
    <row r="379" spans="1:34" ht="13" customHeight="1">
      <c r="E379" s="204" t="s">
        <v>2083</v>
      </c>
      <c r="F379" s="4"/>
      <c r="G379" s="4"/>
      <c r="H379" s="4"/>
      <c r="I379" s="4"/>
      <c r="J379" s="4"/>
      <c r="K379" s="4"/>
      <c r="L379" s="4"/>
      <c r="AG379" s="1447" t="s">
        <v>590</v>
      </c>
      <c r="AH379" s="1447"/>
    </row>
    <row r="380" spans="1:34" ht="13" customHeight="1">
      <c r="E380" s="4"/>
      <c r="F380" s="4"/>
      <c r="G380" s="4" t="s">
        <v>2084</v>
      </c>
      <c r="H380" s="4"/>
      <c r="I380" s="4"/>
      <c r="J380" s="4"/>
      <c r="K380" s="4"/>
      <c r="L380" s="4"/>
      <c r="AG380" s="1447" t="s">
        <v>590</v>
      </c>
      <c r="AH380" s="1447"/>
    </row>
    <row r="381" spans="1:34" ht="13" customHeight="1">
      <c r="E381" s="4"/>
      <c r="F381" s="4"/>
      <c r="G381" s="320" t="s">
        <v>986</v>
      </c>
      <c r="H381" s="4"/>
      <c r="I381" s="4"/>
      <c r="J381" s="4"/>
      <c r="K381" s="4"/>
      <c r="L381" s="4"/>
      <c r="V381" s="1416" t="s">
        <v>590</v>
      </c>
      <c r="W381" s="1416"/>
      <c r="Y381" s="22" t="s">
        <v>978</v>
      </c>
    </row>
    <row r="382" spans="1:34" ht="13" customHeight="1">
      <c r="E382" s="4" t="s">
        <v>979</v>
      </c>
      <c r="F382" s="4"/>
      <c r="G382" s="4"/>
      <c r="H382" s="4"/>
      <c r="I382" s="4"/>
      <c r="J382" s="4"/>
      <c r="K382" s="4"/>
      <c r="L382" s="4"/>
      <c r="V382" s="1416" t="s">
        <v>590</v>
      </c>
      <c r="W382" s="1416"/>
      <c r="Y382" s="4" t="s">
        <v>980</v>
      </c>
    </row>
    <row r="383" spans="1:34" ht="13" customHeight="1"/>
    <row r="384" spans="1:34" ht="13" customHeight="1">
      <c r="A384" s="2" t="s">
        <v>78</v>
      </c>
      <c r="B384" s="2"/>
    </row>
    <row r="385" spans="4:36" ht="13" customHeight="1">
      <c r="D385" t="s">
        <v>428</v>
      </c>
      <c r="J385" s="1407" t="s">
        <v>2710</v>
      </c>
      <c r="K385" s="1408"/>
      <c r="L385" s="1408"/>
      <c r="M385" s="1408"/>
      <c r="N385" s="1408"/>
      <c r="O385" s="1408"/>
      <c r="P385" s="1408"/>
      <c r="Q385" s="1408"/>
      <c r="R385" s="1408"/>
      <c r="S385" s="1408"/>
      <c r="T385" s="1408"/>
      <c r="U385" s="1408"/>
      <c r="V385" s="8" t="s">
        <v>83</v>
      </c>
      <c r="W385" s="8"/>
      <c r="X385" s="8"/>
      <c r="Y385" s="8"/>
      <c r="Z385" s="8"/>
      <c r="AA385" s="8"/>
      <c r="AB385" s="8"/>
      <c r="AC385" s="1408" t="s">
        <v>2711</v>
      </c>
      <c r="AD385" s="1408"/>
      <c r="AE385" s="1408"/>
      <c r="AF385" s="1408"/>
      <c r="AG385" s="1408"/>
      <c r="AH385" s="1408"/>
      <c r="AI385" s="1408"/>
      <c r="AJ385" s="1408"/>
    </row>
    <row r="386" spans="4:36" ht="13" customHeight="1">
      <c r="D386" s="3" t="s">
        <v>1180</v>
      </c>
      <c r="J386" s="1371" t="s">
        <v>2735</v>
      </c>
      <c r="K386" s="1371"/>
      <c r="L386" s="1371"/>
      <c r="M386" s="1371"/>
      <c r="N386" s="1371"/>
      <c r="O386" s="1371"/>
      <c r="P386" s="1371"/>
      <c r="Q386" s="1371"/>
      <c r="R386" s="1371"/>
      <c r="S386" s="1371"/>
      <c r="T386" s="1371"/>
      <c r="U386" s="1371"/>
      <c r="V386" s="3" t="s">
        <v>1180</v>
      </c>
      <c r="W386" s="8"/>
      <c r="X386" s="8"/>
      <c r="Y386" s="8"/>
      <c r="Z386" s="8"/>
      <c r="AA386" s="8"/>
      <c r="AB386" s="8"/>
      <c r="AC386" s="1408"/>
      <c r="AD386" s="1408"/>
      <c r="AE386" s="1408"/>
      <c r="AF386" s="1408"/>
      <c r="AG386" s="1408"/>
      <c r="AH386" s="1408"/>
      <c r="AI386" s="1408"/>
      <c r="AJ386" s="1408"/>
    </row>
    <row r="387" spans="4:36" ht="13" customHeight="1">
      <c r="D387" s="3" t="s">
        <v>440</v>
      </c>
      <c r="J387" s="1371" t="s">
        <v>2712</v>
      </c>
      <c r="K387" s="1371"/>
      <c r="L387" s="1371"/>
      <c r="M387" s="1371"/>
      <c r="N387" s="1371"/>
      <c r="O387" s="1371"/>
      <c r="P387" s="1371"/>
      <c r="Q387" s="1371"/>
      <c r="R387" s="1371"/>
      <c r="S387" s="1371"/>
      <c r="T387" s="1371"/>
      <c r="U387" s="1371"/>
      <c r="V387" s="3" t="s">
        <v>440</v>
      </c>
      <c r="W387" s="8"/>
      <c r="X387" s="8"/>
      <c r="Y387" s="8"/>
      <c r="Z387" s="8"/>
      <c r="AA387" s="8"/>
      <c r="AB387" s="8"/>
      <c r="AC387" s="1408"/>
      <c r="AD387" s="1408"/>
      <c r="AE387" s="1408"/>
      <c r="AF387" s="1408"/>
      <c r="AG387" s="1408"/>
      <c r="AH387" s="1408"/>
      <c r="AI387" s="1408"/>
      <c r="AJ387" s="1408"/>
    </row>
    <row r="388" spans="4:36" ht="13" customHeight="1">
      <c r="D388" t="s">
        <v>1176</v>
      </c>
      <c r="J388" s="1428" t="s">
        <v>2736</v>
      </c>
      <c r="K388" s="1428"/>
      <c r="L388" s="1428"/>
      <c r="M388" s="1428"/>
      <c r="N388" s="1428"/>
      <c r="O388" s="1428"/>
      <c r="P388" s="1428"/>
      <c r="Q388" s="1428"/>
      <c r="R388" s="1428"/>
      <c r="S388" s="1428"/>
      <c r="T388" s="1428"/>
      <c r="U388" s="1428"/>
      <c r="V388" s="1408" t="s">
        <v>2737</v>
      </c>
      <c r="W388" s="1408"/>
      <c r="X388" s="1408"/>
      <c r="Y388" s="1408"/>
      <c r="Z388" s="1408"/>
      <c r="AA388" s="1408"/>
      <c r="AB388" s="1408"/>
      <c r="AC388" s="1408"/>
      <c r="AD388" s="1408"/>
      <c r="AE388" s="1408"/>
      <c r="AF388" s="1408"/>
      <c r="AG388" s="1408"/>
      <c r="AH388" s="1408"/>
      <c r="AI388" s="1408"/>
      <c r="AJ388" s="1408"/>
    </row>
    <row r="389" spans="4:36" ht="13" customHeight="1">
      <c r="D389" t="s">
        <v>4</v>
      </c>
      <c r="Q389" s="1593">
        <v>44768</v>
      </c>
      <c r="R389" s="1593"/>
      <c r="S389" s="1593"/>
      <c r="T389" s="1593"/>
      <c r="U389" s="1593"/>
      <c r="V389" t="s">
        <v>309</v>
      </c>
      <c r="AI389" s="1416" t="s">
        <v>667</v>
      </c>
      <c r="AJ389" s="1416"/>
    </row>
    <row r="390" spans="4:36" ht="13" customHeight="1">
      <c r="D390" t="s">
        <v>5</v>
      </c>
      <c r="Q390" s="1523">
        <v>46387</v>
      </c>
      <c r="R390" s="1524"/>
      <c r="S390" s="1524"/>
      <c r="T390" s="1524"/>
      <c r="U390" s="1524"/>
      <c r="W390" s="21" t="s">
        <v>74</v>
      </c>
      <c r="AG390" s="1449"/>
      <c r="AH390" s="1449"/>
      <c r="AI390" s="1449"/>
      <c r="AJ390" s="1449"/>
    </row>
    <row r="391" spans="4:36" ht="13" customHeight="1">
      <c r="D391" t="s">
        <v>427</v>
      </c>
      <c r="Q391" s="1450">
        <v>580000</v>
      </c>
      <c r="R391" s="1450"/>
      <c r="S391" s="1450"/>
      <c r="T391" s="1450"/>
      <c r="U391" s="1450"/>
      <c r="V391" s="3" t="s">
        <v>1179</v>
      </c>
      <c r="AG391" s="1521">
        <v>46148</v>
      </c>
      <c r="AH391" s="1521"/>
      <c r="AI391" s="1521"/>
      <c r="AJ391" s="1521"/>
    </row>
    <row r="392" spans="4:36" ht="13" customHeight="1">
      <c r="D392" t="s">
        <v>88</v>
      </c>
      <c r="I392" s="1545" t="s">
        <v>2716</v>
      </c>
      <c r="J392" s="1546"/>
      <c r="K392" s="1546"/>
      <c r="L392" s="1546"/>
      <c r="M392" s="1546"/>
      <c r="N392" s="1546"/>
      <c r="Q392" s="4" t="s">
        <v>206</v>
      </c>
      <c r="S392" s="1448"/>
      <c r="T392" s="1448"/>
      <c r="U392" s="1448"/>
      <c r="V392" t="s">
        <v>73</v>
      </c>
      <c r="AI392" s="1416" t="s">
        <v>667</v>
      </c>
      <c r="AJ392" s="1416"/>
    </row>
    <row r="393" spans="4:36" ht="13" customHeight="1">
      <c r="D393" t="s">
        <v>310</v>
      </c>
      <c r="Q393" s="1526">
        <v>9.9999999999999995E-7</v>
      </c>
      <c r="R393" s="1526"/>
      <c r="S393" s="1526"/>
      <c r="T393" s="1526"/>
      <c r="U393" s="1526"/>
      <c r="V393" t="s">
        <v>311</v>
      </c>
      <c r="AG393" s="1449">
        <v>1.0000000000000001E-5</v>
      </c>
      <c r="AH393" s="1449"/>
      <c r="AI393" s="1449"/>
      <c r="AJ393" s="1449"/>
    </row>
    <row r="394" spans="4:36" ht="13" customHeight="1">
      <c r="D394" t="s">
        <v>312</v>
      </c>
      <c r="Q394" s="1582">
        <v>9.9999999999999995E-8</v>
      </c>
      <c r="R394" s="1582"/>
      <c r="S394" s="1582"/>
      <c r="T394" s="1582"/>
      <c r="U394" s="1582"/>
      <c r="V394" t="s">
        <v>1161</v>
      </c>
      <c r="AG394" s="1449"/>
      <c r="AH394" s="1449"/>
      <c r="AI394" s="1449"/>
      <c r="AJ394" s="1449"/>
    </row>
    <row r="395" spans="4:36" ht="13" customHeight="1">
      <c r="D395" t="s">
        <v>1160</v>
      </c>
      <c r="AG395" s="1449"/>
      <c r="AH395" s="1449"/>
      <c r="AI395" s="1449"/>
      <c r="AJ395" s="1449"/>
    </row>
    <row r="396" spans="4:36" ht="13" customHeight="1">
      <c r="AG396" s="456"/>
      <c r="AH396" s="456"/>
      <c r="AI396" s="456"/>
      <c r="AJ396" s="456"/>
    </row>
    <row r="397" spans="4:36" ht="13" customHeight="1">
      <c r="D397" s="3" t="s">
        <v>2140</v>
      </c>
      <c r="AG397" s="456"/>
      <c r="AH397" s="456"/>
      <c r="AI397" s="1416" t="s">
        <v>667</v>
      </c>
      <c r="AJ397" s="1416"/>
    </row>
    <row r="398" spans="4:36" ht="13" customHeight="1">
      <c r="D398" s="3" t="s">
        <v>1665</v>
      </c>
      <c r="T398" s="1434" t="s">
        <v>590</v>
      </c>
      <c r="U398" s="1435"/>
      <c r="V398" s="1435"/>
      <c r="W398" s="1435"/>
      <c r="X398" s="1435"/>
      <c r="Y398" s="1435"/>
      <c r="Z398" s="1435"/>
      <c r="AA398" s="1435"/>
      <c r="AB398" s="1435"/>
      <c r="AC398" s="1435"/>
      <c r="AD398" s="1435"/>
      <c r="AE398" s="1435"/>
      <c r="AF398" s="1435"/>
      <c r="AG398" s="1435"/>
      <c r="AH398" s="1435"/>
      <c r="AI398" s="1435"/>
      <c r="AJ398" s="1435"/>
    </row>
    <row r="399" spans="4:36" ht="13" customHeight="1">
      <c r="D399" s="3" t="s">
        <v>1664</v>
      </c>
      <c r="T399" s="1434" t="s">
        <v>590</v>
      </c>
      <c r="U399" s="1435"/>
      <c r="V399" s="1435"/>
      <c r="W399" s="1435"/>
      <c r="X399" s="1435"/>
      <c r="Y399" s="1435"/>
      <c r="Z399" s="1435"/>
      <c r="AA399" s="1435"/>
      <c r="AB399" s="1435"/>
      <c r="AC399" s="1435"/>
      <c r="AD399" s="1435"/>
      <c r="AE399" s="1435"/>
      <c r="AF399" s="1435"/>
      <c r="AG399" s="1435"/>
      <c r="AH399" s="1435"/>
      <c r="AI399" s="1435"/>
      <c r="AJ399" s="1435"/>
    </row>
    <row r="400" spans="4:36" ht="13" customHeight="1">
      <c r="AG400" s="456"/>
      <c r="AH400" s="456"/>
      <c r="AI400" s="456"/>
      <c r="AJ400" s="456"/>
    </row>
    <row r="401" spans="1:36" ht="13" customHeight="1">
      <c r="D401" s="3" t="s">
        <v>1658</v>
      </c>
      <c r="S401" s="1435" t="s">
        <v>667</v>
      </c>
      <c r="T401" s="1435"/>
      <c r="U401" s="1435"/>
      <c r="V401" t="s">
        <v>1659</v>
      </c>
      <c r="AG401" s="1525"/>
      <c r="AH401" s="1525"/>
      <c r="AI401" s="1525"/>
      <c r="AJ401" s="1525"/>
    </row>
    <row r="402" spans="1:36" ht="13" customHeight="1">
      <c r="D402" s="3" t="s">
        <v>1656</v>
      </c>
      <c r="S402" s="1435" t="s">
        <v>590</v>
      </c>
      <c r="T402" s="1435"/>
      <c r="U402" s="1435"/>
      <c r="V402" t="s">
        <v>1661</v>
      </c>
      <c r="AE402" s="1520"/>
      <c r="AF402" s="1520"/>
      <c r="AG402" s="1520"/>
      <c r="AH402" s="1520"/>
      <c r="AI402" s="1520"/>
      <c r="AJ402" s="1520"/>
    </row>
    <row r="403" spans="1:36" ht="13" customHeight="1">
      <c r="D403" s="3" t="s">
        <v>1657</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3" customHeight="1">
      <c r="D404" s="3" t="s">
        <v>1660</v>
      </c>
      <c r="K404" s="1522"/>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3" customHeight="1">
      <c r="D405" s="3" t="s">
        <v>1663</v>
      </c>
      <c r="E405" s="477"/>
      <c r="F405" s="477"/>
      <c r="G405" s="477"/>
      <c r="H405" s="477"/>
      <c r="I405" s="477"/>
      <c r="J405" s="477"/>
      <c r="K405" s="477"/>
      <c r="L405" s="477"/>
      <c r="M405" s="477"/>
      <c r="N405" s="477"/>
      <c r="O405" s="477"/>
      <c r="P405" s="477"/>
      <c r="Q405" s="477"/>
      <c r="R405" s="477"/>
      <c r="S405" s="1446" t="s">
        <v>1182</v>
      </c>
      <c r="T405" s="1446"/>
      <c r="U405" s="1446"/>
      <c r="V405" s="1446"/>
      <c r="W405" s="1446"/>
      <c r="X405" s="1446"/>
      <c r="Y405" s="1446"/>
      <c r="Z405" s="1446"/>
      <c r="AA405" s="1446"/>
      <c r="AB405" s="1446"/>
      <c r="AC405" s="1446"/>
      <c r="AD405" s="1446"/>
      <c r="AE405" s="1446"/>
      <c r="AF405" s="1446"/>
      <c r="AG405" s="1446"/>
      <c r="AH405" s="1446"/>
      <c r="AI405" s="1446"/>
      <c r="AJ405" s="1446"/>
    </row>
    <row r="406" spans="1:36" ht="13" customHeight="1">
      <c r="D406" s="1266" t="s">
        <v>1662</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588</v>
      </c>
      <c r="B409" s="2"/>
      <c r="C409" s="2" t="s">
        <v>111</v>
      </c>
    </row>
    <row r="410" spans="1:36" ht="13" customHeight="1">
      <c r="B410" s="2"/>
      <c r="C410" s="2"/>
      <c r="D410" s="2" t="s">
        <v>1202</v>
      </c>
      <c r="I410" s="1407" t="s">
        <v>2676</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3" customHeight="1">
      <c r="E411" t="s">
        <v>106</v>
      </c>
      <c r="R411" s="1416" t="s">
        <v>544</v>
      </c>
      <c r="S411" s="1416"/>
      <c r="AC411" s="27" t="s">
        <v>569</v>
      </c>
      <c r="AD411" s="1390">
        <v>4</v>
      </c>
      <c r="AE411" s="1390"/>
    </row>
    <row r="412" spans="1:36" ht="13" customHeight="1">
      <c r="E412" t="s">
        <v>107</v>
      </c>
      <c r="R412" s="1416" t="s">
        <v>590</v>
      </c>
      <c r="S412" s="1416"/>
      <c r="AC412" s="27" t="s">
        <v>569</v>
      </c>
      <c r="AD412" s="1390"/>
      <c r="AE412" s="1390"/>
    </row>
    <row r="413" spans="1:36" ht="13" customHeight="1">
      <c r="E413" t="s">
        <v>108</v>
      </c>
      <c r="S413" s="1416" t="s">
        <v>590</v>
      </c>
      <c r="T413" s="1416"/>
    </row>
    <row r="414" spans="1:36" ht="13" customHeight="1">
      <c r="E414" t="s">
        <v>170</v>
      </c>
      <c r="H414" s="1583" t="s">
        <v>2738</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3"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3" customHeight="1"/>
    <row r="417" spans="1:39" ht="13" customHeight="1">
      <c r="A417" s="2" t="s">
        <v>589</v>
      </c>
      <c r="B417" s="2"/>
      <c r="C417" s="2"/>
      <c r="D417" s="2" t="s">
        <v>114</v>
      </c>
      <c r="AF417" s="2" t="s">
        <v>955</v>
      </c>
    </row>
    <row r="418" spans="1:39" ht="13" customHeight="1">
      <c r="E418" s="1444"/>
      <c r="F418" s="1444"/>
      <c r="G418" s="1444"/>
      <c r="H418" s="13" t="s">
        <v>115</v>
      </c>
      <c r="I418" s="1444"/>
      <c r="J418" s="1444"/>
      <c r="K418" s="1444"/>
      <c r="L418" t="s">
        <v>116</v>
      </c>
      <c r="N418" s="27" t="s">
        <v>574</v>
      </c>
      <c r="P418" s="1586">
        <v>3.27</v>
      </c>
      <c r="Q418" s="1586"/>
      <c r="R418" s="1586"/>
      <c r="S418" t="s">
        <v>117</v>
      </c>
      <c r="W418" s="1445">
        <f>IF(E418&gt;0,(E418*I418),(P418*43560))</f>
        <v>142441.20000000001</v>
      </c>
      <c r="X418" s="1445"/>
      <c r="Y418" s="1445"/>
      <c r="Z418" t="s">
        <v>118</v>
      </c>
      <c r="AF418" s="1587">
        <f>IFERROR(IF(P418&gt;0,(AG437/P418),(AG437/(W418/43560))),0)</f>
        <v>22.01834862385321</v>
      </c>
      <c r="AG418" s="1587"/>
      <c r="AH418" s="1587"/>
      <c r="AM418" s="3"/>
    </row>
    <row r="419" spans="1:39" ht="13" customHeight="1">
      <c r="E419" t="s">
        <v>51</v>
      </c>
    </row>
    <row r="420" spans="1:39" ht="13"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3" customHeight="1">
      <c r="E421" s="118" t="s">
        <v>1734</v>
      </c>
      <c r="F421" s="1013"/>
      <c r="G421" s="1013"/>
      <c r="H421" s="1013"/>
      <c r="I421" s="1585">
        <v>3.27</v>
      </c>
      <c r="J421" s="1585"/>
      <c r="K421" s="1585"/>
      <c r="L421" s="1013"/>
      <c r="M421" s="118"/>
      <c r="N421" s="1013"/>
      <c r="O421" s="1013"/>
      <c r="P421" s="1837">
        <f>(DU755+DU778+DU800)/I421</f>
        <v>41.284403669724767</v>
      </c>
      <c r="Q421" s="1837"/>
      <c r="R421" s="1837"/>
      <c r="S421" s="118" t="s">
        <v>1735</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591</v>
      </c>
      <c r="B423" s="2"/>
      <c r="C423" s="2"/>
      <c r="D423" s="2" t="s">
        <v>120</v>
      </c>
    </row>
    <row r="424" spans="1:39" ht="13" customHeight="1">
      <c r="E424" t="s">
        <v>121</v>
      </c>
      <c r="P424" s="1416">
        <v>1</v>
      </c>
      <c r="Q424" s="1416"/>
      <c r="S424" t="s">
        <v>189</v>
      </c>
      <c r="AE424" s="1416">
        <v>1</v>
      </c>
      <c r="AF424" s="1416"/>
    </row>
    <row r="425" spans="1:39" ht="13" customHeight="1">
      <c r="E425" t="s">
        <v>190</v>
      </c>
      <c r="P425" s="1416"/>
      <c r="Q425" s="1416"/>
      <c r="S425" t="s">
        <v>131</v>
      </c>
      <c r="AE425" s="1416" t="s">
        <v>590</v>
      </c>
      <c r="AF425" s="1416"/>
    </row>
    <row r="426" spans="1:39" ht="13" customHeight="1">
      <c r="F426" s="28" t="s">
        <v>132</v>
      </c>
    </row>
    <row r="427" spans="1:39" ht="13" customHeight="1">
      <c r="F427" s="1530" t="s">
        <v>2739</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28"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3" customHeight="1">
      <c r="E429" t="s">
        <v>607</v>
      </c>
      <c r="P429" s="1"/>
      <c r="Q429" s="1416" t="s">
        <v>544</v>
      </c>
      <c r="R429" s="1416"/>
    </row>
    <row r="430" spans="1:39" ht="13" customHeight="1">
      <c r="F430" t="s">
        <v>608</v>
      </c>
      <c r="P430" s="1"/>
      <c r="Q430" s="1"/>
      <c r="AF430" s="1416" t="s">
        <v>590</v>
      </c>
      <c r="AG430" s="1508"/>
    </row>
    <row r="431" spans="1:39" ht="13" customHeight="1"/>
    <row r="432" spans="1:39" ht="13" customHeight="1">
      <c r="A432" s="2"/>
      <c r="B432" s="2"/>
      <c r="C432" s="2"/>
      <c r="E432" s="4" t="s">
        <v>308</v>
      </c>
      <c r="Z432" s="1416" t="s">
        <v>667</v>
      </c>
      <c r="AA432" s="1416"/>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705</v>
      </c>
      <c r="G434" s="40"/>
      <c r="I434" s="40"/>
      <c r="J434" s="40"/>
      <c r="K434" s="40"/>
      <c r="L434" s="40"/>
      <c r="M434" s="40"/>
      <c r="N434" s="40"/>
      <c r="O434" s="28"/>
      <c r="P434" s="40"/>
      <c r="Q434" s="40"/>
      <c r="R434" s="40"/>
      <c r="S434" s="40"/>
      <c r="T434" s="40"/>
      <c r="U434" s="40"/>
      <c r="V434" s="40"/>
      <c r="W434" s="40"/>
      <c r="Z434" s="1416" t="s">
        <v>590</v>
      </c>
      <c r="AA434" s="1416"/>
    </row>
    <row r="435" spans="1:55" ht="13" customHeight="1"/>
    <row r="436" spans="1:55" ht="13" customHeight="1">
      <c r="A436" s="2" t="s">
        <v>466</v>
      </c>
      <c r="B436" s="2"/>
      <c r="C436" s="2"/>
      <c r="D436" s="2" t="s">
        <v>762</v>
      </c>
      <c r="AF436" s="48"/>
    </row>
    <row r="437" spans="1:55" ht="13" customHeight="1">
      <c r="D437" s="1507"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72</v>
      </c>
      <c r="AH437" s="1385"/>
      <c r="AI437" s="1385"/>
      <c r="AJ437" s="1385"/>
    </row>
    <row r="438" spans="1:55" ht="13" customHeight="1">
      <c r="D438" s="1419" t="s">
        <v>1220</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c r="AH438" s="1465"/>
      <c r="AI438" s="1465"/>
      <c r="AJ438" s="1465"/>
    </row>
    <row r="439" spans="1:55" ht="13" customHeight="1">
      <c r="D439" s="1419" t="s">
        <v>1029</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72</v>
      </c>
      <c r="AH439" s="1385"/>
      <c r="AI439" s="1385"/>
      <c r="AJ439" s="1385"/>
    </row>
    <row r="440" spans="1:55" ht="13" customHeight="1">
      <c r="D440" s="1419" t="s">
        <v>1030</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72</v>
      </c>
      <c r="AH440" s="1385"/>
      <c r="AI440" s="1385"/>
      <c r="AJ440" s="1385"/>
    </row>
    <row r="441" spans="1:55" ht="13" customHeight="1">
      <c r="D441" s="1419" t="s">
        <v>1032</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 customHeight="1">
      <c r="D442" s="1419" t="s">
        <v>1031</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57030</v>
      </c>
      <c r="AH442" s="1417"/>
      <c r="AI442" s="1417"/>
      <c r="AJ442" s="1417"/>
    </row>
    <row r="443" spans="1:55" ht="13" customHeight="1">
      <c r="D443" s="1419" t="s">
        <v>1033</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57030</v>
      </c>
      <c r="AH443" s="1417"/>
      <c r="AI443" s="1417"/>
      <c r="AJ443" s="1417"/>
    </row>
    <row r="444" spans="1:55" ht="13" customHeight="1">
      <c r="D444" s="1419" t="s">
        <v>1034</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 customHeight="1">
      <c r="D445" s="1419" t="s">
        <v>1035</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 customHeight="1">
      <c r="D446" s="1419" t="s">
        <v>2085</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2500</v>
      </c>
      <c r="AH446" s="1417"/>
      <c r="AI446" s="1417"/>
      <c r="AJ446" s="1417"/>
      <c r="AZ446" s="34"/>
      <c r="BA446" s="34"/>
      <c r="BB446" s="34"/>
      <c r="BC446" s="34"/>
    </row>
    <row r="447" spans="1:55" ht="13" customHeight="1">
      <c r="D447" s="1507" t="s">
        <v>568</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c r="AH447" s="1417"/>
      <c r="AI447" s="1417"/>
      <c r="AJ447" s="1417"/>
      <c r="AZ447" s="3"/>
      <c r="BA447" s="3"/>
      <c r="BB447" s="3"/>
      <c r="BC447" s="3"/>
    </row>
    <row r="448" spans="1:55" ht="13" customHeight="1">
      <c r="D448" s="1419" t="s">
        <v>1203</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29860</v>
      </c>
      <c r="AH448" s="1417"/>
      <c r="AI448" s="1417"/>
      <c r="AJ448" s="1417"/>
      <c r="AZ448" s="3"/>
      <c r="BA448" s="3"/>
      <c r="BB448" s="3"/>
      <c r="BC448" s="3"/>
    </row>
    <row r="449" spans="1:55" ht="13" customHeight="1">
      <c r="D449" s="1419" t="s">
        <v>1036</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c r="AH449" s="1417"/>
      <c r="AI449" s="1417"/>
      <c r="AJ449" s="1417"/>
      <c r="BB449" s="3"/>
      <c r="BC449" s="3"/>
    </row>
    <row r="450" spans="1:55" ht="13" customHeight="1">
      <c r="D450" s="1579" t="s">
        <v>1037</v>
      </c>
      <c r="E450" s="1580"/>
      <c r="F450" s="1580"/>
      <c r="G450" s="1580"/>
      <c r="H450" s="1580"/>
      <c r="I450" s="1580"/>
      <c r="J450" s="1580"/>
      <c r="K450" s="1580"/>
      <c r="L450" s="1580"/>
      <c r="M450" s="1580"/>
      <c r="N450" s="1580"/>
      <c r="O450" s="1580"/>
      <c r="P450" s="1580"/>
      <c r="Q450" s="1580"/>
      <c r="R450" s="1580"/>
      <c r="S450" s="1580"/>
      <c r="T450" s="1580"/>
      <c r="U450" s="1580"/>
      <c r="V450" s="1580"/>
      <c r="W450" s="1580"/>
      <c r="X450" s="1580"/>
      <c r="Y450" s="1580"/>
      <c r="Z450" s="1580"/>
      <c r="AA450" s="1580"/>
      <c r="AB450" s="1580"/>
      <c r="AC450" s="1580"/>
      <c r="AD450" s="1580"/>
      <c r="AE450" s="1580"/>
      <c r="AF450" s="1581"/>
      <c r="AG450" s="1430">
        <f>AG442+AG446+AG448+AG449</f>
        <v>89390</v>
      </c>
      <c r="AH450" s="1430"/>
      <c r="AI450" s="1430"/>
      <c r="AJ450" s="1430"/>
      <c r="AZ450" s="3"/>
      <c r="BA450" s="3"/>
      <c r="BB450" s="3"/>
      <c r="BC450" s="3"/>
    </row>
    <row r="451" spans="1:55" ht="13" customHeight="1">
      <c r="D451" s="1589" t="s">
        <v>1204</v>
      </c>
      <c r="E451" s="1589"/>
      <c r="F451" s="1589"/>
      <c r="G451" s="1589"/>
      <c r="H451" s="1589"/>
      <c r="I451" s="1589"/>
      <c r="J451" s="1589"/>
      <c r="K451" s="1589"/>
      <c r="L451" s="1589"/>
      <c r="M451" s="1589"/>
      <c r="N451" s="1589"/>
      <c r="O451" s="1589"/>
      <c r="P451" s="1589"/>
      <c r="Q451" s="1589"/>
      <c r="R451" s="1589"/>
      <c r="S451" s="1589"/>
      <c r="T451" s="1589"/>
      <c r="U451" s="1589"/>
      <c r="V451" s="1589"/>
      <c r="W451" s="1589"/>
      <c r="X451" s="1589"/>
      <c r="Y451" s="1589"/>
      <c r="Z451" s="1589"/>
      <c r="AA451" s="1589"/>
      <c r="AB451" s="1589"/>
      <c r="AC451" s="1589"/>
      <c r="AD451" s="1589"/>
      <c r="AE451" s="1589"/>
      <c r="AF451" s="1589"/>
      <c r="AG451" s="1589"/>
      <c r="AH451" s="1589"/>
      <c r="AI451" s="1589"/>
      <c r="AJ451" s="1589"/>
      <c r="AZ451" s="3"/>
      <c r="BA451" s="3"/>
      <c r="BB451" s="3"/>
      <c r="BC451" s="3"/>
    </row>
    <row r="452" spans="1:55" ht="13" customHeight="1">
      <c r="D452" s="1590"/>
      <c r="E452" s="1590"/>
      <c r="F452" s="1590"/>
      <c r="G452" s="1590"/>
      <c r="H452" s="1590"/>
      <c r="I452" s="1590"/>
      <c r="J452" s="1590"/>
      <c r="K452" s="1590"/>
      <c r="L452" s="1590"/>
      <c r="M452" s="1590"/>
      <c r="N452" s="1590"/>
      <c r="O452" s="1590"/>
      <c r="P452" s="1590"/>
      <c r="Q452" s="1590"/>
      <c r="R452" s="1590"/>
      <c r="S452" s="1590"/>
      <c r="T452" s="1590"/>
      <c r="U452" s="1590"/>
      <c r="V452" s="1590"/>
      <c r="W452" s="1590"/>
      <c r="X452" s="1590"/>
      <c r="Y452" s="1590"/>
      <c r="Z452" s="1590"/>
      <c r="AA452" s="1590"/>
      <c r="AB452" s="1590"/>
      <c r="AC452" s="1590"/>
      <c r="AD452" s="1590"/>
      <c r="AE452" s="1590"/>
      <c r="AF452" s="1590"/>
      <c r="AG452" s="1590"/>
      <c r="AH452" s="1590"/>
      <c r="AI452" s="1590"/>
      <c r="AJ452" s="1590"/>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812</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783614.91666666663</v>
      </c>
      <c r="AD454" s="1373"/>
      <c r="AE454" s="1373"/>
      <c r="AF454" s="1373"/>
      <c r="AG454" s="177"/>
      <c r="AH454" s="177"/>
      <c r="AI454" s="177"/>
      <c r="AJ454" s="183"/>
      <c r="AZ454" s="3"/>
      <c r="BA454" s="3" t="str">
        <f>AG575</f>
        <v>Yes</v>
      </c>
      <c r="BB454" s="3"/>
      <c r="BC454" s="3"/>
    </row>
    <row r="455" spans="1:55" ht="13" customHeight="1">
      <c r="D455" s="205" t="s">
        <v>813</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783614.91666666663</v>
      </c>
      <c r="AD455" s="1373"/>
      <c r="AE455" s="1373"/>
      <c r="AF455" s="1373"/>
      <c r="AG455" s="177"/>
      <c r="AH455" s="177"/>
      <c r="AI455" s="177"/>
      <c r="AJ455" s="183"/>
      <c r="AZ455" s="3"/>
      <c r="BA455" s="3"/>
      <c r="BB455" s="3"/>
      <c r="BC455" s="3"/>
    </row>
    <row r="456" spans="1:55" ht="13" customHeight="1">
      <c r="D456" s="205" t="s">
        <v>861</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766048.9305555555</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690</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2097</v>
      </c>
      <c r="E465" s="1376"/>
      <c r="F465" s="1376"/>
      <c r="G465" s="1376"/>
      <c r="H465" s="1376"/>
      <c r="I465" s="1376"/>
      <c r="J465" s="1376"/>
      <c r="K465" s="1376"/>
      <c r="L465" s="1376"/>
      <c r="M465" s="1376"/>
      <c r="N465" s="1376"/>
      <c r="O465" s="1376"/>
      <c r="P465" s="1376"/>
      <c r="Q465" s="1376"/>
      <c r="R465" s="1376"/>
      <c r="S465" s="1376"/>
      <c r="T465" s="1376"/>
      <c r="U465" s="1376"/>
      <c r="V465" s="1377"/>
      <c r="W465" s="1391"/>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691</v>
      </c>
      <c r="E466" s="1376"/>
      <c r="F466" s="1376"/>
      <c r="G466" s="1376"/>
      <c r="H466" s="1376"/>
      <c r="I466" s="1376"/>
      <c r="J466" s="1376"/>
      <c r="K466" s="1376"/>
      <c r="L466" s="1376"/>
      <c r="M466" s="1376"/>
      <c r="N466" s="1376"/>
      <c r="O466" s="1376"/>
      <c r="P466" s="1376"/>
      <c r="Q466" s="1376"/>
      <c r="R466" s="1376"/>
      <c r="S466" s="1376"/>
      <c r="T466" s="1376"/>
      <c r="U466" s="1376"/>
      <c r="V466" s="1377"/>
      <c r="W466" s="1391"/>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692</v>
      </c>
      <c r="E467" s="1376"/>
      <c r="F467" s="1376"/>
      <c r="G467" s="1376"/>
      <c r="H467" s="1376"/>
      <c r="I467" s="1376"/>
      <c r="J467" s="1376"/>
      <c r="K467" s="1376"/>
      <c r="L467" s="1376"/>
      <c r="M467" s="1376"/>
      <c r="N467" s="1376"/>
      <c r="O467" s="1376"/>
      <c r="P467" s="1376"/>
      <c r="Q467" s="1376"/>
      <c r="R467" s="1376"/>
      <c r="S467" s="1376"/>
      <c r="T467" s="1376"/>
      <c r="U467" s="1376"/>
      <c r="V467" s="1377"/>
      <c r="W467" s="1391"/>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693</v>
      </c>
      <c r="E468" s="1376"/>
      <c r="F468" s="1376"/>
      <c r="G468" s="1376"/>
      <c r="H468" s="1376"/>
      <c r="I468" s="1376"/>
      <c r="J468" s="1376"/>
      <c r="K468" s="1376"/>
      <c r="L468" s="1376"/>
      <c r="M468" s="1376"/>
      <c r="N468" s="1376"/>
      <c r="O468" s="1376"/>
      <c r="P468" s="1376"/>
      <c r="Q468" s="1376"/>
      <c r="R468" s="1376"/>
      <c r="S468" s="1376"/>
      <c r="T468" s="1376"/>
      <c r="U468" s="1376"/>
      <c r="V468" s="1377"/>
      <c r="W468" s="1391"/>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879</v>
      </c>
      <c r="E469" s="1376"/>
      <c r="F469" s="1376"/>
      <c r="G469" s="1376"/>
      <c r="H469" s="1376"/>
      <c r="I469" s="1376"/>
      <c r="J469" s="1376"/>
      <c r="K469" s="1376"/>
      <c r="L469" s="1376"/>
      <c r="M469" s="1376"/>
      <c r="N469" s="1376"/>
      <c r="O469" s="1376"/>
      <c r="P469" s="1376"/>
      <c r="Q469" s="1376"/>
      <c r="R469" s="1376"/>
      <c r="S469" s="1376"/>
      <c r="T469" s="1376"/>
      <c r="U469" s="1376"/>
      <c r="V469" s="1377"/>
      <c r="W469" s="1391"/>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694</v>
      </c>
      <c r="E470" s="1376"/>
      <c r="F470" s="1376"/>
      <c r="G470" s="1376"/>
      <c r="H470" s="1376"/>
      <c r="I470" s="1376"/>
      <c r="J470" s="1376"/>
      <c r="K470" s="1376"/>
      <c r="L470" s="1376"/>
      <c r="M470" s="1376"/>
      <c r="N470" s="1376"/>
      <c r="O470" s="1376"/>
      <c r="P470" s="1376"/>
      <c r="Q470" s="1376"/>
      <c r="R470" s="1376"/>
      <c r="S470" s="1376"/>
      <c r="T470" s="1376"/>
      <c r="U470" s="1376"/>
      <c r="V470" s="1377"/>
      <c r="W470" s="1391"/>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1010</v>
      </c>
      <c r="E471" s="1376"/>
      <c r="F471" s="1376"/>
      <c r="G471" s="1376"/>
      <c r="H471" s="1376"/>
      <c r="I471" s="1376"/>
      <c r="J471" s="1376"/>
      <c r="K471" s="1376"/>
      <c r="L471" s="1376"/>
      <c r="M471" s="1376"/>
      <c r="N471" s="1376"/>
      <c r="O471" s="1376"/>
      <c r="P471" s="1376"/>
      <c r="Q471" s="1376"/>
      <c r="R471" s="1376"/>
      <c r="S471" s="1376"/>
      <c r="T471" s="1376"/>
      <c r="U471" s="1376"/>
      <c r="V471" s="1377"/>
      <c r="W471" s="1391"/>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2188</v>
      </c>
      <c r="E472" s="1394"/>
      <c r="F472" s="1394"/>
      <c r="G472" s="1394"/>
      <c r="H472" s="1394"/>
      <c r="I472" s="1394"/>
      <c r="J472" s="1394"/>
      <c r="K472" s="1394"/>
      <c r="L472" s="1394"/>
      <c r="M472" s="1394"/>
      <c r="N472" s="1394"/>
      <c r="O472" s="1394"/>
      <c r="P472" s="1394"/>
      <c r="Q472" s="1394"/>
      <c r="R472" s="1394"/>
      <c r="S472" s="1394"/>
      <c r="T472" s="1394"/>
      <c r="U472" s="1394"/>
      <c r="V472" s="1395"/>
      <c r="W472" s="1391"/>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1652</v>
      </c>
      <c r="E473" s="1376"/>
      <c r="F473" s="1376"/>
      <c r="G473" s="1376"/>
      <c r="H473" s="1376"/>
      <c r="I473" s="1376"/>
      <c r="J473" s="1376"/>
      <c r="K473" s="1376"/>
      <c r="L473" s="1376"/>
      <c r="M473" s="1376"/>
      <c r="N473" s="1376"/>
      <c r="O473" s="1376"/>
      <c r="P473" s="1376"/>
      <c r="Q473" s="1376"/>
      <c r="R473" s="1376"/>
      <c r="S473" s="1376"/>
      <c r="T473" s="1376"/>
      <c r="U473" s="1376"/>
      <c r="V473" s="1377"/>
      <c r="W473" s="1391">
        <v>11</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5" t="s">
        <v>2677</v>
      </c>
      <c r="H474" s="1676"/>
      <c r="I474" s="1676"/>
      <c r="J474" s="1676"/>
      <c r="K474" s="1676"/>
      <c r="L474" s="1676"/>
      <c r="M474" s="1676"/>
      <c r="N474" s="1676"/>
      <c r="O474" s="1676"/>
      <c r="P474" s="1676"/>
      <c r="Q474" s="1676"/>
      <c r="R474" s="1676"/>
      <c r="S474" s="1676"/>
      <c r="T474" s="1676"/>
      <c r="U474" s="1676"/>
      <c r="V474" s="1677"/>
      <c r="W474" s="1391">
        <v>8</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880</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7" t="s">
        <v>808</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3"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3" customHeight="1">
      <c r="AZ482" s="3"/>
      <c r="BB482" s="3"/>
      <c r="BC482" s="3"/>
    </row>
    <row r="483" spans="1:55" ht="13" customHeight="1">
      <c r="A483" s="2" t="s">
        <v>319</v>
      </c>
      <c r="C483" s="2" t="s">
        <v>806</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2740</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t="s">
        <v>2741</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t="s">
        <v>2741</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4" t="s">
        <v>397</v>
      </c>
      <c r="C489" s="1455"/>
      <c r="D489" s="1455"/>
      <c r="E489" s="1455"/>
      <c r="F489" s="1455"/>
      <c r="G489" s="1455"/>
      <c r="H489" s="1455"/>
      <c r="I489" s="1455"/>
      <c r="J489" s="1455"/>
      <c r="K489" s="1455"/>
      <c r="L489" s="1455"/>
      <c r="M489" s="1455"/>
      <c r="N489" s="1455"/>
      <c r="O489" s="1455"/>
      <c r="P489" s="1456"/>
      <c r="Q489" s="1460" t="s">
        <v>667</v>
      </c>
      <c r="R489" s="1461"/>
      <c r="S489" s="1573" t="s">
        <v>166</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3" customHeight="1">
      <c r="B490" s="1457"/>
      <c r="C490" s="1458"/>
      <c r="D490" s="1458"/>
      <c r="E490" s="1458"/>
      <c r="F490" s="1458"/>
      <c r="G490" s="1458"/>
      <c r="H490" s="1458"/>
      <c r="I490" s="1458"/>
      <c r="J490" s="1458"/>
      <c r="K490" s="1458"/>
      <c r="L490" s="1458"/>
      <c r="M490" s="1458"/>
      <c r="N490" s="1458"/>
      <c r="O490" s="1458"/>
      <c r="P490" s="1459"/>
      <c r="Q490" s="1462"/>
      <c r="R490" s="1463"/>
      <c r="S490" s="1576"/>
      <c r="T490" s="1532"/>
      <c r="U490" s="1532"/>
      <c r="V490" s="1532"/>
      <c r="W490" s="1532"/>
      <c r="X490" s="1532"/>
      <c r="Y490" s="1532"/>
      <c r="Z490" s="1532"/>
      <c r="AA490" s="1532"/>
      <c r="AB490" s="1532"/>
      <c r="AC490" s="1532"/>
      <c r="AD490" s="1532"/>
      <c r="AE490" s="1532"/>
      <c r="AF490" s="1532"/>
      <c r="AG490" s="1532"/>
      <c r="AH490" s="1532"/>
      <c r="AI490" s="1532"/>
      <c r="AJ490" s="1532"/>
      <c r="AK490" s="1577"/>
      <c r="AZ490" s="3"/>
      <c r="BA490" s="3"/>
      <c r="BB490" s="3"/>
      <c r="BC490" s="3"/>
    </row>
    <row r="491" spans="1:55" ht="13" customHeight="1">
      <c r="B491" s="895" t="s">
        <v>1669</v>
      </c>
      <c r="C491" s="873"/>
      <c r="D491" s="873"/>
      <c r="E491" s="873"/>
      <c r="F491" s="873"/>
      <c r="G491" s="873"/>
      <c r="H491" s="873"/>
      <c r="I491" s="873"/>
      <c r="J491" s="873"/>
      <c r="K491" s="873"/>
      <c r="L491" s="873"/>
      <c r="M491" s="873"/>
      <c r="N491" s="873"/>
      <c r="O491" s="873"/>
      <c r="P491" s="873"/>
      <c r="Q491" s="1378" t="s">
        <v>667</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2742</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588" t="s">
        <v>2743</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1666</v>
      </c>
      <c r="C494" s="5"/>
      <c r="D494" s="5"/>
      <c r="E494" s="5"/>
      <c r="F494" s="5"/>
      <c r="G494" s="5"/>
      <c r="H494" s="5"/>
      <c r="I494" s="5"/>
      <c r="J494" s="5"/>
      <c r="K494" s="5"/>
      <c r="L494" s="5"/>
      <c r="M494" s="5"/>
      <c r="N494" s="5"/>
      <c r="O494" s="5"/>
      <c r="P494" s="5"/>
      <c r="Q494" s="1370">
        <v>167</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1667</v>
      </c>
      <c r="C495" s="5"/>
      <c r="D495" s="5"/>
      <c r="E495" s="5"/>
      <c r="F495" s="5"/>
      <c r="G495" s="5"/>
      <c r="H495" s="5"/>
      <c r="I495" s="5"/>
      <c r="J495" s="5"/>
      <c r="K495" s="5"/>
      <c r="L495" s="5"/>
      <c r="M495" s="1381">
        <v>72</v>
      </c>
      <c r="N495" s="1382"/>
      <c r="O495" s="1382"/>
      <c r="P495" s="1383"/>
      <c r="Q495" s="121" t="s">
        <v>1668</v>
      </c>
      <c r="R495" s="5"/>
      <c r="S495" s="5"/>
      <c r="T495" s="5"/>
      <c r="U495" s="5"/>
      <c r="V495" s="5"/>
      <c r="W495" s="5"/>
      <c r="X495" s="5"/>
      <c r="Y495" s="5"/>
      <c r="Z495" s="5"/>
      <c r="AA495" s="5"/>
      <c r="AB495" s="5"/>
      <c r="AC495" s="5"/>
      <c r="AD495" s="5"/>
      <c r="AE495" s="5"/>
      <c r="AF495" s="5"/>
      <c r="AG495" s="5"/>
      <c r="AH495" s="1381">
        <v>95</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575</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590</v>
      </c>
      <c r="AD501" s="1390"/>
      <c r="AE501" s="1390"/>
      <c r="AF501" s="1390"/>
      <c r="AG501" s="13" t="s">
        <v>403</v>
      </c>
      <c r="AH501" s="1428"/>
      <c r="AI501" s="1428"/>
      <c r="AJ501" s="1428"/>
      <c r="AK501" s="1429"/>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5</v>
      </c>
      <c r="AD502" s="1390"/>
      <c r="AE502" s="1390"/>
      <c r="AF502" s="1390"/>
      <c r="AG502" s="38" t="s">
        <v>403</v>
      </c>
      <c r="AH502" s="1428">
        <v>2026</v>
      </c>
      <c r="AI502" s="1428"/>
      <c r="AJ502" s="1428"/>
      <c r="AK502" s="1429"/>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v>7</v>
      </c>
      <c r="AD503" s="1390"/>
      <c r="AE503" s="1390"/>
      <c r="AF503" s="1390"/>
      <c r="AG503" s="13" t="s">
        <v>403</v>
      </c>
      <c r="AH503" s="1428">
        <v>2022</v>
      </c>
      <c r="AI503" s="1428"/>
      <c r="AJ503" s="1428"/>
      <c r="AK503" s="1429"/>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590</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t="s">
        <v>590</v>
      </c>
      <c r="AD505" s="1390"/>
      <c r="AE505" s="1390"/>
      <c r="AF505" s="1390"/>
      <c r="AG505" s="13" t="s">
        <v>403</v>
      </c>
      <c r="AH505" s="1428"/>
      <c r="AI505" s="1428"/>
      <c r="AJ505" s="1428"/>
      <c r="AK505" s="1429"/>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v>5</v>
      </c>
      <c r="AD506" s="1390"/>
      <c r="AE506" s="1390"/>
      <c r="AF506" s="1390"/>
      <c r="AG506" s="13" t="s">
        <v>403</v>
      </c>
      <c r="AH506" s="1428">
        <v>2026</v>
      </c>
      <c r="AI506" s="1428"/>
      <c r="AJ506" s="1428"/>
      <c r="AK506" s="1429"/>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5</v>
      </c>
      <c r="AD507" s="1356"/>
      <c r="AE507" s="1356"/>
      <c r="AF507" s="1356"/>
      <c r="AG507" s="13" t="s">
        <v>403</v>
      </c>
      <c r="AH507" s="1428">
        <v>2026</v>
      </c>
      <c r="AI507" s="1428"/>
      <c r="AJ507" s="1428"/>
      <c r="AK507" s="1429"/>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590</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1673</v>
      </c>
      <c r="AC509" s="1385" t="s">
        <v>667</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1670</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1671</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1672</v>
      </c>
      <c r="J512" s="48"/>
      <c r="K512" s="48"/>
      <c r="L512" s="48"/>
      <c r="M512" s="48"/>
      <c r="N512" s="48"/>
      <c r="O512" s="48"/>
      <c r="P512" s="48"/>
      <c r="Q512" s="48"/>
      <c r="R512" s="48"/>
      <c r="S512" s="48"/>
      <c r="T512" s="48"/>
      <c r="U512" s="48"/>
      <c r="V512" s="48"/>
      <c r="W512" s="48"/>
      <c r="X512" s="48"/>
      <c r="Y512" s="48"/>
      <c r="Z512" s="48"/>
      <c r="AA512" s="48"/>
      <c r="AB512" s="48"/>
      <c r="AC512" s="1451">
        <v>0.3</v>
      </c>
      <c r="AD512" s="1452"/>
      <c r="AE512" s="1452"/>
      <c r="AF512" s="1453"/>
      <c r="AG512" s="38"/>
      <c r="AH512" s="1591"/>
      <c r="AI512" s="1591"/>
      <c r="AJ512" s="1591"/>
      <c r="AK512" s="1592"/>
      <c r="AZ512" s="3"/>
      <c r="BA512" s="3"/>
      <c r="BB512" s="3"/>
      <c r="BC512" s="3"/>
      <c r="BD512" s="3"/>
      <c r="BE512" s="3"/>
      <c r="BF512" s="3"/>
      <c r="BG512" s="3"/>
      <c r="BH512" s="3"/>
      <c r="BI512" s="3"/>
      <c r="BJ512" s="3"/>
      <c r="BK512" s="3"/>
      <c r="BL512" s="3"/>
      <c r="BM512" s="3"/>
      <c r="BN512" s="3" t="s">
        <v>1182</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8"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2102</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2103</v>
      </c>
    </row>
    <row r="515" spans="2:66" ht="13" customHeight="1">
      <c r="B515" s="1399"/>
      <c r="C515" s="1400"/>
      <c r="D515" s="1400"/>
      <c r="E515" s="1400"/>
      <c r="F515" s="1400"/>
      <c r="G515" s="1400"/>
      <c r="H515" s="1401"/>
      <c r="I515" t="s">
        <v>416</v>
      </c>
      <c r="AC515" s="1389">
        <v>9</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2104</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2105</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2106</v>
      </c>
    </row>
    <row r="518" spans="2:66" ht="13" customHeight="1">
      <c r="B518" s="1399"/>
      <c r="C518" s="1400"/>
      <c r="D518" s="1400"/>
      <c r="E518" s="1400"/>
      <c r="F518" s="1400"/>
      <c r="G518" s="1400"/>
      <c r="H518" s="1401"/>
      <c r="I518" t="s">
        <v>416</v>
      </c>
      <c r="AC518" s="1389">
        <v>9</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2107</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8">
        <v>2029</v>
      </c>
      <c r="AI519" s="1428"/>
      <c r="AJ519" s="1428"/>
      <c r="AK519" s="1429"/>
      <c r="BB519" s="3"/>
      <c r="BC519" s="3"/>
      <c r="BD519" s="3"/>
      <c r="BE519" s="3"/>
      <c r="BF519" s="3"/>
      <c r="BG519" s="3"/>
      <c r="BH519" s="3"/>
      <c r="BI519" s="3"/>
      <c r="BJ519" s="3"/>
      <c r="BK519" s="3"/>
      <c r="BL519" s="3"/>
      <c r="BM519" s="3"/>
      <c r="BN519" s="3" t="s">
        <v>2108</v>
      </c>
    </row>
    <row r="520" spans="2:66" ht="13" customHeight="1">
      <c r="B520" s="1396" t="s">
        <v>419</v>
      </c>
      <c r="C520" s="1397"/>
      <c r="D520" s="1397"/>
      <c r="E520" s="1397"/>
      <c r="F520" s="1397"/>
      <c r="G520" s="1397"/>
      <c r="H520" s="1398"/>
      <c r="I520" s="41" t="s">
        <v>420</v>
      </c>
      <c r="J520" s="42"/>
      <c r="K520" s="42"/>
      <c r="L520" s="42"/>
      <c r="M520" s="42"/>
      <c r="N520" s="42"/>
      <c r="O520" s="1434" t="s">
        <v>2744</v>
      </c>
      <c r="P520" s="1435"/>
      <c r="Q520" s="1435"/>
      <c r="R520" s="1435"/>
      <c r="S520" s="1435"/>
      <c r="T520" s="1435"/>
      <c r="U520" s="1435"/>
      <c r="V520" s="1435"/>
      <c r="W520" s="1435"/>
      <c r="X520" s="1435"/>
      <c r="Y520" s="1435"/>
      <c r="Z520" s="1435"/>
      <c r="AA520" s="1435"/>
      <c r="AB520" s="58"/>
      <c r="AC520" s="1355"/>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2109</v>
      </c>
    </row>
    <row r="521" spans="2:66" ht="13" customHeight="1">
      <c r="B521" s="1399"/>
      <c r="C521" s="1400"/>
      <c r="D521" s="1400"/>
      <c r="E521" s="1400"/>
      <c r="F521" s="1400"/>
      <c r="G521" s="1400"/>
      <c r="H521" s="1401"/>
      <c r="I521" s="114" t="s">
        <v>421</v>
      </c>
      <c r="AB521" s="65"/>
      <c r="AC521" s="1389">
        <v>5</v>
      </c>
      <c r="AD521" s="1390"/>
      <c r="AE521" s="1390"/>
      <c r="AF521" s="1390"/>
      <c r="AG521" s="13" t="s">
        <v>403</v>
      </c>
      <c r="AH521" s="1428">
        <v>2022</v>
      </c>
      <c r="AI521" s="1428"/>
      <c r="AJ521" s="1428"/>
      <c r="AK521" s="1429"/>
      <c r="AZ521" s="3"/>
      <c r="BB521" s="3"/>
      <c r="BC521" s="3"/>
      <c r="BD521" s="3"/>
      <c r="BE521" s="3"/>
      <c r="BF521" s="3"/>
      <c r="BG521" s="3"/>
      <c r="BH521" s="3"/>
      <c r="BI521" s="3"/>
      <c r="BJ521" s="3"/>
      <c r="BK521" s="3"/>
      <c r="BL521" s="3"/>
      <c r="BM521" s="3"/>
      <c r="BN521" s="3" t="s">
        <v>2110</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8">
        <v>2026</v>
      </c>
      <c r="AI522" s="1428"/>
      <c r="AJ522" s="1428"/>
      <c r="AK522" s="1429"/>
      <c r="AZ522" s="3"/>
      <c r="BA522" s="3"/>
      <c r="BB522" s="3"/>
      <c r="BC522" s="3"/>
      <c r="BD522" s="3"/>
      <c r="BE522" s="3"/>
      <c r="BF522" s="3"/>
      <c r="BG522" s="3"/>
      <c r="BH522" s="3"/>
      <c r="BI522" s="3"/>
      <c r="BJ522" s="3"/>
      <c r="BK522" s="3"/>
      <c r="BL522" s="3"/>
      <c r="BM522" s="3"/>
      <c r="BN522" s="3" t="s">
        <v>2111</v>
      </c>
    </row>
    <row r="523" spans="2:66" ht="13" customHeight="1">
      <c r="B523" s="1399"/>
      <c r="C523" s="1400"/>
      <c r="D523" s="1400"/>
      <c r="E523" s="1400"/>
      <c r="F523" s="1400"/>
      <c r="G523" s="1400"/>
      <c r="H523" s="1401"/>
      <c r="I523" s="42" t="s">
        <v>423</v>
      </c>
      <c r="J523" s="42"/>
      <c r="K523" s="42"/>
      <c r="L523" s="42"/>
      <c r="M523" s="42"/>
      <c r="N523" s="42"/>
      <c r="O523" s="1434" t="s">
        <v>2745</v>
      </c>
      <c r="P523" s="1435"/>
      <c r="Q523" s="1435"/>
      <c r="R523" s="1435"/>
      <c r="S523" s="1435"/>
      <c r="T523" s="1435"/>
      <c r="U523" s="1435"/>
      <c r="V523" s="1435"/>
      <c r="W523" s="1435"/>
      <c r="X523" s="1435"/>
      <c r="Y523" s="1435"/>
      <c r="Z523" s="1435"/>
      <c r="AA523" s="1435"/>
      <c r="AC523" s="1389"/>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2112</v>
      </c>
    </row>
    <row r="524" spans="2:66" ht="13" customHeight="1">
      <c r="B524" s="1399"/>
      <c r="C524" s="1400"/>
      <c r="D524" s="1400"/>
      <c r="E524" s="1400"/>
      <c r="F524" s="1400"/>
      <c r="G524" s="1400"/>
      <c r="H524" s="1401"/>
      <c r="I524" t="s">
        <v>421</v>
      </c>
      <c r="AC524" s="1389">
        <v>5</v>
      </c>
      <c r="AD524" s="1390"/>
      <c r="AE524" s="1390"/>
      <c r="AF524" s="1390"/>
      <c r="AG524" s="13" t="s">
        <v>403</v>
      </c>
      <c r="AH524" s="1428">
        <v>2022</v>
      </c>
      <c r="AI524" s="1428"/>
      <c r="AJ524" s="1428"/>
      <c r="AK524" s="1429"/>
      <c r="AZ524" s="3"/>
      <c r="BA524" s="3"/>
      <c r="BB524" s="3"/>
      <c r="BC524" s="3"/>
      <c r="BD524" s="3"/>
      <c r="BE524" s="3"/>
      <c r="BF524" s="3"/>
      <c r="BG524" s="3"/>
      <c r="BH524" s="3"/>
      <c r="BI524" s="3"/>
      <c r="BJ524" s="3"/>
      <c r="BK524" s="3"/>
      <c r="BL524" s="3"/>
      <c r="BM524" s="3"/>
      <c r="BN524" s="3" t="s">
        <v>2113</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5</v>
      </c>
      <c r="AD525" s="1390"/>
      <c r="AE525" s="1390"/>
      <c r="AF525" s="1390"/>
      <c r="AG525" s="38" t="s">
        <v>403</v>
      </c>
      <c r="AH525" s="1428">
        <v>2026</v>
      </c>
      <c r="AI525" s="1428"/>
      <c r="AJ525" s="1428"/>
      <c r="AK525" s="1429"/>
      <c r="AZ525" s="3"/>
      <c r="BA525" s="3"/>
      <c r="BB525" s="3"/>
      <c r="BC525" s="3"/>
      <c r="BD525" s="3"/>
      <c r="BE525" s="3"/>
      <c r="BF525" s="3"/>
      <c r="BG525" s="3"/>
      <c r="BH525" s="3"/>
      <c r="BI525" s="3"/>
      <c r="BJ525" s="3"/>
      <c r="BK525" s="3"/>
      <c r="BL525" s="3"/>
      <c r="BM525" s="3"/>
      <c r="BN525" s="3" t="s">
        <v>2114</v>
      </c>
    </row>
    <row r="526" spans="2:66" ht="13" customHeight="1">
      <c r="B526" s="1399"/>
      <c r="C526" s="1400"/>
      <c r="D526" s="1400"/>
      <c r="E526" s="1400"/>
      <c r="F526" s="1400"/>
      <c r="G526" s="1400"/>
      <c r="H526" s="1401"/>
      <c r="I526" s="42" t="s">
        <v>423</v>
      </c>
      <c r="J526" s="42"/>
      <c r="K526" s="42"/>
      <c r="L526" s="42"/>
      <c r="M526" s="42"/>
      <c r="N526" s="42"/>
      <c r="O526" s="1434" t="s">
        <v>2746</v>
      </c>
      <c r="P526" s="1435"/>
      <c r="Q526" s="1435"/>
      <c r="R526" s="1435"/>
      <c r="S526" s="1435"/>
      <c r="T526" s="1435"/>
      <c r="U526" s="1435"/>
      <c r="V526" s="1435"/>
      <c r="W526" s="1435"/>
      <c r="X526" s="1435"/>
      <c r="Y526" s="1435"/>
      <c r="Z526" s="1435"/>
      <c r="AA526" s="1435"/>
      <c r="AC526" s="1389"/>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2115</v>
      </c>
    </row>
    <row r="527" spans="2:66" ht="13" customHeight="1">
      <c r="B527" s="1399"/>
      <c r="C527" s="1400"/>
      <c r="D527" s="1400"/>
      <c r="E527" s="1400"/>
      <c r="F527" s="1400"/>
      <c r="G527" s="1400"/>
      <c r="H527" s="1401"/>
      <c r="I527" t="s">
        <v>421</v>
      </c>
      <c r="AC527" s="1389">
        <v>3</v>
      </c>
      <c r="AD527" s="1390"/>
      <c r="AE527" s="1390"/>
      <c r="AF527" s="1390"/>
      <c r="AG527" s="13" t="s">
        <v>403</v>
      </c>
      <c r="AH527" s="1428">
        <v>2022</v>
      </c>
      <c r="AI527" s="1428"/>
      <c r="AJ527" s="1428"/>
      <c r="AK527" s="1429"/>
      <c r="AZ527" s="3"/>
      <c r="BA527" s="3"/>
      <c r="BB527" s="3"/>
      <c r="BC527" s="3"/>
      <c r="BD527" s="3"/>
      <c r="BE527" s="3"/>
      <c r="BF527" s="3"/>
      <c r="BG527" s="3"/>
      <c r="BH527" s="3"/>
      <c r="BI527" s="3"/>
      <c r="BJ527" s="3"/>
      <c r="BK527" s="3"/>
      <c r="BL527" s="3"/>
      <c r="BM527" s="3"/>
      <c r="BN527" s="3" t="s">
        <v>2116</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5</v>
      </c>
      <c r="AD528" s="1390"/>
      <c r="AE528" s="1390"/>
      <c r="AF528" s="1390"/>
      <c r="AG528" s="38" t="s">
        <v>403</v>
      </c>
      <c r="AH528" s="1428">
        <v>2026</v>
      </c>
      <c r="AI528" s="1428"/>
      <c r="AJ528" s="1428"/>
      <c r="AK528" s="1429"/>
      <c r="AZ528" s="3"/>
      <c r="BA528" s="3"/>
      <c r="BB528" s="3"/>
      <c r="BC528" s="3"/>
      <c r="BD528" s="3"/>
      <c r="BE528" s="3"/>
      <c r="BF528" s="3"/>
      <c r="BG528" s="3"/>
      <c r="BH528" s="3"/>
      <c r="BI528" s="3"/>
      <c r="BJ528" s="3"/>
      <c r="BK528" s="3"/>
      <c r="BL528" s="3"/>
      <c r="BM528" s="3"/>
      <c r="BN528" s="3" t="s">
        <v>2117</v>
      </c>
    </row>
    <row r="529" spans="1:66" ht="13" customHeight="1">
      <c r="B529" s="1399"/>
      <c r="C529" s="1400"/>
      <c r="D529" s="1400"/>
      <c r="E529" s="1400"/>
      <c r="F529" s="1400"/>
      <c r="G529" s="1400"/>
      <c r="H529" s="1401"/>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89" t="s">
        <v>590</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2118</v>
      </c>
    </row>
    <row r="530" spans="1:66" ht="13" customHeight="1">
      <c r="B530" s="1399"/>
      <c r="C530" s="1400"/>
      <c r="D530" s="1400"/>
      <c r="E530" s="1400"/>
      <c r="F530" s="1400"/>
      <c r="G530" s="1400"/>
      <c r="H530" s="1401"/>
      <c r="I530" t="s">
        <v>421</v>
      </c>
      <c r="AC530" s="1389" t="s">
        <v>590</v>
      </c>
      <c r="AD530" s="1390"/>
      <c r="AE530" s="1390"/>
      <c r="AF530" s="1390"/>
      <c r="AG530" s="13" t="s">
        <v>403</v>
      </c>
      <c r="AH530" s="1428"/>
      <c r="AI530" s="1428"/>
      <c r="AJ530" s="1428"/>
      <c r="AK530" s="1429"/>
      <c r="AZ530" s="3"/>
      <c r="BA530" s="3"/>
      <c r="BB530" s="3"/>
      <c r="BC530" s="3"/>
      <c r="BD530" s="3"/>
      <c r="BE530" s="3"/>
      <c r="BF530" s="3"/>
      <c r="BG530" s="3"/>
      <c r="BH530" s="3"/>
      <c r="BI530" s="3"/>
      <c r="BJ530" s="3"/>
      <c r="BK530" s="3"/>
      <c r="BL530" s="3"/>
      <c r="BM530" s="3"/>
      <c r="BN530" s="3" t="s">
        <v>2119</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590</v>
      </c>
      <c r="AD531" s="1390"/>
      <c r="AE531" s="1390"/>
      <c r="AF531" s="1390"/>
      <c r="AG531" s="38" t="s">
        <v>403</v>
      </c>
      <c r="AH531" s="1428"/>
      <c r="AI531" s="1428"/>
      <c r="AJ531" s="1428"/>
      <c r="AK531" s="1429"/>
      <c r="AZ531" s="3"/>
      <c r="BA531" s="3"/>
      <c r="BB531" s="3"/>
      <c r="BC531" s="3"/>
      <c r="BD531" s="3"/>
      <c r="BE531" s="3"/>
      <c r="BF531" s="3"/>
      <c r="BG531" s="3"/>
      <c r="BH531" s="3"/>
      <c r="BI531" s="3"/>
      <c r="BJ531" s="3"/>
      <c r="BK531" s="3"/>
      <c r="BL531" s="3"/>
      <c r="BM531" s="3"/>
      <c r="BN531" s="3" t="s">
        <v>2120</v>
      </c>
    </row>
    <row r="532" spans="1:66" ht="13" customHeight="1">
      <c r="B532" s="1399"/>
      <c r="C532" s="1400"/>
      <c r="D532" s="1400"/>
      <c r="E532" s="1400"/>
      <c r="F532" s="1400"/>
      <c r="G532" s="1400"/>
      <c r="H532" s="1401"/>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89" t="s">
        <v>590</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2121</v>
      </c>
    </row>
    <row r="533" spans="1:66" ht="13" customHeight="1">
      <c r="B533" s="1399"/>
      <c r="C533" s="1400"/>
      <c r="D533" s="1400"/>
      <c r="E533" s="1400"/>
      <c r="F533" s="1400"/>
      <c r="G533" s="1400"/>
      <c r="H533" s="1401"/>
      <c r="I533" t="s">
        <v>421</v>
      </c>
      <c r="AC533" s="1389" t="s">
        <v>590</v>
      </c>
      <c r="AD533" s="1390"/>
      <c r="AE533" s="1390"/>
      <c r="AF533" s="1390"/>
      <c r="AG533" s="38" t="s">
        <v>403</v>
      </c>
      <c r="AH533" s="1428"/>
      <c r="AI533" s="1428"/>
      <c r="AJ533" s="1428"/>
      <c r="AK533" s="1429"/>
      <c r="AZ533" s="3"/>
      <c r="BA533" s="3"/>
      <c r="BB533" s="3"/>
      <c r="BC533" s="3"/>
      <c r="BD533" s="3"/>
      <c r="BE533" s="3"/>
      <c r="BF533" s="3"/>
      <c r="BG533" s="3"/>
      <c r="BH533" s="3"/>
      <c r="BI533" s="3"/>
      <c r="BJ533" s="3"/>
      <c r="BK533" s="3"/>
      <c r="BL533" s="3"/>
      <c r="BM533" s="3"/>
      <c r="BN533" s="3" t="s">
        <v>2122</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590</v>
      </c>
      <c r="AD534" s="1390"/>
      <c r="AE534" s="1390"/>
      <c r="AF534" s="1390"/>
      <c r="AG534" s="13" t="s">
        <v>403</v>
      </c>
      <c r="AH534" s="1428"/>
      <c r="AI534" s="1428"/>
      <c r="AJ534" s="1428"/>
      <c r="AK534" s="1429"/>
      <c r="AZ534" s="3"/>
      <c r="BA534" s="3"/>
      <c r="BB534" s="3"/>
      <c r="BC534" s="3"/>
      <c r="BD534" s="3"/>
      <c r="BE534" s="3"/>
      <c r="BF534" s="3"/>
      <c r="BG534" s="3"/>
      <c r="BH534" s="3"/>
      <c r="BI534" s="3"/>
      <c r="BJ534" s="3"/>
      <c r="BK534" s="3"/>
      <c r="BL534" s="3"/>
      <c r="BM534" s="3"/>
      <c r="BN534" s="3" t="s">
        <v>2123</v>
      </c>
    </row>
    <row r="535" spans="1:66" ht="13" customHeight="1">
      <c r="B535" s="1399"/>
      <c r="C535" s="1400"/>
      <c r="D535" s="1400"/>
      <c r="E535" s="1400"/>
      <c r="F535" s="1400"/>
      <c r="G535" s="1400"/>
      <c r="H535" s="1401"/>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89" t="s">
        <v>590</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2124</v>
      </c>
    </row>
    <row r="536" spans="1:66" ht="13" customHeight="1">
      <c r="B536" s="1399"/>
      <c r="C536" s="1400"/>
      <c r="D536" s="1400"/>
      <c r="E536" s="1400"/>
      <c r="F536" s="1400"/>
      <c r="G536" s="1400"/>
      <c r="H536" s="1401"/>
      <c r="I536" t="s">
        <v>421</v>
      </c>
      <c r="AC536" s="1389" t="s">
        <v>590</v>
      </c>
      <c r="AD536" s="1390"/>
      <c r="AE536" s="1390"/>
      <c r="AF536" s="1390"/>
      <c r="AG536" s="13" t="s">
        <v>403</v>
      </c>
      <c r="AH536" s="1428"/>
      <c r="AI536" s="1428"/>
      <c r="AJ536" s="1428"/>
      <c r="AK536" s="1429"/>
      <c r="AZ536" s="3"/>
      <c r="BA536" s="3"/>
      <c r="BB536" s="3"/>
      <c r="BC536" s="3"/>
      <c r="BD536" s="3"/>
      <c r="BE536" s="3"/>
      <c r="BF536" s="3"/>
      <c r="BG536" s="3"/>
      <c r="BH536" s="3"/>
      <c r="BI536" s="3"/>
      <c r="BJ536" s="3"/>
      <c r="BK536" s="3"/>
      <c r="BL536" s="3"/>
      <c r="BM536" s="3"/>
      <c r="BN536" s="3" t="s">
        <v>2125</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590</v>
      </c>
      <c r="AD537" s="1390"/>
      <c r="AE537" s="1390"/>
      <c r="AF537" s="1390"/>
      <c r="AG537" s="38" t="s">
        <v>403</v>
      </c>
      <c r="AH537" s="1428"/>
      <c r="AI537" s="1428"/>
      <c r="AJ537" s="1428"/>
      <c r="AK537" s="1429"/>
      <c r="AZ537" s="3"/>
      <c r="BA537" s="3"/>
      <c r="BB537" s="3"/>
      <c r="BC537" s="3"/>
      <c r="BD537" s="3"/>
      <c r="BE537" s="3"/>
      <c r="BF537" s="3"/>
      <c r="BG537" s="3"/>
      <c r="BH537" s="3"/>
      <c r="BI537" s="3"/>
      <c r="BJ537" s="3"/>
      <c r="BK537" s="3"/>
      <c r="BL537" s="3"/>
      <c r="BM537" s="3"/>
      <c r="BN537" s="3" t="s">
        <v>2126</v>
      </c>
    </row>
    <row r="538" spans="1:66" ht="13" customHeight="1">
      <c r="B538" s="1399"/>
      <c r="C538" s="1400"/>
      <c r="D538" s="1400"/>
      <c r="E538" s="1400"/>
      <c r="F538" s="1400"/>
      <c r="G538" s="1400"/>
      <c r="H538" s="1401"/>
      <c r="I538" s="42" t="s">
        <v>561</v>
      </c>
      <c r="J538" s="42"/>
      <c r="K538" s="42"/>
      <c r="L538" s="42"/>
      <c r="M538" s="42"/>
      <c r="N538" s="42"/>
      <c r="O538" s="42"/>
      <c r="P538" s="42"/>
      <c r="Q538" s="42"/>
      <c r="R538" s="42"/>
      <c r="S538" s="42"/>
      <c r="T538" s="42"/>
      <c r="U538" s="42"/>
      <c r="V538" s="42"/>
      <c r="W538" s="42"/>
      <c r="AC538" s="1389">
        <v>10</v>
      </c>
      <c r="AD538" s="1390"/>
      <c r="AE538" s="1390"/>
      <c r="AF538" s="1390"/>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562</v>
      </c>
      <c r="AC539" s="1389">
        <v>5</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563</v>
      </c>
      <c r="AC540" s="1389">
        <v>5</v>
      </c>
      <c r="AD540" s="1390"/>
      <c r="AE540" s="1390"/>
      <c r="AF540" s="1390"/>
      <c r="AG540" s="38" t="s">
        <v>403</v>
      </c>
      <c r="AH540" s="1428">
        <v>2028</v>
      </c>
      <c r="AI540" s="1428"/>
      <c r="AJ540" s="1428"/>
      <c r="AK540" s="1429"/>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564</v>
      </c>
      <c r="AC541" s="1389">
        <v>5</v>
      </c>
      <c r="AD541" s="1390"/>
      <c r="AE541" s="1390"/>
      <c r="AF541" s="1390"/>
      <c r="AG541" s="38" t="s">
        <v>403</v>
      </c>
      <c r="AH541" s="1428">
        <v>2028</v>
      </c>
      <c r="AI541" s="1428"/>
      <c r="AJ541" s="1428"/>
      <c r="AK541" s="1429"/>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450</v>
      </c>
      <c r="J542" s="48"/>
      <c r="K542" s="48"/>
      <c r="L542" s="48"/>
      <c r="M542" s="48"/>
      <c r="N542" s="48"/>
      <c r="O542" s="48"/>
      <c r="P542" s="48"/>
      <c r="Q542" s="48"/>
      <c r="R542" s="48"/>
      <c r="S542" s="48"/>
      <c r="T542" s="48"/>
      <c r="U542" s="48"/>
      <c r="V542" s="48"/>
      <c r="W542" s="48"/>
      <c r="X542" s="48"/>
      <c r="Y542" s="48"/>
      <c r="Z542" s="48"/>
      <c r="AA542" s="48"/>
      <c r="AB542" s="48"/>
      <c r="AC542" s="1389">
        <v>11</v>
      </c>
      <c r="AD542" s="1390"/>
      <c r="AE542" s="1390"/>
      <c r="AF542" s="1390"/>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451</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2098</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2100</v>
      </c>
      <c r="C551" s="1397"/>
      <c r="D551" s="1397"/>
      <c r="E551" s="1397"/>
      <c r="F551" s="1397"/>
      <c r="G551" s="1397"/>
      <c r="H551" s="1397"/>
      <c r="I551" s="1397"/>
      <c r="J551" s="1397"/>
      <c r="K551" s="1397"/>
      <c r="L551" s="1398"/>
      <c r="M551" s="1396" t="s">
        <v>2101</v>
      </c>
      <c r="N551" s="1397"/>
      <c r="O551" s="1397"/>
      <c r="P551" s="1398"/>
      <c r="Q551" s="1396" t="s">
        <v>2127</v>
      </c>
      <c r="R551" s="1397"/>
      <c r="S551" s="1398"/>
      <c r="T551" s="1396" t="s">
        <v>2128</v>
      </c>
      <c r="U551" s="1397"/>
      <c r="V551" s="1398"/>
      <c r="W551" s="1396" t="s">
        <v>452</v>
      </c>
      <c r="X551" s="1397"/>
      <c r="Y551" s="1398"/>
      <c r="Z551" s="1396" t="s">
        <v>1849</v>
      </c>
      <c r="AA551" s="1397"/>
      <c r="AB551" s="1397"/>
      <c r="AC551" s="1397"/>
      <c r="AD551" s="1398"/>
      <c r="AE551" s="1396" t="s">
        <v>1674</v>
      </c>
      <c r="AF551" s="1397"/>
      <c r="AG551" s="1397"/>
      <c r="AH551" s="1398"/>
      <c r="AI551" s="1396" t="s">
        <v>1675</v>
      </c>
      <c r="AJ551" s="1397"/>
      <c r="AK551" s="1397"/>
      <c r="AL551" s="1398"/>
      <c r="AM551" s="1396" t="s">
        <v>453</v>
      </c>
      <c r="AN551" s="1397"/>
      <c r="AO551" s="1397"/>
      <c r="AP551" s="1397"/>
      <c r="AQ551" s="1397"/>
      <c r="AR551" s="1397"/>
      <c r="AS551" s="1398"/>
      <c r="BB551" s="3"/>
      <c r="BC551" s="3"/>
      <c r="BD551" s="3"/>
      <c r="BE551" s="3"/>
      <c r="BF551" s="3"/>
      <c r="BG551" s="3"/>
      <c r="BH551" s="3" t="s">
        <v>580</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40" t="s">
        <v>2678</v>
      </c>
      <c r="D554" s="1440"/>
      <c r="E554" s="1440"/>
      <c r="F554" s="1440"/>
      <c r="G554" s="1440"/>
      <c r="H554" s="1440"/>
      <c r="I554" s="1440"/>
      <c r="J554" s="1440"/>
      <c r="K554" s="1440"/>
      <c r="L554" s="1440"/>
      <c r="M554" s="1440" t="s">
        <v>2117</v>
      </c>
      <c r="N554" s="1440"/>
      <c r="O554" s="1440"/>
      <c r="P554" s="1440"/>
      <c r="Q554" s="1426">
        <v>36</v>
      </c>
      <c r="R554" s="1426"/>
      <c r="S554" s="1427"/>
      <c r="T554" s="1425"/>
      <c r="U554" s="1426"/>
      <c r="V554" s="1427"/>
      <c r="W554" s="1422">
        <v>0.06</v>
      </c>
      <c r="X554" s="1423"/>
      <c r="Y554" s="1424"/>
      <c r="Z554" s="1431" t="s">
        <v>2679</v>
      </c>
      <c r="AA554" s="1431"/>
      <c r="AB554" s="1431"/>
      <c r="AC554" s="1431"/>
      <c r="AD554" s="1431"/>
      <c r="AE554" s="1413">
        <v>1</v>
      </c>
      <c r="AF554" s="1414"/>
      <c r="AG554" s="1414"/>
      <c r="AH554" s="1415"/>
      <c r="AI554" s="1437"/>
      <c r="AJ554" s="1438"/>
      <c r="AK554" s="1438"/>
      <c r="AL554" s="1439"/>
      <c r="AM554" s="1466">
        <v>16000000</v>
      </c>
      <c r="AN554" s="1467"/>
      <c r="AO554" s="1467"/>
      <c r="AP554" s="1467"/>
      <c r="AQ554" s="1467"/>
      <c r="AR554" s="1467"/>
      <c r="AS554" s="1468"/>
      <c r="AT554" s="1148"/>
      <c r="AU554" s="1147"/>
      <c r="BB554" s="3"/>
      <c r="BC554" s="3"/>
      <c r="BD554" s="3"/>
      <c r="BE554" s="3"/>
      <c r="BF554" s="3"/>
      <c r="BG554" s="3"/>
      <c r="BH554" s="3"/>
      <c r="BI554" s="3"/>
    </row>
    <row r="555" spans="1:61" ht="13" customHeight="1">
      <c r="B555" s="52" t="s">
        <v>113</v>
      </c>
      <c r="C555" s="1441" t="s">
        <v>2678</v>
      </c>
      <c r="D555" s="1441"/>
      <c r="E555" s="1441"/>
      <c r="F555" s="1441"/>
      <c r="G555" s="1441"/>
      <c r="H555" s="1441"/>
      <c r="I555" s="1441"/>
      <c r="J555" s="1441"/>
      <c r="K555" s="1441"/>
      <c r="L555" s="1441"/>
      <c r="M555" s="1440" t="s">
        <v>2116</v>
      </c>
      <c r="N555" s="1440"/>
      <c r="O555" s="1440"/>
      <c r="P555" s="1440"/>
      <c r="Q555" s="1425">
        <v>36</v>
      </c>
      <c r="R555" s="1426"/>
      <c r="S555" s="1427"/>
      <c r="T555" s="1425"/>
      <c r="U555" s="1426"/>
      <c r="V555" s="1427"/>
      <c r="W555" s="1422">
        <v>6.5000000000000002E-2</v>
      </c>
      <c r="X555" s="1423"/>
      <c r="Y555" s="1424"/>
      <c r="Z555" s="1431" t="s">
        <v>2679</v>
      </c>
      <c r="AA555" s="1431"/>
      <c r="AB555" s="1431"/>
      <c r="AC555" s="1431"/>
      <c r="AD555" s="1431"/>
      <c r="AE555" s="1413">
        <v>2</v>
      </c>
      <c r="AF555" s="1414"/>
      <c r="AG555" s="1414"/>
      <c r="AH555" s="1415"/>
      <c r="AI555" s="1437"/>
      <c r="AJ555" s="1438"/>
      <c r="AK555" s="1438"/>
      <c r="AL555" s="1439"/>
      <c r="AM555" s="1466">
        <v>19854148</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3" customHeight="1">
      <c r="B556" s="52" t="s">
        <v>119</v>
      </c>
      <c r="C556" s="1441" t="s">
        <v>2680</v>
      </c>
      <c r="D556" s="1441"/>
      <c r="E556" s="1441"/>
      <c r="F556" s="1441"/>
      <c r="G556" s="1441"/>
      <c r="H556" s="1441"/>
      <c r="I556" s="1441"/>
      <c r="J556" s="1441"/>
      <c r="K556" s="1441"/>
      <c r="L556" s="1441"/>
      <c r="M556" s="1440" t="s">
        <v>2118</v>
      </c>
      <c r="N556" s="1440"/>
      <c r="O556" s="1440"/>
      <c r="P556" s="1440"/>
      <c r="Q556" s="1425">
        <v>36</v>
      </c>
      <c r="R556" s="1426"/>
      <c r="S556" s="1427"/>
      <c r="T556" s="1425"/>
      <c r="U556" s="1426"/>
      <c r="V556" s="1427"/>
      <c r="W556" s="1422">
        <v>0.08</v>
      </c>
      <c r="X556" s="1423"/>
      <c r="Y556" s="1424"/>
      <c r="Z556" s="1431" t="s">
        <v>2679</v>
      </c>
      <c r="AA556" s="1431"/>
      <c r="AB556" s="1431"/>
      <c r="AC556" s="1431"/>
      <c r="AD556" s="1431"/>
      <c r="AE556" s="1413">
        <v>3</v>
      </c>
      <c r="AF556" s="1414"/>
      <c r="AG556" s="1414"/>
      <c r="AH556" s="1415"/>
      <c r="AI556" s="1437"/>
      <c r="AJ556" s="1438"/>
      <c r="AK556" s="1438"/>
      <c r="AL556" s="1439"/>
      <c r="AM556" s="1466">
        <v>5000000</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3" customHeight="1">
      <c r="B557" s="52" t="s">
        <v>580</v>
      </c>
      <c r="C557" s="1441" t="s">
        <v>2747</v>
      </c>
      <c r="D557" s="1441"/>
      <c r="E557" s="1441"/>
      <c r="F557" s="1441"/>
      <c r="G557" s="1441"/>
      <c r="H557" s="1441"/>
      <c r="I557" s="1441"/>
      <c r="J557" s="1441"/>
      <c r="K557" s="1441"/>
      <c r="L557" s="1441"/>
      <c r="M557" s="1440" t="s">
        <v>2113</v>
      </c>
      <c r="N557" s="1440"/>
      <c r="O557" s="1440"/>
      <c r="P557" s="1440"/>
      <c r="Q557" s="1425">
        <v>36</v>
      </c>
      <c r="R557" s="1426"/>
      <c r="S557" s="1427"/>
      <c r="T557" s="1425"/>
      <c r="U557" s="1426"/>
      <c r="V557" s="1427"/>
      <c r="W557" s="1422">
        <v>0.03</v>
      </c>
      <c r="X557" s="1423"/>
      <c r="Y557" s="1424"/>
      <c r="Z557" s="1431" t="s">
        <v>2679</v>
      </c>
      <c r="AA557" s="1431"/>
      <c r="AB557" s="1431"/>
      <c r="AC557" s="1431"/>
      <c r="AD557" s="1431"/>
      <c r="AE557" s="1413">
        <v>4</v>
      </c>
      <c r="AF557" s="1414"/>
      <c r="AG557" s="1414"/>
      <c r="AH557" s="1415"/>
      <c r="AI557" s="1437"/>
      <c r="AJ557" s="1438"/>
      <c r="AK557" s="1438"/>
      <c r="AL557" s="1439"/>
      <c r="AM557" s="1466">
        <v>3600000</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3" customHeight="1">
      <c r="B558" s="52" t="s">
        <v>761</v>
      </c>
      <c r="C558" s="1441" t="s">
        <v>2744</v>
      </c>
      <c r="D558" s="1441"/>
      <c r="E558" s="1441"/>
      <c r="F558" s="1441"/>
      <c r="G558" s="1441"/>
      <c r="H558" s="1441"/>
      <c r="I558" s="1441"/>
      <c r="J558" s="1441"/>
      <c r="K558" s="1441"/>
      <c r="L558" s="1441"/>
      <c r="M558" s="1440" t="s">
        <v>2114</v>
      </c>
      <c r="N558" s="1440"/>
      <c r="O558" s="1440"/>
      <c r="P558" s="1440"/>
      <c r="Q558" s="1425">
        <v>36</v>
      </c>
      <c r="R558" s="1426"/>
      <c r="S558" s="1427"/>
      <c r="T558" s="1425"/>
      <c r="U558" s="1426"/>
      <c r="V558" s="1427"/>
      <c r="W558" s="1422">
        <v>0.03</v>
      </c>
      <c r="X558" s="1423"/>
      <c r="Y558" s="1424"/>
      <c r="Z558" s="1431" t="s">
        <v>2679</v>
      </c>
      <c r="AA558" s="1431"/>
      <c r="AB558" s="1431"/>
      <c r="AC558" s="1431"/>
      <c r="AD558" s="1431"/>
      <c r="AE558" s="1413">
        <v>5</v>
      </c>
      <c r="AF558" s="1414"/>
      <c r="AG558" s="1414"/>
      <c r="AH558" s="1415"/>
      <c r="AI558" s="1437"/>
      <c r="AJ558" s="1438"/>
      <c r="AK558" s="1438"/>
      <c r="AL558" s="1439"/>
      <c r="AM558" s="1466">
        <v>580000</v>
      </c>
      <c r="AN558" s="1467"/>
      <c r="AO558" s="1467"/>
      <c r="AP558" s="1467"/>
      <c r="AQ558" s="1467"/>
      <c r="AR558" s="1467"/>
      <c r="AS558" s="1468"/>
      <c r="AT558" s="1148" t="str">
        <f t="shared" ref="AT558:AT565" si="0">IF(AND(NOT(C557=""),C558="",NOT(C559="")),"!","")</f>
        <v/>
      </c>
      <c r="AU558" s="1147"/>
      <c r="BB558" s="3"/>
      <c r="BC558" s="3"/>
      <c r="BD558" s="3"/>
      <c r="BE558" s="3"/>
      <c r="BF558" s="3"/>
      <c r="BG558" s="3"/>
      <c r="BH558" s="3" t="s">
        <v>761</v>
      </c>
      <c r="BI558" s="3" t="str">
        <f>N665</f>
        <v>Yes</v>
      </c>
    </row>
    <row r="559" spans="1:61" ht="13" customHeight="1">
      <c r="B559" s="52" t="s">
        <v>583</v>
      </c>
      <c r="C559" s="1441" t="s">
        <v>2745</v>
      </c>
      <c r="D559" s="1441"/>
      <c r="E559" s="1441"/>
      <c r="F559" s="1441"/>
      <c r="G559" s="1441"/>
      <c r="H559" s="1441"/>
      <c r="I559" s="1441"/>
      <c r="J559" s="1441"/>
      <c r="K559" s="1441"/>
      <c r="L559" s="1441"/>
      <c r="M559" s="1440" t="s">
        <v>2113</v>
      </c>
      <c r="N559" s="1440"/>
      <c r="O559" s="1440"/>
      <c r="P559" s="1440"/>
      <c r="Q559" s="1425">
        <v>36</v>
      </c>
      <c r="R559" s="1426"/>
      <c r="S559" s="1427"/>
      <c r="T559" s="1425"/>
      <c r="U559" s="1426"/>
      <c r="V559" s="1427"/>
      <c r="W559" s="1422">
        <v>0.03</v>
      </c>
      <c r="X559" s="1423"/>
      <c r="Y559" s="1424"/>
      <c r="Z559" s="1431" t="s">
        <v>2679</v>
      </c>
      <c r="AA559" s="1431"/>
      <c r="AB559" s="1431"/>
      <c r="AC559" s="1431"/>
      <c r="AD559" s="1431"/>
      <c r="AE559" s="1413">
        <v>6</v>
      </c>
      <c r="AF559" s="1414"/>
      <c r="AG559" s="1414"/>
      <c r="AH559" s="1415"/>
      <c r="AI559" s="1437"/>
      <c r="AJ559" s="1438"/>
      <c r="AK559" s="1438"/>
      <c r="AL559" s="1439"/>
      <c r="AM559" s="1466">
        <v>230551</v>
      </c>
      <c r="AN559" s="1467"/>
      <c r="AO559" s="1467"/>
      <c r="AP559" s="1467"/>
      <c r="AQ559" s="1467"/>
      <c r="AR559" s="1467"/>
      <c r="AS559" s="1468"/>
      <c r="AT559" s="1148" t="str">
        <f t="shared" si="0"/>
        <v/>
      </c>
      <c r="AU559" s="1147"/>
      <c r="BB559" s="3"/>
      <c r="BC559" s="3"/>
      <c r="BD559" s="3"/>
      <c r="BE559" s="3"/>
      <c r="BF559" s="3"/>
      <c r="BG559" s="3"/>
      <c r="BH559" s="3" t="s">
        <v>583</v>
      </c>
      <c r="BI559" s="3" t="str">
        <f>AG665</f>
        <v>Yes</v>
      </c>
    </row>
    <row r="560" spans="1:61" ht="13" customHeight="1">
      <c r="B560" s="52" t="s">
        <v>454</v>
      </c>
      <c r="C560" s="1441" t="s">
        <v>2630</v>
      </c>
      <c r="D560" s="1441"/>
      <c r="E560" s="1441"/>
      <c r="F560" s="1441"/>
      <c r="G560" s="1441"/>
      <c r="H560" s="1441"/>
      <c r="I560" s="1441"/>
      <c r="J560" s="1441"/>
      <c r="K560" s="1441"/>
      <c r="L560" s="1441"/>
      <c r="M560" s="1440" t="s">
        <v>2104</v>
      </c>
      <c r="N560" s="1440"/>
      <c r="O560" s="1440"/>
      <c r="P560" s="1440"/>
      <c r="Q560" s="1425"/>
      <c r="R560" s="1426"/>
      <c r="S560" s="1427"/>
      <c r="T560" s="1425"/>
      <c r="U560" s="1426"/>
      <c r="V560" s="1427"/>
      <c r="W560" s="1422"/>
      <c r="X560" s="1423"/>
      <c r="Y560" s="1424"/>
      <c r="Z560" s="1431" t="s">
        <v>590</v>
      </c>
      <c r="AA560" s="1431"/>
      <c r="AB560" s="1431"/>
      <c r="AC560" s="1431"/>
      <c r="AD560" s="1431"/>
      <c r="AE560" s="1413"/>
      <c r="AF560" s="1414"/>
      <c r="AG560" s="1414"/>
      <c r="AH560" s="1415"/>
      <c r="AI560" s="1437"/>
      <c r="AJ560" s="1438"/>
      <c r="AK560" s="1438"/>
      <c r="AL560" s="1439"/>
      <c r="AM560" s="1466">
        <v>7194198</v>
      </c>
      <c r="AN560" s="1467"/>
      <c r="AO560" s="1467"/>
      <c r="AP560" s="1467"/>
      <c r="AQ560" s="1467"/>
      <c r="AR560" s="1467"/>
      <c r="AS560" s="1468"/>
      <c r="AT560" s="1148" t="str">
        <f t="shared" si="0"/>
        <v/>
      </c>
      <c r="AU560" s="1147"/>
      <c r="BB560" s="3"/>
      <c r="BC560" s="3"/>
      <c r="BD560" s="3"/>
      <c r="BE560" s="3"/>
      <c r="BF560" s="3"/>
      <c r="BG560" s="3"/>
      <c r="BH560" s="3"/>
      <c r="BI560" s="3"/>
    </row>
    <row r="561" spans="1:61" ht="13" customHeight="1">
      <c r="B561" s="52" t="s">
        <v>455</v>
      </c>
      <c r="C561" s="1441" t="s">
        <v>2748</v>
      </c>
      <c r="D561" s="1441"/>
      <c r="E561" s="1441"/>
      <c r="F561" s="1441"/>
      <c r="G561" s="1441"/>
      <c r="H561" s="1441"/>
      <c r="I561" s="1441"/>
      <c r="J561" s="1441"/>
      <c r="K561" s="1441"/>
      <c r="L561" s="1441"/>
      <c r="M561" s="1440" t="s">
        <v>2103</v>
      </c>
      <c r="N561" s="1440"/>
      <c r="O561" s="1440"/>
      <c r="P561" s="1440"/>
      <c r="Q561" s="1425"/>
      <c r="R561" s="1426"/>
      <c r="S561" s="1427"/>
      <c r="T561" s="1425"/>
      <c r="U561" s="1426"/>
      <c r="V561" s="1427"/>
      <c r="W561" s="1422"/>
      <c r="X561" s="1423"/>
      <c r="Y561" s="1424"/>
      <c r="Z561" s="1431" t="s">
        <v>590</v>
      </c>
      <c r="AA561" s="1431"/>
      <c r="AB561" s="1431"/>
      <c r="AC561" s="1431"/>
      <c r="AD561" s="1431"/>
      <c r="AE561" s="1413"/>
      <c r="AF561" s="1414"/>
      <c r="AG561" s="1414"/>
      <c r="AH561" s="1415"/>
      <c r="AI561" s="1437"/>
      <c r="AJ561" s="1438"/>
      <c r="AK561" s="1438"/>
      <c r="AL561" s="1439"/>
      <c r="AM561" s="1466">
        <v>371505</v>
      </c>
      <c r="AN561" s="1467"/>
      <c r="AO561" s="1467"/>
      <c r="AP561" s="1467"/>
      <c r="AQ561" s="1467"/>
      <c r="AR561" s="1467"/>
      <c r="AS561" s="1468"/>
      <c r="AT561" s="1148" t="str">
        <f t="shared" si="0"/>
        <v/>
      </c>
      <c r="AU561" s="1147"/>
      <c r="BB561" s="3"/>
      <c r="BC561" s="3"/>
      <c r="BD561" s="3"/>
      <c r="BE561" s="3"/>
      <c r="BF561" s="3"/>
      <c r="BG561" s="3"/>
      <c r="BH561" s="3"/>
      <c r="BI561" s="3"/>
    </row>
    <row r="562" spans="1:61" ht="13" customHeight="1">
      <c r="B562" s="52" t="s">
        <v>460</v>
      </c>
      <c r="C562" s="1441" t="s">
        <v>2656</v>
      </c>
      <c r="D562" s="1441"/>
      <c r="E562" s="1441"/>
      <c r="F562" s="1441"/>
      <c r="G562" s="1441"/>
      <c r="H562" s="1441"/>
      <c r="I562" s="1441"/>
      <c r="J562" s="1441"/>
      <c r="K562" s="1441"/>
      <c r="L562" s="1441"/>
      <c r="M562" s="1440" t="s">
        <v>2108</v>
      </c>
      <c r="N562" s="1440"/>
      <c r="O562" s="1440"/>
      <c r="P562" s="1440"/>
      <c r="Q562" s="1425"/>
      <c r="R562" s="1426"/>
      <c r="S562" s="1427"/>
      <c r="T562" s="1425"/>
      <c r="U562" s="1426"/>
      <c r="V562" s="1427"/>
      <c r="W562" s="1422"/>
      <c r="X562" s="1423"/>
      <c r="Y562" s="1424"/>
      <c r="Z562" s="1431" t="s">
        <v>590</v>
      </c>
      <c r="AA562" s="1431"/>
      <c r="AB562" s="1431"/>
      <c r="AC562" s="1431"/>
      <c r="AD562" s="1431"/>
      <c r="AE562" s="1413"/>
      <c r="AF562" s="1414"/>
      <c r="AG562" s="1414"/>
      <c r="AH562" s="1415"/>
      <c r="AI562" s="1437"/>
      <c r="AJ562" s="1438"/>
      <c r="AK562" s="1438"/>
      <c r="AL562" s="1439"/>
      <c r="AM562" s="1466">
        <v>3589872</v>
      </c>
      <c r="AN562" s="1467"/>
      <c r="AO562" s="1467"/>
      <c r="AP562" s="1467"/>
      <c r="AQ562" s="1467"/>
      <c r="AR562" s="1467"/>
      <c r="AS562" s="1468"/>
      <c r="AT562" s="1148" t="str">
        <f t="shared" si="0"/>
        <v/>
      </c>
      <c r="AU562" s="1147"/>
      <c r="BB562" s="3"/>
      <c r="BC562" s="3"/>
      <c r="BD562" s="3"/>
      <c r="BE562" s="3"/>
      <c r="BF562" s="3"/>
      <c r="BG562" s="3"/>
      <c r="BH562" s="3"/>
      <c r="BI562" s="3"/>
    </row>
    <row r="563" spans="1:61" ht="13" customHeight="1">
      <c r="B563" s="52" t="s">
        <v>644</v>
      </c>
      <c r="C563" s="1441"/>
      <c r="D563" s="1441"/>
      <c r="E563" s="1441"/>
      <c r="F563" s="1441"/>
      <c r="G563" s="1441"/>
      <c r="H563" s="1441"/>
      <c r="I563" s="1441"/>
      <c r="J563" s="1441"/>
      <c r="K563" s="1441"/>
      <c r="L563" s="1441"/>
      <c r="M563" s="1440"/>
      <c r="N563" s="1440"/>
      <c r="O563" s="1440"/>
      <c r="P563" s="1440"/>
      <c r="Q563" s="1425"/>
      <c r="R563" s="1426"/>
      <c r="S563" s="1427"/>
      <c r="T563" s="1425"/>
      <c r="U563" s="1426"/>
      <c r="V563" s="1427"/>
      <c r="W563" s="1422"/>
      <c r="X563" s="1423"/>
      <c r="Y563" s="1424"/>
      <c r="Z563" s="1431"/>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3" customHeight="1">
      <c r="B564" s="52" t="s">
        <v>362</v>
      </c>
      <c r="C564" s="1441"/>
      <c r="D564" s="1441"/>
      <c r="E564" s="1441"/>
      <c r="F564" s="1441"/>
      <c r="G564" s="1441"/>
      <c r="H564" s="1441"/>
      <c r="I564" s="1441"/>
      <c r="J564" s="1441"/>
      <c r="K564" s="1441"/>
      <c r="L564" s="1441"/>
      <c r="M564" s="1440"/>
      <c r="N564" s="1440"/>
      <c r="O564" s="1440"/>
      <c r="P564" s="1440"/>
      <c r="Q564" s="1425"/>
      <c r="R564" s="1426"/>
      <c r="S564" s="1427"/>
      <c r="T564" s="1425"/>
      <c r="U564" s="1426"/>
      <c r="V564" s="1427"/>
      <c r="W564" s="1422"/>
      <c r="X564" s="1423"/>
      <c r="Y564" s="1424"/>
      <c r="Z564" s="1431"/>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3" customHeight="1">
      <c r="B565" s="52" t="s">
        <v>363</v>
      </c>
      <c r="C565" s="1441"/>
      <c r="D565" s="1441"/>
      <c r="E565" s="1441"/>
      <c r="F565" s="1441"/>
      <c r="G565" s="1441"/>
      <c r="H565" s="1441"/>
      <c r="I565" s="1441"/>
      <c r="J565" s="1441"/>
      <c r="K565" s="1441"/>
      <c r="L565" s="1441"/>
      <c r="M565" s="1440"/>
      <c r="N565" s="1440"/>
      <c r="O565" s="1440"/>
      <c r="P565" s="1440"/>
      <c r="Q565" s="1425"/>
      <c r="R565" s="1426"/>
      <c r="S565" s="1427"/>
      <c r="T565" s="1425"/>
      <c r="U565" s="1426"/>
      <c r="V565" s="1427"/>
      <c r="W565" s="1422"/>
      <c r="X565" s="1423"/>
      <c r="Y565" s="1424"/>
      <c r="Z565" s="1431"/>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3"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4">
        <f>SUM(AM554:AS565)</f>
        <v>56420274</v>
      </c>
      <c r="AN566" s="1475"/>
      <c r="AO566" s="1475"/>
      <c r="AP566" s="1475"/>
      <c r="AQ566" s="1475"/>
      <c r="AR566" s="1475"/>
      <c r="AS566" s="1476"/>
      <c r="BB566" s="3"/>
      <c r="BC566" s="3"/>
      <c r="BD566" s="3"/>
      <c r="BE566" s="3"/>
      <c r="BF566" s="3"/>
      <c r="BG566" s="3"/>
      <c r="BH566" s="3" t="s">
        <v>454</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3" customHeight="1">
      <c r="A568" s="55" t="s">
        <v>112</v>
      </c>
      <c r="B568" t="s">
        <v>462</v>
      </c>
      <c r="G568" s="1485" t="str">
        <f>C554</f>
        <v>Citibank, N.A.</v>
      </c>
      <c r="H568" s="1485"/>
      <c r="I568" s="1485"/>
      <c r="J568" s="1485"/>
      <c r="K568" s="1485"/>
      <c r="L568" s="1485"/>
      <c r="M568" s="1485"/>
      <c r="N568" s="1485"/>
      <c r="O568" s="1485"/>
      <c r="P568" s="1485"/>
      <c r="Q568" s="1485"/>
      <c r="R568" s="1485"/>
      <c r="S568" s="8"/>
      <c r="T568" s="55" t="s">
        <v>113</v>
      </c>
      <c r="U568" t="s">
        <v>462</v>
      </c>
      <c r="Z568" s="1485" t="str">
        <f>C555</f>
        <v>Citibank, N.A.</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3" customHeight="1">
      <c r="A569" s="22"/>
      <c r="B569" t="s">
        <v>85</v>
      </c>
      <c r="G569" s="1407" t="s">
        <v>2681</v>
      </c>
      <c r="H569" s="1408"/>
      <c r="I569" s="1408"/>
      <c r="J569" s="1408"/>
      <c r="K569" s="1408"/>
      <c r="L569" s="1408"/>
      <c r="M569" s="1408"/>
      <c r="N569" s="1408"/>
      <c r="O569" s="1408"/>
      <c r="P569" s="1408"/>
      <c r="Q569" s="1408"/>
      <c r="R569" s="1408"/>
      <c r="S569" s="8"/>
      <c r="T569" s="22"/>
      <c r="U569" t="s">
        <v>85</v>
      </c>
      <c r="Z569" s="1407" t="s">
        <v>2681</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 customHeight="1">
      <c r="A570" s="22"/>
      <c r="B570" t="s">
        <v>579</v>
      </c>
      <c r="G570" s="1407" t="s">
        <v>2682</v>
      </c>
      <c r="H570" s="1408"/>
      <c r="I570" s="1408"/>
      <c r="J570" s="1408"/>
      <c r="K570" s="1408"/>
      <c r="L570" s="1408"/>
      <c r="M570" s="1408"/>
      <c r="N570" s="1408"/>
      <c r="O570" s="1408"/>
      <c r="P570" s="1408"/>
      <c r="Q570" s="1408"/>
      <c r="R570" s="1408"/>
      <c r="T570" s="22"/>
      <c r="U570" t="s">
        <v>579</v>
      </c>
      <c r="Z570" s="1472" t="s">
        <v>2682</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2683</v>
      </c>
      <c r="H571" s="1408"/>
      <c r="I571" s="1408"/>
      <c r="J571" s="1408"/>
      <c r="K571" s="1408"/>
      <c r="L571" s="1408"/>
      <c r="M571" s="1408"/>
      <c r="N571" s="1408"/>
      <c r="O571" s="1408"/>
      <c r="P571" s="1408"/>
      <c r="Q571" s="1408"/>
      <c r="R571" s="1408"/>
      <c r="S571" s="8"/>
      <c r="T571" s="22"/>
      <c r="U571" t="s">
        <v>17</v>
      </c>
      <c r="Z571" s="1472" t="s">
        <v>2683</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489" t="s">
        <v>2684</v>
      </c>
      <c r="H572" s="1490"/>
      <c r="I572" s="1490"/>
      <c r="J572" s="1490"/>
      <c r="K572" s="1490"/>
      <c r="L572" s="1490"/>
      <c r="O572" s="33" t="s">
        <v>206</v>
      </c>
      <c r="P572" s="1473"/>
      <c r="Q572" s="1473"/>
      <c r="R572" s="1473"/>
      <c r="S572" s="10"/>
      <c r="T572" s="22"/>
      <c r="U572" t="s">
        <v>316</v>
      </c>
      <c r="Z572" s="1489" t="s">
        <v>2684</v>
      </c>
      <c r="AA572" s="1490"/>
      <c r="AB572" s="1490"/>
      <c r="AC572" s="1490"/>
      <c r="AD572" s="1490"/>
      <c r="AE572" s="1490"/>
      <c r="AH572" s="33" t="s">
        <v>206</v>
      </c>
      <c r="AI572" s="1473"/>
      <c r="AJ572" s="1473"/>
      <c r="AK572" s="1473"/>
      <c r="BB572" s="3"/>
      <c r="BC572" s="3"/>
      <c r="BD572" s="3"/>
      <c r="BE572" s="3"/>
      <c r="BF572" s="3"/>
      <c r="BG572" s="3"/>
      <c r="BH572" s="3"/>
      <c r="BI572" s="3"/>
    </row>
    <row r="573" spans="1:61" ht="13" customHeight="1">
      <c r="A573" s="22"/>
      <c r="B573" t="s">
        <v>18</v>
      </c>
      <c r="H573" s="1407" t="s">
        <v>2685</v>
      </c>
      <c r="I573" s="1408"/>
      <c r="J573" s="1408"/>
      <c r="K573" s="1408"/>
      <c r="L573" s="1408"/>
      <c r="M573" s="1408"/>
      <c r="N573" s="1408"/>
      <c r="O573" s="1408"/>
      <c r="P573" s="1408"/>
      <c r="Q573" s="1408"/>
      <c r="R573" s="1408"/>
      <c r="S573" s="8"/>
      <c r="T573" s="22"/>
      <c r="U573" t="s">
        <v>18</v>
      </c>
      <c r="AA573" s="1407" t="s">
        <v>2686</v>
      </c>
      <c r="AB573" s="1408"/>
      <c r="AC573" s="1408"/>
      <c r="AD573" s="1408"/>
      <c r="AE573" s="1408"/>
      <c r="AF573" s="1408"/>
      <c r="AG573" s="1408"/>
      <c r="AH573" s="1408"/>
      <c r="AI573" s="1408"/>
      <c r="AJ573" s="1408"/>
      <c r="AK573" s="1408"/>
      <c r="BB573" s="3"/>
      <c r="BC573" s="3"/>
      <c r="BD573" s="3"/>
      <c r="BE573" s="3"/>
      <c r="BF573" s="3"/>
      <c r="BG573" s="3"/>
      <c r="BH573" s="3"/>
      <c r="BI573" s="3"/>
    </row>
    <row r="574" spans="1:61" ht="13" customHeight="1">
      <c r="A574" s="22"/>
      <c r="B574" s="320" t="s">
        <v>1183</v>
      </c>
      <c r="H574" s="8"/>
      <c r="I574" s="8"/>
      <c r="J574" s="8"/>
      <c r="K574" s="8"/>
      <c r="L574" s="8"/>
      <c r="M574" s="1603" t="s">
        <v>590</v>
      </c>
      <c r="N574" s="1604"/>
      <c r="O574" s="1604"/>
      <c r="P574" s="1604"/>
      <c r="Q574" s="1604"/>
      <c r="R574" s="1604"/>
      <c r="S574" s="8"/>
      <c r="T574" s="22"/>
      <c r="U574" s="320" t="s">
        <v>1183</v>
      </c>
      <c r="AA574" s="8"/>
      <c r="AB574" s="8"/>
      <c r="AC574" s="8"/>
      <c r="AD574" s="8"/>
      <c r="AE574" s="8"/>
      <c r="AF574" s="1603" t="s">
        <v>590</v>
      </c>
      <c r="AG574" s="1604"/>
      <c r="AH574" s="1604"/>
      <c r="AI574" s="1604"/>
      <c r="AJ574" s="1604"/>
      <c r="AK574" s="1604"/>
      <c r="BB574" s="3"/>
      <c r="BC574" s="3"/>
      <c r="BD574" s="3"/>
      <c r="BE574" s="3"/>
      <c r="BF574" s="3"/>
      <c r="BG574" s="3"/>
      <c r="BH574" s="3"/>
      <c r="BI574" s="3"/>
    </row>
    <row r="575" spans="1:61" ht="13" customHeight="1">
      <c r="A575" s="22"/>
      <c r="B575" t="s">
        <v>20</v>
      </c>
      <c r="N575" s="1416" t="s">
        <v>544</v>
      </c>
      <c r="O575" s="1416"/>
      <c r="T575" s="22"/>
      <c r="U575" t="s">
        <v>20</v>
      </c>
      <c r="AG575" s="1416" t="s">
        <v>544</v>
      </c>
      <c r="AH575" s="1416"/>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462</v>
      </c>
      <c r="G577" s="1485" t="str">
        <f>C556</f>
        <v>Bonneville</v>
      </c>
      <c r="H577" s="1485"/>
      <c r="I577" s="1485"/>
      <c r="J577" s="1485"/>
      <c r="K577" s="1485"/>
      <c r="L577" s="1485"/>
      <c r="M577" s="1485"/>
      <c r="N577" s="1485"/>
      <c r="O577" s="1485"/>
      <c r="P577" s="1485"/>
      <c r="Q577" s="1485"/>
      <c r="R577" s="1485"/>
      <c r="T577" s="55" t="s">
        <v>580</v>
      </c>
      <c r="U577" t="s">
        <v>462</v>
      </c>
      <c r="Z577" s="1485" t="str">
        <f>C557</f>
        <v>HCD</v>
      </c>
      <c r="AA577" s="1485"/>
      <c r="AB577" s="1485"/>
      <c r="AC577" s="1485"/>
      <c r="AD577" s="1485"/>
      <c r="AE577" s="1485"/>
      <c r="AF577" s="1485"/>
      <c r="AG577" s="1485"/>
      <c r="AH577" s="1485"/>
      <c r="AI577" s="1485"/>
      <c r="AJ577" s="1485"/>
      <c r="AK577" s="1485"/>
      <c r="BB577" s="3"/>
      <c r="BC577" s="3"/>
    </row>
    <row r="578" spans="1:55" ht="13" customHeight="1">
      <c r="A578" s="22"/>
      <c r="B578" t="s">
        <v>85</v>
      </c>
      <c r="G578" s="1407" t="s">
        <v>2761</v>
      </c>
      <c r="H578" s="1408"/>
      <c r="I578" s="1408"/>
      <c r="J578" s="1408"/>
      <c r="K578" s="1408"/>
      <c r="L578" s="1408"/>
      <c r="M578" s="1408"/>
      <c r="N578" s="1408"/>
      <c r="O578" s="1408"/>
      <c r="P578" s="1408"/>
      <c r="Q578" s="1408"/>
      <c r="R578" s="1408"/>
      <c r="T578" s="22"/>
      <c r="U578" t="s">
        <v>85</v>
      </c>
      <c r="Z578" s="1407" t="s">
        <v>2749</v>
      </c>
      <c r="AA578" s="1408"/>
      <c r="AB578" s="1408"/>
      <c r="AC578" s="1408"/>
      <c r="AD578" s="1408"/>
      <c r="AE578" s="1408"/>
      <c r="AF578" s="1408"/>
      <c r="AG578" s="1408"/>
      <c r="AH578" s="1408"/>
      <c r="AI578" s="1408"/>
      <c r="AJ578" s="1408"/>
      <c r="AK578" s="1408"/>
      <c r="BB578" s="3"/>
      <c r="BC578" s="3"/>
    </row>
    <row r="579" spans="1:55" ht="13" customHeight="1">
      <c r="A579" s="22"/>
      <c r="B579" t="s">
        <v>579</v>
      </c>
      <c r="G579" s="1472" t="s">
        <v>2687</v>
      </c>
      <c r="H579" s="1371"/>
      <c r="I579" s="1371"/>
      <c r="J579" s="1371"/>
      <c r="K579" s="1371"/>
      <c r="L579" s="1371"/>
      <c r="M579" s="1371"/>
      <c r="N579" s="1371"/>
      <c r="O579" s="1371"/>
      <c r="P579" s="1371"/>
      <c r="Q579" s="1371"/>
      <c r="R579" s="1371"/>
      <c r="T579" s="22"/>
      <c r="U579" t="s">
        <v>579</v>
      </c>
      <c r="Z579" s="1472" t="s">
        <v>2750</v>
      </c>
      <c r="AA579" s="1371"/>
      <c r="AB579" s="1371"/>
      <c r="AC579" s="1371"/>
      <c r="AD579" s="1371"/>
      <c r="AE579" s="1371"/>
      <c r="AF579" s="1371"/>
      <c r="AG579" s="1371"/>
      <c r="AH579" s="1371"/>
      <c r="AI579" s="1371"/>
      <c r="AJ579" s="1371"/>
      <c r="AK579" s="1371"/>
      <c r="BB579" s="3"/>
      <c r="BC579" s="3"/>
    </row>
    <row r="580" spans="1:55" ht="13" customHeight="1">
      <c r="A580" s="22"/>
      <c r="B580" t="s">
        <v>17</v>
      </c>
      <c r="G580" s="1472" t="s">
        <v>2762</v>
      </c>
      <c r="H580" s="1371"/>
      <c r="I580" s="1371"/>
      <c r="J580" s="1371"/>
      <c r="K580" s="1371"/>
      <c r="L580" s="1371"/>
      <c r="M580" s="1371"/>
      <c r="N580" s="1371"/>
      <c r="O580" s="1371"/>
      <c r="P580" s="1371"/>
      <c r="Q580" s="1371"/>
      <c r="R580" s="1371"/>
      <c r="T580" s="22"/>
      <c r="U580" t="s">
        <v>17</v>
      </c>
      <c r="Z580" s="1472" t="s">
        <v>2751</v>
      </c>
      <c r="AA580" s="1371"/>
      <c r="AB580" s="1371"/>
      <c r="AC580" s="1371"/>
      <c r="AD580" s="1371"/>
      <c r="AE580" s="1371"/>
      <c r="AF580" s="1371"/>
      <c r="AG580" s="1371"/>
      <c r="AH580" s="1371"/>
      <c r="AI580" s="1371"/>
      <c r="AJ580" s="1371"/>
      <c r="AK580" s="1371"/>
      <c r="BB580" s="3"/>
      <c r="BC580" s="3"/>
    </row>
    <row r="581" spans="1:55" ht="13" customHeight="1">
      <c r="A581" s="22"/>
      <c r="B581" t="s">
        <v>316</v>
      </c>
      <c r="G581" s="1489" t="s">
        <v>2763</v>
      </c>
      <c r="H581" s="1490"/>
      <c r="I581" s="1490"/>
      <c r="J581" s="1490"/>
      <c r="K581" s="1490"/>
      <c r="L581" s="1490"/>
      <c r="O581" s="33" t="s">
        <v>206</v>
      </c>
      <c r="P581" s="1473"/>
      <c r="Q581" s="1473"/>
      <c r="R581" s="1473"/>
      <c r="T581" s="22"/>
      <c r="U581" t="s">
        <v>316</v>
      </c>
      <c r="Z581" s="1489" t="s">
        <v>2752</v>
      </c>
      <c r="AA581" s="1490"/>
      <c r="AB581" s="1490"/>
      <c r="AC581" s="1490"/>
      <c r="AD581" s="1490"/>
      <c r="AE581" s="1490"/>
      <c r="AH581" s="33" t="s">
        <v>206</v>
      </c>
      <c r="AI581" s="1473"/>
      <c r="AJ581" s="1473"/>
      <c r="AK581" s="1473"/>
      <c r="BB581" s="3"/>
      <c r="BC581" s="3"/>
    </row>
    <row r="582" spans="1:55" ht="13" customHeight="1">
      <c r="A582" s="22"/>
      <c r="B582" t="s">
        <v>18</v>
      </c>
      <c r="H582" s="1407" t="s">
        <v>2688</v>
      </c>
      <c r="I582" s="1408"/>
      <c r="J582" s="1408"/>
      <c r="K582" s="1408"/>
      <c r="L582" s="1408"/>
      <c r="M582" s="1408"/>
      <c r="N582" s="1408"/>
      <c r="O582" s="1408"/>
      <c r="P582" s="1408"/>
      <c r="Q582" s="1408"/>
      <c r="R582" s="1408"/>
      <c r="T582" s="22"/>
      <c r="U582" t="s">
        <v>18</v>
      </c>
      <c r="AA582" s="1407" t="s">
        <v>2753</v>
      </c>
      <c r="AB582" s="1408"/>
      <c r="AC582" s="1408"/>
      <c r="AD582" s="1408"/>
      <c r="AE582" s="1408"/>
      <c r="AF582" s="1408"/>
      <c r="AG582" s="1408"/>
      <c r="AH582" s="1408"/>
      <c r="AI582" s="1408"/>
      <c r="AJ582" s="1408"/>
      <c r="AK582" s="1408"/>
      <c r="BB582" s="3"/>
      <c r="BC582" s="3"/>
    </row>
    <row r="583" spans="1:55" ht="13" customHeight="1">
      <c r="A583" s="22"/>
      <c r="B583" t="s">
        <v>20</v>
      </c>
      <c r="N583" s="1416" t="s">
        <v>544</v>
      </c>
      <c r="O583" s="1416"/>
      <c r="T583" s="22"/>
      <c r="U583" t="s">
        <v>20</v>
      </c>
      <c r="AG583" s="1416" t="s">
        <v>544</v>
      </c>
      <c r="AH583" s="1416"/>
      <c r="BB583" s="3"/>
      <c r="BC583" s="3"/>
    </row>
    <row r="584" spans="1:55" ht="13" customHeight="1">
      <c r="A584" s="22"/>
      <c r="T584" s="22"/>
      <c r="BB584" s="3"/>
      <c r="BC584" s="3"/>
    </row>
    <row r="585" spans="1:55" ht="13" customHeight="1">
      <c r="A585" s="55" t="s">
        <v>761</v>
      </c>
      <c r="B585" t="s">
        <v>462</v>
      </c>
      <c r="G585" s="1485" t="str">
        <f>C558</f>
        <v>Town of Mammoth Lakes - Land Loan</v>
      </c>
      <c r="H585" s="1485"/>
      <c r="I585" s="1485"/>
      <c r="J585" s="1485"/>
      <c r="K585" s="1485"/>
      <c r="L585" s="1485"/>
      <c r="M585" s="1485"/>
      <c r="N585" s="1485"/>
      <c r="O585" s="1485"/>
      <c r="P585" s="1485"/>
      <c r="Q585" s="1485"/>
      <c r="R585" s="1485"/>
      <c r="T585" s="55" t="s">
        <v>583</v>
      </c>
      <c r="U585" t="s">
        <v>462</v>
      </c>
      <c r="Z585" s="1485" t="str">
        <f>C559</f>
        <v>Town of Mammoth Lakes - Fee Deferral Loan</v>
      </c>
      <c r="AA585" s="1485"/>
      <c r="AB585" s="1485"/>
      <c r="AC585" s="1485"/>
      <c r="AD585" s="1485"/>
      <c r="AE585" s="1485"/>
      <c r="AF585" s="1485"/>
      <c r="AG585" s="1485"/>
      <c r="AH585" s="1485"/>
      <c r="AI585" s="1485"/>
      <c r="AJ585" s="1485"/>
      <c r="AK585" s="1485"/>
      <c r="BB585" s="3"/>
      <c r="BC585" s="3"/>
    </row>
    <row r="586" spans="1:55" ht="13" customHeight="1">
      <c r="A586" s="22"/>
      <c r="B586" t="s">
        <v>85</v>
      </c>
      <c r="G586" s="1407" t="s">
        <v>2736</v>
      </c>
      <c r="H586" s="1408"/>
      <c r="I586" s="1408"/>
      <c r="J586" s="1408"/>
      <c r="K586" s="1408"/>
      <c r="L586" s="1408"/>
      <c r="M586" s="1408"/>
      <c r="N586" s="1408"/>
      <c r="O586" s="1408"/>
      <c r="P586" s="1408"/>
      <c r="Q586" s="1408"/>
      <c r="R586" s="1408"/>
      <c r="T586" s="22"/>
      <c r="U586" t="s">
        <v>85</v>
      </c>
      <c r="Z586" s="1407" t="s">
        <v>2736</v>
      </c>
      <c r="AA586" s="1408"/>
      <c r="AB586" s="1408"/>
      <c r="AC586" s="1408"/>
      <c r="AD586" s="1408"/>
      <c r="AE586" s="1408"/>
      <c r="AF586" s="1408"/>
      <c r="AG586" s="1408"/>
      <c r="AH586" s="1408"/>
      <c r="AI586" s="1408"/>
      <c r="AJ586" s="1408"/>
      <c r="AK586" s="1408"/>
      <c r="BB586" s="3"/>
      <c r="BC586" s="3"/>
    </row>
    <row r="587" spans="1:55" ht="13" customHeight="1">
      <c r="A587" s="22"/>
      <c r="B587" t="s">
        <v>579</v>
      </c>
      <c r="G587" s="1407" t="s">
        <v>2737</v>
      </c>
      <c r="H587" s="1408"/>
      <c r="I587" s="1408"/>
      <c r="J587" s="1408"/>
      <c r="K587" s="1408"/>
      <c r="L587" s="1408"/>
      <c r="M587" s="1408"/>
      <c r="N587" s="1408"/>
      <c r="O587" s="1408"/>
      <c r="P587" s="1408"/>
      <c r="Q587" s="1408"/>
      <c r="R587" s="1408"/>
      <c r="T587" s="22"/>
      <c r="U587" t="s">
        <v>579</v>
      </c>
      <c r="Z587" s="1472" t="s">
        <v>2737</v>
      </c>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2711</v>
      </c>
      <c r="H588" s="1408"/>
      <c r="I588" s="1408"/>
      <c r="J588" s="1408"/>
      <c r="K588" s="1408"/>
      <c r="L588" s="1408"/>
      <c r="M588" s="1408"/>
      <c r="N588" s="1408"/>
      <c r="O588" s="1408"/>
      <c r="P588" s="1408"/>
      <c r="Q588" s="1408"/>
      <c r="R588" s="1408"/>
      <c r="T588" s="22"/>
      <c r="U588" t="s">
        <v>17</v>
      </c>
      <c r="Z588" s="1472" t="s">
        <v>2711</v>
      </c>
      <c r="AA588" s="1371"/>
      <c r="AB588" s="1371"/>
      <c r="AC588" s="1371"/>
      <c r="AD588" s="1371"/>
      <c r="AE588" s="1371"/>
      <c r="AF588" s="1371"/>
      <c r="AG588" s="1371"/>
      <c r="AH588" s="1371"/>
      <c r="AI588" s="1371"/>
      <c r="AJ588" s="1371"/>
      <c r="AK588" s="1371"/>
    </row>
    <row r="589" spans="1:55" ht="13" customHeight="1">
      <c r="A589" s="22"/>
      <c r="B589" t="s">
        <v>316</v>
      </c>
      <c r="G589" s="1489" t="s">
        <v>2716</v>
      </c>
      <c r="H589" s="1490"/>
      <c r="I589" s="1490"/>
      <c r="J589" s="1490"/>
      <c r="K589" s="1490"/>
      <c r="L589" s="1490"/>
      <c r="O589" s="33" t="s">
        <v>206</v>
      </c>
      <c r="P589" s="1473"/>
      <c r="Q589" s="1473"/>
      <c r="R589" s="1473"/>
      <c r="T589" s="22"/>
      <c r="U589" t="s">
        <v>316</v>
      </c>
      <c r="Z589" s="1489" t="s">
        <v>2716</v>
      </c>
      <c r="AA589" s="1490"/>
      <c r="AB589" s="1490"/>
      <c r="AC589" s="1490"/>
      <c r="AD589" s="1490"/>
      <c r="AE589" s="1490"/>
      <c r="AH589" s="33" t="s">
        <v>206</v>
      </c>
      <c r="AI589" s="1473"/>
      <c r="AJ589" s="1473"/>
      <c r="AK589" s="1473"/>
      <c r="AZ589" s="3"/>
      <c r="BA589" s="3"/>
      <c r="BB589" s="3"/>
      <c r="BC589" s="3"/>
    </row>
    <row r="590" spans="1:55" ht="13" customHeight="1">
      <c r="A590" s="22"/>
      <c r="B590" t="s">
        <v>18</v>
      </c>
      <c r="H590" s="1407" t="s">
        <v>2754</v>
      </c>
      <c r="I590" s="1408"/>
      <c r="J590" s="1408"/>
      <c r="K590" s="1408"/>
      <c r="L590" s="1408"/>
      <c r="M590" s="1408"/>
      <c r="N590" s="1408"/>
      <c r="O590" s="1408"/>
      <c r="P590" s="1408"/>
      <c r="Q590" s="1408"/>
      <c r="R590" s="1408"/>
      <c r="T590" s="22"/>
      <c r="U590" t="s">
        <v>18</v>
      </c>
      <c r="AA590" s="1407" t="s">
        <v>2755</v>
      </c>
      <c r="AB590" s="1408"/>
      <c r="AC590" s="1408"/>
      <c r="AD590" s="1408"/>
      <c r="AE590" s="1408"/>
      <c r="AF590" s="1408"/>
      <c r="AG590" s="1408"/>
      <c r="AH590" s="1408"/>
      <c r="AI590" s="1408"/>
      <c r="AJ590" s="1408"/>
      <c r="AK590" s="1408"/>
      <c r="AZ590" s="3"/>
      <c r="BA590" s="3"/>
      <c r="BB590" s="3"/>
      <c r="BC590" s="3"/>
    </row>
    <row r="591" spans="1:55" ht="13" customHeight="1">
      <c r="A591" s="22"/>
      <c r="B591" t="s">
        <v>20</v>
      </c>
      <c r="N591" s="1416" t="s">
        <v>544</v>
      </c>
      <c r="O591" s="1416"/>
      <c r="T591" s="22"/>
      <c r="U591" t="s">
        <v>20</v>
      </c>
      <c r="AG591" s="1416" t="s">
        <v>544</v>
      </c>
      <c r="AH591" s="1416"/>
      <c r="AZ591" s="3"/>
      <c r="BA591" s="3"/>
      <c r="BB591" s="3"/>
      <c r="BC591" s="3"/>
    </row>
    <row r="592" spans="1:55" ht="13" customHeight="1">
      <c r="A592" s="22"/>
      <c r="T592" s="22"/>
      <c r="AZ592" s="3"/>
      <c r="BA592" s="3"/>
      <c r="BB592" s="3"/>
      <c r="BC592" s="3"/>
    </row>
    <row r="593" spans="1:55" ht="13" customHeight="1">
      <c r="A593" s="55" t="s">
        <v>454</v>
      </c>
      <c r="B593" t="s">
        <v>462</v>
      </c>
      <c r="G593" s="1485" t="str">
        <f>C560</f>
        <v>Pacific West Communities, Inc.</v>
      </c>
      <c r="H593" s="1485"/>
      <c r="I593" s="1485"/>
      <c r="J593" s="1485"/>
      <c r="K593" s="1485"/>
      <c r="L593" s="1485"/>
      <c r="M593" s="1485"/>
      <c r="N593" s="1485"/>
      <c r="O593" s="1485"/>
      <c r="P593" s="1485"/>
      <c r="Q593" s="1485"/>
      <c r="R593" s="1485"/>
      <c r="T593" s="55" t="s">
        <v>455</v>
      </c>
      <c r="U593" t="s">
        <v>462</v>
      </c>
      <c r="Z593" s="1485" t="str">
        <f>C561</f>
        <v>Mammoth Lakes Pacific Assoc. II</v>
      </c>
      <c r="AA593" s="1485"/>
      <c r="AB593" s="1485"/>
      <c r="AC593" s="1485"/>
      <c r="AD593" s="1485"/>
      <c r="AE593" s="1485"/>
      <c r="AF593" s="1485"/>
      <c r="AG593" s="1485"/>
      <c r="AH593" s="1485"/>
      <c r="AI593" s="1485"/>
      <c r="AJ593" s="1485"/>
      <c r="AK593" s="1485"/>
      <c r="AZ593" s="3"/>
      <c r="BA593" s="3"/>
      <c r="BB593" s="3"/>
      <c r="BC593" s="3"/>
    </row>
    <row r="594" spans="1:55" s="4" customFormat="1" ht="13" customHeight="1">
      <c r="A594" s="22"/>
      <c r="B594" t="s">
        <v>85</v>
      </c>
      <c r="C594"/>
      <c r="D594"/>
      <c r="E594"/>
      <c r="F594"/>
      <c r="G594" s="1408" t="s">
        <v>2614</v>
      </c>
      <c r="H594" s="1408"/>
      <c r="I594" s="1408"/>
      <c r="J594" s="1408"/>
      <c r="K594" s="1408"/>
      <c r="L594" s="1408"/>
      <c r="M594" s="1408"/>
      <c r="N594" s="1408"/>
      <c r="O594" s="1408"/>
      <c r="P594" s="1408"/>
      <c r="Q594" s="1408"/>
      <c r="R594" s="1408"/>
      <c r="S594"/>
      <c r="T594" s="22"/>
      <c r="U594" t="s">
        <v>85</v>
      </c>
      <c r="V594"/>
      <c r="W594"/>
      <c r="X594"/>
      <c r="Y594"/>
      <c r="Z594" s="1408" t="s">
        <v>2614</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 customHeight="1">
      <c r="A595" s="22"/>
      <c r="B595" t="s">
        <v>579</v>
      </c>
      <c r="C595"/>
      <c r="D595"/>
      <c r="E595"/>
      <c r="F595"/>
      <c r="G595" s="1408" t="s">
        <v>2635</v>
      </c>
      <c r="H595" s="1408"/>
      <c r="I595" s="1408"/>
      <c r="J595" s="1408"/>
      <c r="K595" s="1408"/>
      <c r="L595" s="1408"/>
      <c r="M595" s="1408"/>
      <c r="N595" s="1408"/>
      <c r="O595" s="1408"/>
      <c r="P595" s="1408"/>
      <c r="Q595" s="1408"/>
      <c r="R595" s="1408"/>
      <c r="S595"/>
      <c r="T595" s="22"/>
      <c r="U595" t="s">
        <v>579</v>
      </c>
      <c r="V595"/>
      <c r="W595"/>
      <c r="X595"/>
      <c r="Y595"/>
      <c r="Z595" s="1371" t="s">
        <v>2635</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8" t="s">
        <v>2612</v>
      </c>
      <c r="H596" s="1408"/>
      <c r="I596" s="1408"/>
      <c r="J596" s="1408"/>
      <c r="K596" s="1408"/>
      <c r="L596" s="1408"/>
      <c r="M596" s="1408"/>
      <c r="N596" s="1408"/>
      <c r="O596" s="1408"/>
      <c r="P596" s="1408"/>
      <c r="Q596" s="1408"/>
      <c r="R596" s="1408"/>
      <c r="S596"/>
      <c r="T596" s="22"/>
      <c r="U596" t="s">
        <v>17</v>
      </c>
      <c r="V596"/>
      <c r="W596"/>
      <c r="X596"/>
      <c r="Y596"/>
      <c r="Z596" s="1371" t="s">
        <v>2612</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9" t="s">
        <v>2616</v>
      </c>
      <c r="H597" s="1490"/>
      <c r="I597" s="1490"/>
      <c r="J597" s="1490"/>
      <c r="K597" s="1490"/>
      <c r="L597" s="1490"/>
      <c r="M597"/>
      <c r="N597"/>
      <c r="O597" s="33" t="s">
        <v>206</v>
      </c>
      <c r="P597" s="1473">
        <v>3015</v>
      </c>
      <c r="Q597" s="1473"/>
      <c r="R597" s="1473"/>
      <c r="S597"/>
      <c r="T597" s="22"/>
      <c r="U597" t="s">
        <v>316</v>
      </c>
      <c r="V597"/>
      <c r="W597"/>
      <c r="X597"/>
      <c r="Y597"/>
      <c r="Z597" s="1489" t="s">
        <v>2616</v>
      </c>
      <c r="AA597" s="1490"/>
      <c r="AB597" s="1490"/>
      <c r="AC597" s="1490"/>
      <c r="AD597" s="1490"/>
      <c r="AE597" s="1490"/>
      <c r="AF597"/>
      <c r="AG597"/>
      <c r="AH597" s="33" t="s">
        <v>206</v>
      </c>
      <c r="AI597" s="1473">
        <v>3015</v>
      </c>
      <c r="AJ597" s="1473"/>
      <c r="AK597" s="1473"/>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8" t="s">
        <v>2318</v>
      </c>
      <c r="I598" s="1408"/>
      <c r="J598" s="1408"/>
      <c r="K598" s="1408"/>
      <c r="L598" s="1408"/>
      <c r="M598" s="1408"/>
      <c r="N598" s="1408"/>
      <c r="O598" s="1408"/>
      <c r="P598" s="1408"/>
      <c r="Q598" s="1408"/>
      <c r="R598" s="1408"/>
      <c r="S598"/>
      <c r="T598" s="22"/>
      <c r="U598" t="s">
        <v>18</v>
      </c>
      <c r="V598"/>
      <c r="W598"/>
      <c r="X598"/>
      <c r="Y598"/>
      <c r="Z598"/>
      <c r="AA598" s="1408" t="s">
        <v>2689</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 customHeight="1">
      <c r="A599" s="22"/>
      <c r="B599" t="s">
        <v>20</v>
      </c>
      <c r="N599" s="1416" t="s">
        <v>544</v>
      </c>
      <c r="O599" s="1416"/>
      <c r="T599" s="22"/>
      <c r="U599" t="s">
        <v>20</v>
      </c>
      <c r="AG599" s="1416" t="s">
        <v>544</v>
      </c>
      <c r="AH599" s="1416"/>
      <c r="BB599" s="3"/>
      <c r="BC599" s="3"/>
    </row>
    <row r="600" spans="1:55" ht="13" customHeight="1">
      <c r="A600" s="22"/>
      <c r="T600" s="22"/>
      <c r="BB600" s="3"/>
      <c r="BC600" s="3"/>
    </row>
    <row r="601" spans="1:55" ht="13" customHeight="1">
      <c r="A601" s="55" t="s">
        <v>460</v>
      </c>
      <c r="B601" t="s">
        <v>462</v>
      </c>
      <c r="G601" s="1485" t="str">
        <f>C562</f>
        <v>Boston Financial</v>
      </c>
      <c r="H601" s="1485"/>
      <c r="I601" s="1485"/>
      <c r="J601" s="1485"/>
      <c r="K601" s="1485"/>
      <c r="L601" s="1485"/>
      <c r="M601" s="1485"/>
      <c r="N601" s="1485"/>
      <c r="O601" s="1485"/>
      <c r="P601" s="1485"/>
      <c r="Q601" s="1485"/>
      <c r="R601" s="1485"/>
      <c r="T601" s="55" t="s">
        <v>644</v>
      </c>
      <c r="U601" t="s">
        <v>462</v>
      </c>
      <c r="Z601" s="1485">
        <f>C563</f>
        <v>0</v>
      </c>
      <c r="AA601" s="1485"/>
      <c r="AB601" s="1485"/>
      <c r="AC601" s="1485"/>
      <c r="AD601" s="1485"/>
      <c r="AE601" s="1485"/>
      <c r="AF601" s="1485"/>
      <c r="AG601" s="1485"/>
      <c r="AH601" s="1485"/>
      <c r="AI601" s="1485"/>
      <c r="AJ601" s="1485"/>
      <c r="AK601" s="1485"/>
      <c r="BB601" s="3"/>
      <c r="BC601" s="3"/>
    </row>
    <row r="602" spans="1:55" ht="13" customHeight="1">
      <c r="A602" s="22"/>
      <c r="B602" t="s">
        <v>85</v>
      </c>
      <c r="G602" s="1408" t="s">
        <v>2657</v>
      </c>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 customHeight="1">
      <c r="A603" s="22"/>
      <c r="B603" t="s">
        <v>579</v>
      </c>
      <c r="G603" s="1408" t="s">
        <v>2658</v>
      </c>
      <c r="H603" s="1408"/>
      <c r="I603" s="1408"/>
      <c r="J603" s="1408"/>
      <c r="K603" s="1408"/>
      <c r="L603" s="1408"/>
      <c r="M603" s="1408"/>
      <c r="N603" s="1408"/>
      <c r="O603" s="1408"/>
      <c r="P603" s="1408"/>
      <c r="Q603" s="1408"/>
      <c r="R603" s="1408"/>
      <c r="T603" s="22"/>
      <c r="U603" t="s">
        <v>579</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8" t="s">
        <v>2659</v>
      </c>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9" t="s">
        <v>2660</v>
      </c>
      <c r="H605" s="1490"/>
      <c r="I605" s="1490"/>
      <c r="J605" s="1490"/>
      <c r="K605" s="1490"/>
      <c r="L605" s="1490"/>
      <c r="M605"/>
      <c r="N605"/>
      <c r="O605" s="33" t="s">
        <v>206</v>
      </c>
      <c r="P605" s="1473"/>
      <c r="Q605" s="1473"/>
      <c r="R605" s="1473"/>
      <c r="S605"/>
      <c r="T605" s="22"/>
      <c r="U605" t="s">
        <v>316</v>
      </c>
      <c r="V605"/>
      <c r="W605"/>
      <c r="X605"/>
      <c r="Y605"/>
      <c r="Z605" s="1490"/>
      <c r="AA605" s="1490"/>
      <c r="AB605" s="1490"/>
      <c r="AC605" s="1490"/>
      <c r="AD605" s="1490"/>
      <c r="AE605" s="1490"/>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8" t="s">
        <v>2690</v>
      </c>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6" t="s">
        <v>667</v>
      </c>
      <c r="O607" s="1416"/>
      <c r="P607"/>
      <c r="Q607"/>
      <c r="R607"/>
      <c r="S607"/>
      <c r="T607" s="22"/>
      <c r="U607" t="s">
        <v>20</v>
      </c>
      <c r="V607"/>
      <c r="W607"/>
      <c r="X607"/>
      <c r="Y607"/>
      <c r="Z607"/>
      <c r="AA607"/>
      <c r="AB607"/>
      <c r="AC607"/>
      <c r="AD607"/>
      <c r="AE607"/>
      <c r="AF607"/>
      <c r="AG607" s="1416" t="s">
        <v>667</v>
      </c>
      <c r="AH607" s="1416"/>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462</v>
      </c>
      <c r="G609" s="1485">
        <f>C564</f>
        <v>0</v>
      </c>
      <c r="H609" s="1485"/>
      <c r="I609" s="1485"/>
      <c r="J609" s="1485"/>
      <c r="K609" s="1485"/>
      <c r="L609" s="1485"/>
      <c r="M609" s="1485"/>
      <c r="N609" s="1485"/>
      <c r="O609" s="1485"/>
      <c r="P609" s="1485"/>
      <c r="Q609" s="1485"/>
      <c r="R609" s="1485"/>
      <c r="T609" s="55" t="s">
        <v>363</v>
      </c>
      <c r="U609" t="s">
        <v>462</v>
      </c>
      <c r="Z609" s="1485">
        <f>C565</f>
        <v>0</v>
      </c>
      <c r="AA609" s="1485"/>
      <c r="AB609" s="1485"/>
      <c r="AC609" s="1485"/>
      <c r="AD609" s="1485"/>
      <c r="AE609" s="1485"/>
      <c r="AF609" s="1485"/>
      <c r="AG609" s="1485"/>
      <c r="AH609" s="1485"/>
      <c r="AI609" s="1485"/>
      <c r="AJ609" s="1485"/>
      <c r="AK609" s="1485"/>
      <c r="AZ609" s="3"/>
      <c r="BA609" s="3"/>
      <c r="BB609" s="3"/>
      <c r="BC609" s="3"/>
    </row>
    <row r="610" spans="1:55" ht="13"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 customHeight="1">
      <c r="B611" t="s">
        <v>579</v>
      </c>
      <c r="G611" s="1408"/>
      <c r="H611" s="1408"/>
      <c r="I611" s="1408"/>
      <c r="J611" s="1408"/>
      <c r="K611" s="1408"/>
      <c r="L611" s="1408"/>
      <c r="M611" s="1408"/>
      <c r="N611" s="1408"/>
      <c r="O611" s="1408"/>
      <c r="P611" s="1408"/>
      <c r="Q611" s="1408"/>
      <c r="R611" s="1408"/>
      <c r="U611" t="s">
        <v>579</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90"/>
      <c r="H613" s="1490"/>
      <c r="I613" s="1490"/>
      <c r="J613" s="1490"/>
      <c r="K613" s="1490"/>
      <c r="L613" s="1490"/>
      <c r="O613" s="33" t="s">
        <v>206</v>
      </c>
      <c r="P613" s="1473"/>
      <c r="Q613" s="1473"/>
      <c r="R613" s="1473"/>
      <c r="U613" t="s">
        <v>316</v>
      </c>
      <c r="Z613" s="1490"/>
      <c r="AA613" s="1490"/>
      <c r="AB613" s="1490"/>
      <c r="AC613" s="1490"/>
      <c r="AD613" s="1490"/>
      <c r="AE613" s="1490"/>
      <c r="AH613" s="33" t="s">
        <v>206</v>
      </c>
      <c r="AI613" s="1473"/>
      <c r="AJ613" s="1473"/>
      <c r="AK613" s="1473"/>
      <c r="AZ613" s="3"/>
      <c r="BA613" s="3"/>
      <c r="BB613" s="3"/>
      <c r="BC613" s="3"/>
    </row>
    <row r="614" spans="1:55" ht="13"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3" customHeight="1">
      <c r="B615" t="s">
        <v>20</v>
      </c>
      <c r="N615" s="1416" t="s">
        <v>667</v>
      </c>
      <c r="O615" s="1416"/>
      <c r="U615" t="s">
        <v>20</v>
      </c>
      <c r="AG615" s="1416" t="s">
        <v>667</v>
      </c>
      <c r="AH615" s="1416"/>
      <c r="AU615" s="899"/>
      <c r="AV615" s="899"/>
      <c r="AW615" s="899"/>
      <c r="AX615" s="899"/>
      <c r="AY615" s="899"/>
      <c r="AZ615" s="3"/>
      <c r="BA615" s="3"/>
      <c r="BB615" s="3"/>
      <c r="BC615" s="3"/>
    </row>
    <row r="616" spans="1:55" ht="13" customHeight="1">
      <c r="AZ616" s="3"/>
      <c r="BA616" s="3"/>
      <c r="BB616" s="3"/>
      <c r="BC616" s="3"/>
    </row>
    <row r="617" spans="1:55" ht="13"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2098</v>
      </c>
      <c r="AZ622" s="3"/>
      <c r="BA622" s="3"/>
      <c r="BB622" s="3"/>
      <c r="BC622" s="3"/>
    </row>
    <row r="623" spans="1:55" ht="13" customHeight="1">
      <c r="B623" s="512"/>
      <c r="C623" s="2"/>
      <c r="AU623" s="3"/>
      <c r="AZ623" s="3"/>
      <c r="BA623" s="3"/>
      <c r="BB623" s="3"/>
      <c r="BC623" s="3"/>
    </row>
    <row r="624" spans="1:55" ht="13" customHeight="1">
      <c r="B624" s="1673" t="s">
        <v>2100</v>
      </c>
      <c r="C624" s="1673"/>
      <c r="D624" s="1673"/>
      <c r="E624" s="1673"/>
      <c r="F624" s="1673"/>
      <c r="G624" s="1673"/>
      <c r="H624" s="1673"/>
      <c r="I624" s="1673"/>
      <c r="J624" s="1673"/>
      <c r="K624" s="1673"/>
      <c r="L624" s="1673"/>
      <c r="M624" s="1678" t="s">
        <v>2101</v>
      </c>
      <c r="N624" s="1678"/>
      <c r="O624" s="1678"/>
      <c r="P624" s="1678"/>
      <c r="Q624" s="1678" t="s">
        <v>1850</v>
      </c>
      <c r="R624" s="1678"/>
      <c r="S624" s="1678"/>
      <c r="T624" s="1678" t="s">
        <v>1848</v>
      </c>
      <c r="U624" s="1678"/>
      <c r="V624" s="1678"/>
      <c r="W624" s="1674" t="s">
        <v>452</v>
      </c>
      <c r="X624" s="1674"/>
      <c r="Y624" s="1674"/>
      <c r="Z624" s="1397" t="s">
        <v>2130</v>
      </c>
      <c r="AA624" s="1397"/>
      <c r="AB624" s="1398"/>
      <c r="AC624" s="1679" t="s">
        <v>1674</v>
      </c>
      <c r="AD624" s="1680"/>
      <c r="AE624" s="1681"/>
      <c r="AF624" s="1396" t="s">
        <v>1928</v>
      </c>
      <c r="AG624" s="1397"/>
      <c r="AH624" s="1397"/>
      <c r="AI624" s="1397"/>
      <c r="AJ624" s="1398"/>
      <c r="AK624" s="1594" t="s">
        <v>1929</v>
      </c>
      <c r="AL624" s="1595"/>
      <c r="AM624" s="1595"/>
      <c r="AN624" s="1596"/>
      <c r="AO624" s="1678" t="s">
        <v>453</v>
      </c>
      <c r="AP624" s="1678"/>
      <c r="AQ624" s="1678"/>
      <c r="AR624" s="1678"/>
      <c r="AS624" s="1678"/>
      <c r="AU624" s="3"/>
      <c r="AZ624" s="3"/>
      <c r="BA624" s="3"/>
      <c r="BB624" s="3"/>
      <c r="BC624" s="3"/>
    </row>
    <row r="625" spans="2:157" ht="13" customHeight="1">
      <c r="B625" s="1673"/>
      <c r="C625" s="1673"/>
      <c r="D625" s="1673"/>
      <c r="E625" s="1673"/>
      <c r="F625" s="1673"/>
      <c r="G625" s="1673"/>
      <c r="H625" s="1673"/>
      <c r="I625" s="1673"/>
      <c r="J625" s="1673"/>
      <c r="K625" s="1673"/>
      <c r="L625" s="1673"/>
      <c r="M625" s="1678"/>
      <c r="N625" s="1678"/>
      <c r="O625" s="1678"/>
      <c r="P625" s="1678"/>
      <c r="Q625" s="1678"/>
      <c r="R625" s="1678"/>
      <c r="S625" s="1678"/>
      <c r="T625" s="1678"/>
      <c r="U625" s="1678"/>
      <c r="V625" s="1678"/>
      <c r="W625" s="1674"/>
      <c r="X625" s="1674"/>
      <c r="Y625" s="1674"/>
      <c r="Z625" s="1400"/>
      <c r="AA625" s="1400"/>
      <c r="AB625" s="1401"/>
      <c r="AC625" s="1682"/>
      <c r="AD625" s="1683"/>
      <c r="AE625" s="1684"/>
      <c r="AF625" s="1399"/>
      <c r="AG625" s="1400"/>
      <c r="AH625" s="1400"/>
      <c r="AI625" s="1400"/>
      <c r="AJ625" s="1401"/>
      <c r="AK625" s="1597"/>
      <c r="AL625" s="1598"/>
      <c r="AM625" s="1598"/>
      <c r="AN625" s="1599"/>
      <c r="AO625" s="1678"/>
      <c r="AP625" s="1678"/>
      <c r="AQ625" s="1678"/>
      <c r="AR625" s="1678"/>
      <c r="AS625" s="1678"/>
      <c r="AU625" s="3"/>
      <c r="AZ625" s="3"/>
      <c r="BA625" s="3"/>
      <c r="BB625" s="3"/>
      <c r="BC625" s="3"/>
      <c r="BD625" s="3"/>
    </row>
    <row r="626" spans="2:157" ht="13" customHeight="1">
      <c r="B626" s="1673"/>
      <c r="C626" s="1673"/>
      <c r="D626" s="1673"/>
      <c r="E626" s="1673"/>
      <c r="F626" s="1673"/>
      <c r="G626" s="1673"/>
      <c r="H626" s="1673"/>
      <c r="I626" s="1673"/>
      <c r="J626" s="1673"/>
      <c r="K626" s="1673"/>
      <c r="L626" s="1673"/>
      <c r="M626" s="1678"/>
      <c r="N626" s="1678"/>
      <c r="O626" s="1678"/>
      <c r="P626" s="1678"/>
      <c r="Q626" s="1678"/>
      <c r="R626" s="1678"/>
      <c r="S626" s="1678"/>
      <c r="T626" s="1678"/>
      <c r="U626" s="1678"/>
      <c r="V626" s="1678"/>
      <c r="W626" s="1674"/>
      <c r="X626" s="1674"/>
      <c r="Y626" s="1674"/>
      <c r="Z626" s="1403"/>
      <c r="AA626" s="1403"/>
      <c r="AB626" s="1404"/>
      <c r="AC626" s="1685"/>
      <c r="AD626" s="1686"/>
      <c r="AE626" s="1687"/>
      <c r="AF626" s="1402"/>
      <c r="AG626" s="1403"/>
      <c r="AH626" s="1403"/>
      <c r="AI626" s="1403"/>
      <c r="AJ626" s="1404"/>
      <c r="AK626" s="1600"/>
      <c r="AL626" s="1601"/>
      <c r="AM626" s="1601"/>
      <c r="AN626" s="1602"/>
      <c r="AO626" s="1678"/>
      <c r="AP626" s="1678"/>
      <c r="AQ626" s="1678"/>
      <c r="AR626" s="1678"/>
      <c r="AS626" s="1678"/>
      <c r="AT626" s="3"/>
      <c r="AU626" s="3"/>
      <c r="AZ626" s="3"/>
      <c r="BA626" s="3"/>
      <c r="BB626" s="3"/>
      <c r="BC626" s="3"/>
      <c r="BD626" s="3"/>
    </row>
    <row r="627" spans="2:157" ht="13" customHeight="1">
      <c r="B627" s="51" t="s">
        <v>112</v>
      </c>
      <c r="C627" s="1481" t="s">
        <v>2678</v>
      </c>
      <c r="D627" s="1481"/>
      <c r="E627" s="1481"/>
      <c r="F627" s="1481"/>
      <c r="G627" s="1481"/>
      <c r="H627" s="1481"/>
      <c r="I627" s="1481"/>
      <c r="J627" s="1481"/>
      <c r="K627" s="1481"/>
      <c r="L627" s="1481"/>
      <c r="M627" s="1496" t="s">
        <v>2117</v>
      </c>
      <c r="N627" s="1496"/>
      <c r="O627" s="1496"/>
      <c r="P627" s="1496"/>
      <c r="Q627" s="1512">
        <v>360</v>
      </c>
      <c r="R627" s="1512"/>
      <c r="S627" s="1513"/>
      <c r="T627" s="1511">
        <v>480</v>
      </c>
      <c r="U627" s="1512"/>
      <c r="V627" s="1513"/>
      <c r="W627" s="1482">
        <v>6.25E-2</v>
      </c>
      <c r="X627" s="1483"/>
      <c r="Y627" s="1484"/>
      <c r="Z627" s="1478" t="s">
        <v>2129</v>
      </c>
      <c r="AA627" s="1479"/>
      <c r="AB627" s="1480"/>
      <c r="AC627" s="1381">
        <v>1</v>
      </c>
      <c r="AD627" s="1382"/>
      <c r="AE627" s="1383"/>
      <c r="AF627" s="1493">
        <v>436020</v>
      </c>
      <c r="AG627" s="1494"/>
      <c r="AH627" s="1494"/>
      <c r="AI627" s="1494"/>
      <c r="AJ627" s="1495"/>
      <c r="AK627" s="1486"/>
      <c r="AL627" s="1487"/>
      <c r="AM627" s="1487"/>
      <c r="AN627" s="1488"/>
      <c r="AO627" s="1643">
        <v>6400000</v>
      </c>
      <c r="AP627" s="1643"/>
      <c r="AQ627" s="1643"/>
      <c r="AR627" s="1643"/>
      <c r="AS627" s="1643"/>
      <c r="AT627" s="3"/>
      <c r="AU627" s="3"/>
      <c r="AZ627" s="3"/>
      <c r="BA627" s="3"/>
      <c r="BB627" s="3"/>
      <c r="BC627" s="3"/>
      <c r="BD627" s="3"/>
    </row>
    <row r="628" spans="2:157" ht="13" customHeight="1">
      <c r="B628" s="52" t="s">
        <v>113</v>
      </c>
      <c r="C628" s="1481" t="s">
        <v>2680</v>
      </c>
      <c r="D628" s="1481"/>
      <c r="E628" s="1481"/>
      <c r="F628" s="1481"/>
      <c r="G628" s="1481"/>
      <c r="H628" s="1481"/>
      <c r="I628" s="1481"/>
      <c r="J628" s="1481"/>
      <c r="K628" s="1481"/>
      <c r="L628" s="1481"/>
      <c r="M628" s="1496" t="s">
        <v>2118</v>
      </c>
      <c r="N628" s="1496"/>
      <c r="O628" s="1496"/>
      <c r="P628" s="1496"/>
      <c r="Q628" s="1511">
        <v>360</v>
      </c>
      <c r="R628" s="1512"/>
      <c r="S628" s="1513"/>
      <c r="T628" s="1511"/>
      <c r="U628" s="1512"/>
      <c r="V628" s="1513"/>
      <c r="W628" s="1482">
        <v>0.05</v>
      </c>
      <c r="X628" s="1483"/>
      <c r="Y628" s="1484"/>
      <c r="Z628" s="1478" t="s">
        <v>456</v>
      </c>
      <c r="AA628" s="1479"/>
      <c r="AB628" s="1480"/>
      <c r="AC628" s="1381">
        <v>2</v>
      </c>
      <c r="AD628" s="1382"/>
      <c r="AE628" s="1383"/>
      <c r="AF628" s="1493"/>
      <c r="AG628" s="1494"/>
      <c r="AH628" s="1494"/>
      <c r="AI628" s="1494"/>
      <c r="AJ628" s="1495"/>
      <c r="AK628" s="1486"/>
      <c r="AL628" s="1487"/>
      <c r="AM628" s="1487"/>
      <c r="AN628" s="1488"/>
      <c r="AO628" s="1477">
        <v>5000000</v>
      </c>
      <c r="AP628" s="1338"/>
      <c r="AQ628" s="1338"/>
      <c r="AR628" s="1338"/>
      <c r="AS628" s="1339"/>
      <c r="AT628" s="1148" t="str">
        <f>IF(AND(NOT(C627=""),C628="",NOT(C629="")),"!","")</f>
        <v/>
      </c>
      <c r="AU628" s="3"/>
      <c r="AZ628" s="3"/>
      <c r="BA628" s="3"/>
      <c r="BB628" s="3"/>
      <c r="BC628" s="3"/>
      <c r="BD628" s="3"/>
    </row>
    <row r="629" spans="2:157" ht="13" customHeight="1">
      <c r="B629" s="52" t="s">
        <v>119</v>
      </c>
      <c r="C629" s="1481" t="s">
        <v>2747</v>
      </c>
      <c r="D629" s="1481"/>
      <c r="E629" s="1481"/>
      <c r="F629" s="1481"/>
      <c r="G629" s="1481"/>
      <c r="H629" s="1481"/>
      <c r="I629" s="1481"/>
      <c r="J629" s="1481"/>
      <c r="K629" s="1481"/>
      <c r="L629" s="1481"/>
      <c r="M629" s="1496" t="s">
        <v>2113</v>
      </c>
      <c r="N629" s="1496"/>
      <c r="O629" s="1496"/>
      <c r="P629" s="1496"/>
      <c r="Q629" s="1511">
        <v>660</v>
      </c>
      <c r="R629" s="1512"/>
      <c r="S629" s="1513"/>
      <c r="T629" s="1511"/>
      <c r="U629" s="1512"/>
      <c r="V629" s="1513"/>
      <c r="W629" s="1482">
        <v>0.03</v>
      </c>
      <c r="X629" s="1483"/>
      <c r="Y629" s="1484"/>
      <c r="Z629" s="1478" t="s">
        <v>456</v>
      </c>
      <c r="AA629" s="1479"/>
      <c r="AB629" s="1480"/>
      <c r="AC629" s="1381">
        <v>3</v>
      </c>
      <c r="AD629" s="1382"/>
      <c r="AE629" s="1383"/>
      <c r="AF629" s="1493"/>
      <c r="AG629" s="1494"/>
      <c r="AH629" s="1494"/>
      <c r="AI629" s="1494"/>
      <c r="AJ629" s="1495"/>
      <c r="AK629" s="1486"/>
      <c r="AL629" s="1487"/>
      <c r="AM629" s="1487"/>
      <c r="AN629" s="1488"/>
      <c r="AO629" s="1477">
        <v>3600000</v>
      </c>
      <c r="AP629" s="1338"/>
      <c r="AQ629" s="1338"/>
      <c r="AR629" s="1338"/>
      <c r="AS629" s="1339"/>
      <c r="AT629" s="1148" t="str">
        <f t="shared" ref="AT629:AT638" si="1">IF(AND(NOT(C628=""),C629="",NOT(C630="")),"!","")</f>
        <v/>
      </c>
      <c r="AU629" s="3"/>
      <c r="AZ629" s="3"/>
      <c r="BA629" s="3"/>
      <c r="BB629" s="3"/>
      <c r="BC629" s="3"/>
      <c r="BD629" s="3"/>
    </row>
    <row r="630" spans="2:157" ht="13" customHeight="1">
      <c r="B630" s="52" t="s">
        <v>580</v>
      </c>
      <c r="C630" s="1481" t="s">
        <v>2744</v>
      </c>
      <c r="D630" s="1492"/>
      <c r="E630" s="1492"/>
      <c r="F630" s="1492"/>
      <c r="G630" s="1492"/>
      <c r="H630" s="1492"/>
      <c r="I630" s="1492"/>
      <c r="J630" s="1492"/>
      <c r="K630" s="1492"/>
      <c r="L630" s="1492"/>
      <c r="M630" s="1496" t="s">
        <v>2114</v>
      </c>
      <c r="N630" s="1496"/>
      <c r="O630" s="1496"/>
      <c r="P630" s="1496"/>
      <c r="Q630" s="1511">
        <v>660</v>
      </c>
      <c r="R630" s="1512"/>
      <c r="S630" s="1513"/>
      <c r="T630" s="1511"/>
      <c r="U630" s="1512"/>
      <c r="V630" s="1513"/>
      <c r="W630" s="1482">
        <v>0.03</v>
      </c>
      <c r="X630" s="1483"/>
      <c r="Y630" s="1484"/>
      <c r="Z630" s="1478" t="s">
        <v>456</v>
      </c>
      <c r="AA630" s="1479"/>
      <c r="AB630" s="1480"/>
      <c r="AC630" s="1381">
        <v>4</v>
      </c>
      <c r="AD630" s="1382"/>
      <c r="AE630" s="1383"/>
      <c r="AF630" s="1493"/>
      <c r="AG630" s="1494"/>
      <c r="AH630" s="1494"/>
      <c r="AI630" s="1494"/>
      <c r="AJ630" s="1495"/>
      <c r="AK630" s="1486"/>
      <c r="AL630" s="1487"/>
      <c r="AM630" s="1487"/>
      <c r="AN630" s="1488"/>
      <c r="AO630" s="1477">
        <v>580000</v>
      </c>
      <c r="AP630" s="1338"/>
      <c r="AQ630" s="1338"/>
      <c r="AR630" s="1338"/>
      <c r="AS630" s="1339"/>
      <c r="AT630" s="1148" t="str">
        <f t="shared" si="1"/>
        <v/>
      </c>
      <c r="AU630" s="3"/>
      <c r="AZ630" s="3"/>
      <c r="BA630" s="3"/>
      <c r="BB630" s="3"/>
      <c r="BC630" s="3"/>
      <c r="BD630" s="3"/>
    </row>
    <row r="631" spans="2:157" ht="13" customHeight="1">
      <c r="B631" s="52" t="s">
        <v>761</v>
      </c>
      <c r="C631" s="1481" t="s">
        <v>2745</v>
      </c>
      <c r="D631" s="1492"/>
      <c r="E631" s="1492"/>
      <c r="F631" s="1492"/>
      <c r="G631" s="1492"/>
      <c r="H631" s="1492"/>
      <c r="I631" s="1492"/>
      <c r="J631" s="1492"/>
      <c r="K631" s="1492"/>
      <c r="L631" s="1492"/>
      <c r="M631" s="1496" t="s">
        <v>2113</v>
      </c>
      <c r="N631" s="1496"/>
      <c r="O631" s="1496"/>
      <c r="P631" s="1496"/>
      <c r="Q631" s="1511">
        <v>660</v>
      </c>
      <c r="R631" s="1512"/>
      <c r="S631" s="1513"/>
      <c r="T631" s="1511"/>
      <c r="U631" s="1512"/>
      <c r="V631" s="1513"/>
      <c r="W631" s="1482">
        <v>0.03</v>
      </c>
      <c r="X631" s="1483"/>
      <c r="Y631" s="1484"/>
      <c r="Z631" s="1478" t="s">
        <v>456</v>
      </c>
      <c r="AA631" s="1479"/>
      <c r="AB631" s="1480"/>
      <c r="AC631" s="1381">
        <v>5</v>
      </c>
      <c r="AD631" s="1382"/>
      <c r="AE631" s="1383"/>
      <c r="AF631" s="1493"/>
      <c r="AG631" s="1494"/>
      <c r="AH631" s="1494"/>
      <c r="AI631" s="1494"/>
      <c r="AJ631" s="1495"/>
      <c r="AK631" s="1486"/>
      <c r="AL631" s="1487"/>
      <c r="AM631" s="1487"/>
      <c r="AN631" s="1488"/>
      <c r="AO631" s="1477">
        <v>230551</v>
      </c>
      <c r="AP631" s="1338"/>
      <c r="AQ631" s="1338"/>
      <c r="AR631" s="1338"/>
      <c r="AS631" s="1339"/>
      <c r="AT631" s="1148" t="str">
        <f t="shared" si="1"/>
        <v/>
      </c>
      <c r="AU631" s="3"/>
      <c r="AZ631" s="3"/>
      <c r="BA631" s="3"/>
      <c r="BB631" s="3"/>
      <c r="BC631" s="3"/>
      <c r="BD631" s="3"/>
    </row>
    <row r="632" spans="2:157" ht="13" customHeight="1">
      <c r="B632" s="52" t="s">
        <v>583</v>
      </c>
      <c r="C632" s="1481" t="s">
        <v>2630</v>
      </c>
      <c r="D632" s="1492"/>
      <c r="E632" s="1492"/>
      <c r="F632" s="1492"/>
      <c r="G632" s="1492"/>
      <c r="H632" s="1492"/>
      <c r="I632" s="1492"/>
      <c r="J632" s="1492"/>
      <c r="K632" s="1492"/>
      <c r="L632" s="1492"/>
      <c r="M632" s="1496" t="s">
        <v>2104</v>
      </c>
      <c r="N632" s="1496"/>
      <c r="O632" s="1496"/>
      <c r="P632" s="1496"/>
      <c r="Q632" s="1511">
        <v>156</v>
      </c>
      <c r="R632" s="1512"/>
      <c r="S632" s="1513"/>
      <c r="T632" s="1511"/>
      <c r="U632" s="1512"/>
      <c r="V632" s="1513"/>
      <c r="W632" s="1482">
        <v>9.9999999999999995E-8</v>
      </c>
      <c r="X632" s="1483"/>
      <c r="Y632" s="1484"/>
      <c r="Z632" s="1478" t="s">
        <v>456</v>
      </c>
      <c r="AA632" s="1479"/>
      <c r="AB632" s="1480"/>
      <c r="AC632" s="1381"/>
      <c r="AD632" s="1382"/>
      <c r="AE632" s="1383"/>
      <c r="AF632" s="1493"/>
      <c r="AG632" s="1494"/>
      <c r="AH632" s="1494"/>
      <c r="AI632" s="1494"/>
      <c r="AJ632" s="1495"/>
      <c r="AK632" s="1486"/>
      <c r="AL632" s="1487"/>
      <c r="AM632" s="1487"/>
      <c r="AN632" s="1488"/>
      <c r="AO632" s="1477">
        <v>4711000</v>
      </c>
      <c r="AP632" s="1338"/>
      <c r="AQ632" s="1338"/>
      <c r="AR632" s="1338"/>
      <c r="AS632" s="1339"/>
      <c r="AT632" s="1148" t="str">
        <f t="shared" si="1"/>
        <v/>
      </c>
      <c r="AU632" s="3"/>
      <c r="AZ632" s="3"/>
      <c r="BA632" s="3"/>
      <c r="BB632" s="3"/>
      <c r="BC632" s="3"/>
      <c r="BD632" s="3"/>
    </row>
    <row r="633" spans="2:157" ht="13" customHeight="1">
      <c r="B633" s="52" t="s">
        <v>454</v>
      </c>
      <c r="C633" s="1492"/>
      <c r="D633" s="1492"/>
      <c r="E633" s="1492"/>
      <c r="F633" s="1492"/>
      <c r="G633" s="1492"/>
      <c r="H633" s="1492"/>
      <c r="I633" s="1492"/>
      <c r="J633" s="1492"/>
      <c r="K633" s="1492"/>
      <c r="L633" s="1492"/>
      <c r="M633" s="1496"/>
      <c r="N633" s="1496"/>
      <c r="O633" s="1496"/>
      <c r="P633" s="1496"/>
      <c r="Q633" s="1511"/>
      <c r="R633" s="1512"/>
      <c r="S633" s="1513"/>
      <c r="T633" s="1511"/>
      <c r="U633" s="1512"/>
      <c r="V633" s="1513"/>
      <c r="W633" s="1482"/>
      <c r="X633" s="1483"/>
      <c r="Y633" s="1484"/>
      <c r="Z633" s="1478"/>
      <c r="AA633" s="1479"/>
      <c r="AB633" s="1480"/>
      <c r="AC633" s="1381"/>
      <c r="AD633" s="1382"/>
      <c r="AE633" s="1383"/>
      <c r="AF633" s="1493"/>
      <c r="AG633" s="1494"/>
      <c r="AH633" s="1494"/>
      <c r="AI633" s="1494"/>
      <c r="AJ633" s="1495"/>
      <c r="AK633" s="1486"/>
      <c r="AL633" s="1487"/>
      <c r="AM633" s="1487"/>
      <c r="AN633" s="1488"/>
      <c r="AO633" s="1477"/>
      <c r="AP633" s="1338"/>
      <c r="AQ633" s="1338"/>
      <c r="AR633" s="1338"/>
      <c r="AS633" s="1339"/>
      <c r="AT633" s="1148" t="str">
        <f t="shared" si="1"/>
        <v/>
      </c>
      <c r="AU633" s="3"/>
      <c r="AV633" s="3"/>
      <c r="AW633" s="3"/>
      <c r="AX633" s="3"/>
      <c r="AY633" s="3"/>
      <c r="AZ633" s="3"/>
      <c r="BA633" s="3"/>
      <c r="BB633" s="3"/>
      <c r="BC633" s="3"/>
      <c r="BD633" s="3"/>
    </row>
    <row r="634" spans="2:157" ht="13" customHeight="1">
      <c r="B634" s="52" t="s">
        <v>455</v>
      </c>
      <c r="C634" s="1492"/>
      <c r="D634" s="1492"/>
      <c r="E634" s="1492"/>
      <c r="F634" s="1492"/>
      <c r="G634" s="1492"/>
      <c r="H634" s="1492"/>
      <c r="I634" s="1492"/>
      <c r="J634" s="1492"/>
      <c r="K634" s="1492"/>
      <c r="L634" s="1492"/>
      <c r="M634" s="1496"/>
      <c r="N634" s="1496"/>
      <c r="O634" s="1496"/>
      <c r="P634" s="1496"/>
      <c r="Q634" s="1511"/>
      <c r="R634" s="1512"/>
      <c r="S634" s="1513"/>
      <c r="T634" s="1511"/>
      <c r="U634" s="1512"/>
      <c r="V634" s="1513"/>
      <c r="W634" s="1482"/>
      <c r="X634" s="1483"/>
      <c r="Y634" s="1484"/>
      <c r="Z634" s="1478"/>
      <c r="AA634" s="1479"/>
      <c r="AB634" s="1480"/>
      <c r="AC634" s="1381"/>
      <c r="AD634" s="1382"/>
      <c r="AE634" s="1383"/>
      <c r="AF634" s="1493"/>
      <c r="AG634" s="1494"/>
      <c r="AH634" s="1494"/>
      <c r="AI634" s="1494"/>
      <c r="AJ634" s="1495"/>
      <c r="AK634" s="1486"/>
      <c r="AL634" s="1487"/>
      <c r="AM634" s="1487"/>
      <c r="AN634" s="1488"/>
      <c r="AO634" s="1477"/>
      <c r="AP634" s="1338"/>
      <c r="AQ634" s="1338"/>
      <c r="AR634" s="1338"/>
      <c r="AS634" s="1339"/>
      <c r="AT634" s="1148" t="str">
        <f t="shared" si="1"/>
        <v/>
      </c>
      <c r="AU634" s="3"/>
      <c r="AV634" s="3"/>
      <c r="AW634" s="3"/>
      <c r="AX634" s="3"/>
      <c r="AY634" s="3"/>
      <c r="AZ634" s="3"/>
      <c r="BA634" s="3" t="s">
        <v>1182</v>
      </c>
      <c r="BB634" s="3"/>
      <c r="BC634" s="3"/>
      <c r="BD634" s="3"/>
    </row>
    <row r="635" spans="2:157" ht="13" customHeight="1">
      <c r="B635" s="52" t="s">
        <v>460</v>
      </c>
      <c r="C635" s="1492"/>
      <c r="D635" s="1492"/>
      <c r="E635" s="1492"/>
      <c r="F635" s="1492"/>
      <c r="G635" s="1492"/>
      <c r="H635" s="1492"/>
      <c r="I635" s="1492"/>
      <c r="J635" s="1492"/>
      <c r="K635" s="1492"/>
      <c r="L635" s="1492"/>
      <c r="M635" s="1496"/>
      <c r="N635" s="1496"/>
      <c r="O635" s="1496"/>
      <c r="P635" s="1496"/>
      <c r="Q635" s="1511"/>
      <c r="R635" s="1512"/>
      <c r="S635" s="1513"/>
      <c r="T635" s="1511"/>
      <c r="U635" s="1512"/>
      <c r="V635" s="1513"/>
      <c r="W635" s="1482"/>
      <c r="X635" s="1483"/>
      <c r="Y635" s="1484"/>
      <c r="Z635" s="1478"/>
      <c r="AA635" s="1479"/>
      <c r="AB635" s="1480"/>
      <c r="AC635" s="1381"/>
      <c r="AD635" s="1382"/>
      <c r="AE635" s="1383"/>
      <c r="AF635" s="1493"/>
      <c r="AG635" s="1494"/>
      <c r="AH635" s="1494"/>
      <c r="AI635" s="1494"/>
      <c r="AJ635" s="1495"/>
      <c r="AK635" s="1486"/>
      <c r="AL635" s="1487"/>
      <c r="AM635" s="1487"/>
      <c r="AN635" s="1488"/>
      <c r="AO635" s="1477"/>
      <c r="AP635" s="1338"/>
      <c r="AQ635" s="1338"/>
      <c r="AR635" s="1338"/>
      <c r="AS635" s="133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2">EZ718*(CP718/$CP$753)</f>
        <v>322</v>
      </c>
      <c r="DY635" s="1369"/>
      <c r="DZ635" s="1369"/>
      <c r="EA635" s="1369"/>
      <c r="EB635" s="1369"/>
      <c r="EC635" s="1369" t="e">
        <f t="shared" ref="EC635:EC669" si="3">FE718*(CU718/$CU$753)</f>
        <v>#VALUE!</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644</v>
      </c>
      <c r="C636" s="1492"/>
      <c r="D636" s="1492"/>
      <c r="E636" s="1492"/>
      <c r="F636" s="1492"/>
      <c r="G636" s="1492"/>
      <c r="H636" s="1492"/>
      <c r="I636" s="1492"/>
      <c r="J636" s="1492"/>
      <c r="K636" s="1492"/>
      <c r="L636" s="1492"/>
      <c r="M636" s="1496"/>
      <c r="N636" s="1496"/>
      <c r="O636" s="1496"/>
      <c r="P636" s="1496"/>
      <c r="Q636" s="1511"/>
      <c r="R636" s="1512"/>
      <c r="S636" s="1513"/>
      <c r="T636" s="1511"/>
      <c r="U636" s="1512"/>
      <c r="V636" s="1513"/>
      <c r="W636" s="1482"/>
      <c r="X636" s="1483"/>
      <c r="Y636" s="1484"/>
      <c r="Z636" s="1478"/>
      <c r="AA636" s="1479"/>
      <c r="AB636" s="1480"/>
      <c r="AC636" s="1381"/>
      <c r="AD636" s="1382"/>
      <c r="AE636" s="1383"/>
      <c r="AF636" s="1493"/>
      <c r="AG636" s="1494"/>
      <c r="AH636" s="1494"/>
      <c r="AI636" s="1494"/>
      <c r="AJ636" s="1495"/>
      <c r="AK636" s="1486"/>
      <c r="AL636" s="1487"/>
      <c r="AM636" s="1487"/>
      <c r="AN636" s="1488"/>
      <c r="AO636" s="1477"/>
      <c r="AP636" s="1338"/>
      <c r="AQ636" s="1338"/>
      <c r="AR636" s="1338"/>
      <c r="AS636" s="133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69">
        <f t="shared" si="2"/>
        <v>112</v>
      </c>
      <c r="DY636" s="1369"/>
      <c r="DZ636" s="1369"/>
      <c r="EA636" s="1369"/>
      <c r="EB636" s="1369"/>
      <c r="EC636" s="1369" t="e">
        <f t="shared" si="3"/>
        <v>#VALUE!</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362</v>
      </c>
      <c r="C637" s="1492"/>
      <c r="D637" s="1492"/>
      <c r="E637" s="1492"/>
      <c r="F637" s="1492"/>
      <c r="G637" s="1492"/>
      <c r="H637" s="1492"/>
      <c r="I637" s="1492"/>
      <c r="J637" s="1492"/>
      <c r="K637" s="1492"/>
      <c r="L637" s="1492"/>
      <c r="M637" s="1496"/>
      <c r="N637" s="1496"/>
      <c r="O637" s="1496"/>
      <c r="P637" s="1496"/>
      <c r="Q637" s="1511"/>
      <c r="R637" s="1512"/>
      <c r="S637" s="1513"/>
      <c r="T637" s="1511"/>
      <c r="U637" s="1512"/>
      <c r="V637" s="1513"/>
      <c r="W637" s="1482"/>
      <c r="X637" s="1483"/>
      <c r="Y637" s="1484"/>
      <c r="Z637" s="1478"/>
      <c r="AA637" s="1479"/>
      <c r="AB637" s="1480"/>
      <c r="AC637" s="1381"/>
      <c r="AD637" s="1382"/>
      <c r="AE637" s="1383"/>
      <c r="AF637" s="1493"/>
      <c r="AG637" s="1494"/>
      <c r="AH637" s="1494"/>
      <c r="AI637" s="1494"/>
      <c r="AJ637" s="1495"/>
      <c r="AK637" s="1486"/>
      <c r="AL637" s="1487"/>
      <c r="AM637" s="1487"/>
      <c r="AN637" s="1488"/>
      <c r="AO637" s="1477"/>
      <c r="AP637" s="1338"/>
      <c r="AQ637" s="1338"/>
      <c r="AR637" s="1338"/>
      <c r="AS637" s="1339"/>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369">
        <f t="shared" si="2"/>
        <v>135.86666666666667</v>
      </c>
      <c r="DY637" s="1369"/>
      <c r="DZ637" s="1369"/>
      <c r="EA637" s="1369"/>
      <c r="EB637" s="1369"/>
      <c r="EC637" s="1369" t="e">
        <f t="shared" si="3"/>
        <v>#VALUE!</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363</v>
      </c>
      <c r="C638" s="1492"/>
      <c r="D638" s="1492"/>
      <c r="E638" s="1492"/>
      <c r="F638" s="1492"/>
      <c r="G638" s="1492"/>
      <c r="H638" s="1492"/>
      <c r="I638" s="1492"/>
      <c r="J638" s="1492"/>
      <c r="K638" s="1492"/>
      <c r="L638" s="1492"/>
      <c r="M638" s="1496"/>
      <c r="N638" s="1496"/>
      <c r="O638" s="1496"/>
      <c r="P638" s="1496"/>
      <c r="Q638" s="1511"/>
      <c r="R638" s="1512"/>
      <c r="S638" s="1513"/>
      <c r="T638" s="1511"/>
      <c r="U638" s="1512"/>
      <c r="V638" s="1513"/>
      <c r="W638" s="1482"/>
      <c r="X638" s="1483"/>
      <c r="Y638" s="1484"/>
      <c r="Z638" s="1478"/>
      <c r="AA638" s="1479"/>
      <c r="AB638" s="1480"/>
      <c r="AC638" s="1381"/>
      <c r="AD638" s="1382"/>
      <c r="AE638" s="1383"/>
      <c r="AF638" s="1493"/>
      <c r="AG638" s="1494"/>
      <c r="AH638" s="1494"/>
      <c r="AI638" s="1494"/>
      <c r="AJ638" s="1495"/>
      <c r="AK638" s="1486"/>
      <c r="AL638" s="1487"/>
      <c r="AM638" s="1487"/>
      <c r="AN638" s="1488"/>
      <c r="AO638" s="1477"/>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f t="shared" si="2"/>
        <v>91.733333333333334</v>
      </c>
      <c r="DY638" s="1369"/>
      <c r="DZ638" s="1369"/>
      <c r="EA638" s="1369"/>
      <c r="EB638" s="1369"/>
      <c r="EC638" s="1369" t="e">
        <f t="shared" si="3"/>
        <v>#VALUE!</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3"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4">
        <f>SUM(AO627:AR638)</f>
        <v>20521551</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f t="shared" si="3"/>
        <v>294</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7">
        <v>35898723</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f t="shared" si="3"/>
        <v>147.66666666666666</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35"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6"/>
      <c r="AO641" s="1474">
        <f>AO639+AO640</f>
        <v>56420274</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f t="shared" si="3"/>
        <v>179.66666666666666</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f t="shared" si="3"/>
        <v>121.75</v>
      </c>
      <c r="ED642" s="1369"/>
      <c r="EE642" s="1369"/>
      <c r="EF642" s="1369"/>
      <c r="EG642" s="1369"/>
      <c r="EH642" s="1369" t="e">
        <f t="shared" si="4"/>
        <v>#VALUE!</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462</v>
      </c>
      <c r="G643" s="1485" t="str">
        <f>C627</f>
        <v>Citibank, N.A.</v>
      </c>
      <c r="H643" s="1485"/>
      <c r="I643" s="1485"/>
      <c r="J643" s="1485"/>
      <c r="K643" s="1485"/>
      <c r="L643" s="1485"/>
      <c r="M643" s="1485"/>
      <c r="N643" s="1485"/>
      <c r="O643" s="1485"/>
      <c r="P643" s="1485"/>
      <c r="Q643" s="1485"/>
      <c r="R643" s="1485"/>
      <c r="S643" s="8"/>
      <c r="T643" s="55" t="s">
        <v>113</v>
      </c>
      <c r="U643" t="s">
        <v>462</v>
      </c>
      <c r="Z643" s="1485" t="str">
        <f>C628</f>
        <v>Bonneville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88</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3" customHeight="1">
      <c r="A644" s="22"/>
      <c r="B644" t="s">
        <v>85</v>
      </c>
      <c r="G644" s="1407" t="s">
        <v>2681</v>
      </c>
      <c r="H644" s="1408"/>
      <c r="I644" s="1408"/>
      <c r="J644" s="1408"/>
      <c r="K644" s="1408"/>
      <c r="L644" s="1408"/>
      <c r="M644" s="1408"/>
      <c r="N644" s="1408"/>
      <c r="O644" s="1408"/>
      <c r="P644" s="1408"/>
      <c r="Q644" s="1408"/>
      <c r="R644" s="1408"/>
      <c r="S644" s="8"/>
      <c r="T644" s="22"/>
      <c r="U644" t="s">
        <v>85</v>
      </c>
      <c r="Z644" s="1407" t="s">
        <v>2761</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f t="shared" si="4"/>
        <v>78</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3" customHeight="1">
      <c r="A645" s="22"/>
      <c r="B645" t="s">
        <v>579</v>
      </c>
      <c r="G645" s="1407" t="s">
        <v>2682</v>
      </c>
      <c r="H645" s="1408"/>
      <c r="I645" s="1408"/>
      <c r="J645" s="1408"/>
      <c r="K645" s="1408"/>
      <c r="L645" s="1408"/>
      <c r="M645" s="1408"/>
      <c r="N645" s="1408"/>
      <c r="O645" s="1408"/>
      <c r="P645" s="1408"/>
      <c r="Q645" s="1408"/>
      <c r="R645" s="1408"/>
      <c r="T645" s="22"/>
      <c r="U645" t="s">
        <v>579</v>
      </c>
      <c r="Z645" s="1472" t="s">
        <v>2687</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f t="shared" si="4"/>
        <v>475.18518518518516</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3" customHeight="1">
      <c r="A646" s="22"/>
      <c r="B646" t="s">
        <v>17</v>
      </c>
      <c r="G646" s="1407" t="s">
        <v>2683</v>
      </c>
      <c r="H646" s="1408"/>
      <c r="I646" s="1408"/>
      <c r="J646" s="1408"/>
      <c r="K646" s="1408"/>
      <c r="L646" s="1408"/>
      <c r="M646" s="1408"/>
      <c r="N646" s="1408"/>
      <c r="O646" s="1408"/>
      <c r="P646" s="1408"/>
      <c r="Q646" s="1408"/>
      <c r="R646" s="1408"/>
      <c r="S646" s="8"/>
      <c r="T646" s="22"/>
      <c r="U646" t="s">
        <v>17</v>
      </c>
      <c r="Z646" s="1472" t="s">
        <v>2762</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f t="shared" si="4"/>
        <v>709.7037037037037</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3" customHeight="1">
      <c r="A647" s="22"/>
      <c r="B647" t="s">
        <v>316</v>
      </c>
      <c r="G647" s="1489" t="s">
        <v>2684</v>
      </c>
      <c r="H647" s="1490"/>
      <c r="I647" s="1490"/>
      <c r="J647" s="1490"/>
      <c r="K647" s="1490"/>
      <c r="L647" s="1490"/>
      <c r="O647" s="33" t="s">
        <v>206</v>
      </c>
      <c r="P647" s="1473"/>
      <c r="Q647" s="1473"/>
      <c r="R647" s="1473"/>
      <c r="S647" s="10"/>
      <c r="T647" s="22"/>
      <c r="U647" t="s">
        <v>316</v>
      </c>
      <c r="Z647" s="1489" t="s">
        <v>2763</v>
      </c>
      <c r="AA647" s="1490"/>
      <c r="AB647" s="1490"/>
      <c r="AC647" s="1490"/>
      <c r="AD647" s="1490"/>
      <c r="AE647" s="1490"/>
      <c r="AH647" s="33" t="s">
        <v>206</v>
      </c>
      <c r="AI647" s="1473"/>
      <c r="AJ647" s="1473"/>
      <c r="AK647" s="1473"/>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f t="shared" si="5"/>
        <v>36.222222222222221</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07" t="s">
        <v>2691</v>
      </c>
      <c r="I648" s="1408"/>
      <c r="J648" s="1408"/>
      <c r="K648" s="1408"/>
      <c r="L648" s="1408"/>
      <c r="M648" s="1408"/>
      <c r="N648" s="1408"/>
      <c r="O648" s="1408"/>
      <c r="P648" s="1408"/>
      <c r="Q648" s="1408"/>
      <c r="R648" s="1408"/>
      <c r="S648" s="8"/>
      <c r="T648" s="22"/>
      <c r="U648" t="s">
        <v>18</v>
      </c>
      <c r="AA648" s="1407" t="s">
        <v>2692</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f t="shared" si="5"/>
        <v>65.666666666666657</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16" t="s">
        <v>544</v>
      </c>
      <c r="O649" s="1416"/>
      <c r="T649" s="22"/>
      <c r="U649" t="s">
        <v>20</v>
      </c>
      <c r="AG649" s="1416" t="s">
        <v>544</v>
      </c>
      <c r="AH649" s="1416"/>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f t="shared" si="5"/>
        <v>643.55555555555554</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f t="shared" si="5"/>
        <v>879.55555555555554</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462</v>
      </c>
      <c r="G651" s="1485" t="str">
        <f>C629</f>
        <v>HCD</v>
      </c>
      <c r="H651" s="1485"/>
      <c r="I651" s="1485"/>
      <c r="J651" s="1485"/>
      <c r="K651" s="1485"/>
      <c r="L651" s="1485"/>
      <c r="M651" s="1485"/>
      <c r="N651" s="1485"/>
      <c r="O651" s="1485"/>
      <c r="P651" s="1485"/>
      <c r="Q651" s="1485"/>
      <c r="R651" s="1485"/>
      <c r="T651" s="55" t="s">
        <v>580</v>
      </c>
      <c r="U651" t="s">
        <v>462</v>
      </c>
      <c r="Z651" s="1485" t="str">
        <f>C630</f>
        <v>Town of Mammoth Lakes - Land Loan</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07" t="s">
        <v>2749</v>
      </c>
      <c r="H652" s="1408"/>
      <c r="I652" s="1408"/>
      <c r="J652" s="1408"/>
      <c r="K652" s="1408"/>
      <c r="L652" s="1408"/>
      <c r="M652" s="1408"/>
      <c r="N652" s="1408"/>
      <c r="O652" s="1408"/>
      <c r="P652" s="1408"/>
      <c r="Q652" s="1408"/>
      <c r="R652" s="1408"/>
      <c r="T652" s="22"/>
      <c r="U652" t="s">
        <v>85</v>
      </c>
      <c r="Z652" s="1408" t="s">
        <v>2736</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579</v>
      </c>
      <c r="G653" s="1472" t="s">
        <v>2750</v>
      </c>
      <c r="H653" s="1371"/>
      <c r="I653" s="1371"/>
      <c r="J653" s="1371"/>
      <c r="K653" s="1371"/>
      <c r="L653" s="1371"/>
      <c r="M653" s="1371"/>
      <c r="N653" s="1371"/>
      <c r="O653" s="1371"/>
      <c r="P653" s="1371"/>
      <c r="Q653" s="1371"/>
      <c r="R653" s="1371"/>
      <c r="T653" s="22"/>
      <c r="U653" t="s">
        <v>579</v>
      </c>
      <c r="Z653" s="1371" t="s">
        <v>2737</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472" t="s">
        <v>2751</v>
      </c>
      <c r="H654" s="1371"/>
      <c r="I654" s="1371"/>
      <c r="J654" s="1371"/>
      <c r="K654" s="1371"/>
      <c r="L654" s="1371"/>
      <c r="M654" s="1371"/>
      <c r="N654" s="1371"/>
      <c r="O654" s="1371"/>
      <c r="P654" s="1371"/>
      <c r="Q654" s="1371"/>
      <c r="R654" s="1371"/>
      <c r="T654" s="22"/>
      <c r="U654" t="s">
        <v>17</v>
      </c>
      <c r="Z654" s="1371" t="s">
        <v>2711</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316</v>
      </c>
      <c r="G655" s="1489" t="s">
        <v>2752</v>
      </c>
      <c r="H655" s="1490"/>
      <c r="I655" s="1490"/>
      <c r="J655" s="1490"/>
      <c r="K655" s="1490"/>
      <c r="L655" s="1490"/>
      <c r="O655" s="33" t="s">
        <v>206</v>
      </c>
      <c r="P655" s="1473"/>
      <c r="Q655" s="1473"/>
      <c r="R655" s="1473"/>
      <c r="T655" s="22"/>
      <c r="U655" t="s">
        <v>316</v>
      </c>
      <c r="Z655" s="1489" t="s">
        <v>2716</v>
      </c>
      <c r="AA655" s="1490"/>
      <c r="AB655" s="1490"/>
      <c r="AC655" s="1490"/>
      <c r="AD655" s="1490"/>
      <c r="AE655" s="1490"/>
      <c r="AH655" s="33" t="s">
        <v>206</v>
      </c>
      <c r="AI655" s="1473"/>
      <c r="AJ655" s="1473"/>
      <c r="AK655" s="1473"/>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07" t="s">
        <v>2753</v>
      </c>
      <c r="I656" s="1408"/>
      <c r="J656" s="1408"/>
      <c r="K656" s="1408"/>
      <c r="L656" s="1408"/>
      <c r="M656" s="1408"/>
      <c r="N656" s="1408"/>
      <c r="O656" s="1408"/>
      <c r="P656" s="1408"/>
      <c r="Q656" s="1408"/>
      <c r="R656" s="1408"/>
      <c r="T656" s="22"/>
      <c r="U656" t="s">
        <v>18</v>
      </c>
      <c r="AA656" s="1408" t="s">
        <v>2754</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16" t="s">
        <v>544</v>
      </c>
      <c r="O657" s="1416"/>
      <c r="T657" s="22"/>
      <c r="U657" t="s">
        <v>20</v>
      </c>
      <c r="AG657" s="1416" t="s">
        <v>544</v>
      </c>
      <c r="AH657" s="1416"/>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761</v>
      </c>
      <c r="B659" t="s">
        <v>462</v>
      </c>
      <c r="G659" s="1485" t="str">
        <f>C631</f>
        <v>Town of Mammoth Lakes - Fee Deferral Loan</v>
      </c>
      <c r="H659" s="1485"/>
      <c r="I659" s="1485"/>
      <c r="J659" s="1485"/>
      <c r="K659" s="1485"/>
      <c r="L659" s="1485"/>
      <c r="M659" s="1485"/>
      <c r="N659" s="1485"/>
      <c r="O659" s="1485"/>
      <c r="P659" s="1485"/>
      <c r="Q659" s="1485"/>
      <c r="R659" s="1485"/>
      <c r="T659" s="55" t="s">
        <v>583</v>
      </c>
      <c r="U659" t="s">
        <v>462</v>
      </c>
      <c r="Z659" s="1485" t="str">
        <f>C632</f>
        <v>Pacific West Communities, Inc.</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08" t="s">
        <v>2736</v>
      </c>
      <c r="H660" s="1408"/>
      <c r="I660" s="1408"/>
      <c r="J660" s="1408"/>
      <c r="K660" s="1408"/>
      <c r="L660" s="1408"/>
      <c r="M660" s="1408"/>
      <c r="N660" s="1408"/>
      <c r="O660" s="1408"/>
      <c r="P660" s="1408"/>
      <c r="Q660" s="1408"/>
      <c r="R660" s="1408"/>
      <c r="T660" s="22"/>
      <c r="U660" t="s">
        <v>85</v>
      </c>
      <c r="Z660" s="1408" t="s">
        <v>2614</v>
      </c>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579</v>
      </c>
      <c r="G661" s="1408" t="s">
        <v>2737</v>
      </c>
      <c r="H661" s="1408"/>
      <c r="I661" s="1408"/>
      <c r="J661" s="1408"/>
      <c r="K661" s="1408"/>
      <c r="L661" s="1408"/>
      <c r="M661" s="1408"/>
      <c r="N661" s="1408"/>
      <c r="O661" s="1408"/>
      <c r="P661" s="1408"/>
      <c r="Q661" s="1408"/>
      <c r="R661" s="1408"/>
      <c r="T661" s="22"/>
      <c r="U661" t="s">
        <v>579</v>
      </c>
      <c r="Z661" s="1371" t="s">
        <v>2635</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08" t="s">
        <v>2711</v>
      </c>
      <c r="H662" s="1408"/>
      <c r="I662" s="1408"/>
      <c r="J662" s="1408"/>
      <c r="K662" s="1408"/>
      <c r="L662" s="1408"/>
      <c r="M662" s="1408"/>
      <c r="N662" s="1408"/>
      <c r="O662" s="1408"/>
      <c r="P662" s="1408"/>
      <c r="Q662" s="1408"/>
      <c r="R662" s="1408"/>
      <c r="T662" s="22"/>
      <c r="U662" t="s">
        <v>17</v>
      </c>
      <c r="Z662" s="1371" t="s">
        <v>2612</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316</v>
      </c>
      <c r="G663" s="1489" t="s">
        <v>2716</v>
      </c>
      <c r="H663" s="1490"/>
      <c r="I663" s="1490"/>
      <c r="J663" s="1490"/>
      <c r="K663" s="1490"/>
      <c r="L663" s="1490"/>
      <c r="O663" s="33" t="s">
        <v>206</v>
      </c>
      <c r="P663" s="1473"/>
      <c r="Q663" s="1473"/>
      <c r="R663" s="1473"/>
      <c r="T663" s="22"/>
      <c r="U663" t="s">
        <v>316</v>
      </c>
      <c r="Z663" s="1489" t="s">
        <v>2616</v>
      </c>
      <c r="AA663" s="1490"/>
      <c r="AB663" s="1490"/>
      <c r="AC663" s="1490"/>
      <c r="AD663" s="1490"/>
      <c r="AE663" s="1490"/>
      <c r="AH663" s="33" t="s">
        <v>206</v>
      </c>
      <c r="AI663" s="1473">
        <v>3015</v>
      </c>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08" t="s">
        <v>2755</v>
      </c>
      <c r="I664" s="1408"/>
      <c r="J664" s="1408"/>
      <c r="K664" s="1408"/>
      <c r="L664" s="1408"/>
      <c r="M664" s="1408"/>
      <c r="N664" s="1408"/>
      <c r="O664" s="1408"/>
      <c r="P664" s="1408"/>
      <c r="Q664" s="1408"/>
      <c r="R664" s="1408"/>
      <c r="T664" s="22"/>
      <c r="U664" t="s">
        <v>18</v>
      </c>
      <c r="AA664" s="1408" t="s">
        <v>2318</v>
      </c>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16" t="s">
        <v>544</v>
      </c>
      <c r="O665" s="1416"/>
      <c r="T665" s="22"/>
      <c r="U665" t="s">
        <v>20</v>
      </c>
      <c r="AG665" s="1416" t="s">
        <v>544</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454</v>
      </c>
      <c r="B667" t="s">
        <v>462</v>
      </c>
      <c r="G667" s="1485">
        <f>C633</f>
        <v>0</v>
      </c>
      <c r="H667" s="1485"/>
      <c r="I667" s="1485"/>
      <c r="J667" s="1485"/>
      <c r="K667" s="1485"/>
      <c r="L667" s="1485"/>
      <c r="M667" s="1485"/>
      <c r="N667" s="1485"/>
      <c r="O667" s="1485"/>
      <c r="P667" s="1485"/>
      <c r="Q667" s="1485"/>
      <c r="R667" s="1485"/>
      <c r="T667" s="55" t="s">
        <v>455</v>
      </c>
      <c r="U667" t="s">
        <v>462</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579</v>
      </c>
      <c r="G669" s="1408"/>
      <c r="H669" s="1408"/>
      <c r="I669" s="1408"/>
      <c r="J669" s="1408"/>
      <c r="K669" s="1408"/>
      <c r="L669" s="1408"/>
      <c r="M669" s="1408"/>
      <c r="N669" s="1408"/>
      <c r="O669" s="1408"/>
      <c r="P669" s="1408"/>
      <c r="Q669" s="1408"/>
      <c r="R669" s="1408"/>
      <c r="T669" s="22"/>
      <c r="U669" t="s">
        <v>579</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661.6</v>
      </c>
      <c r="DY670" s="1369"/>
      <c r="DZ670" s="1369"/>
      <c r="EA670" s="1369"/>
      <c r="EB670" s="1369"/>
      <c r="EC670" s="1369">
        <f>SUMIF(EC635:EG669,"&gt;0")</f>
        <v>743.08333333333326</v>
      </c>
      <c r="ED670" s="1369"/>
      <c r="EE670" s="1369"/>
      <c r="EF670" s="1369"/>
      <c r="EG670" s="1369"/>
      <c r="EH670" s="1369">
        <f>SUMIF(EH635:EL669,"&gt;0")</f>
        <v>1350.8888888888889</v>
      </c>
      <c r="EI670" s="1369"/>
      <c r="EJ670" s="1369"/>
      <c r="EK670" s="1369"/>
      <c r="EL670" s="1369"/>
      <c r="EM670" s="1369">
        <f>SUMIF(EM635:EQ669,"&gt;0")</f>
        <v>1625</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90"/>
      <c r="H671" s="1490"/>
      <c r="I671" s="1490"/>
      <c r="J671" s="1490"/>
      <c r="K671" s="1490"/>
      <c r="L671" s="1490"/>
      <c r="O671" s="33" t="s">
        <v>206</v>
      </c>
      <c r="P671" s="1473"/>
      <c r="Q671" s="1473"/>
      <c r="R671" s="1473"/>
      <c r="T671" s="22"/>
      <c r="U671" t="s">
        <v>316</v>
      </c>
      <c r="Z671" s="1490"/>
      <c r="AA671" s="1490"/>
      <c r="AB671" s="1490"/>
      <c r="AC671" s="1490"/>
      <c r="AD671" s="1490"/>
      <c r="AE671" s="1490"/>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6" t="s">
        <v>667</v>
      </c>
      <c r="O673" s="1416"/>
      <c r="T673" s="22"/>
      <c r="U673" t="s">
        <v>20</v>
      </c>
      <c r="AG673" s="1416" t="s">
        <v>667</v>
      </c>
      <c r="AH673" s="1416"/>
      <c r="AZ673" s="3"/>
    </row>
    <row r="674" spans="1:52" ht="13" customHeight="1">
      <c r="A674" s="22"/>
      <c r="T674" s="22"/>
      <c r="AZ674" s="3"/>
    </row>
    <row r="675" spans="1:52" ht="13" customHeight="1">
      <c r="A675" s="55" t="s">
        <v>460</v>
      </c>
      <c r="B675" t="s">
        <v>462</v>
      </c>
      <c r="G675" s="1485">
        <f>C635</f>
        <v>0</v>
      </c>
      <c r="H675" s="1485"/>
      <c r="I675" s="1485"/>
      <c r="J675" s="1485"/>
      <c r="K675" s="1485"/>
      <c r="L675" s="1485"/>
      <c r="M675" s="1485"/>
      <c r="N675" s="1485"/>
      <c r="O675" s="1485"/>
      <c r="P675" s="1485"/>
      <c r="Q675" s="1485"/>
      <c r="R675" s="1485"/>
      <c r="T675" s="55" t="s">
        <v>644</v>
      </c>
      <c r="U675" t="s">
        <v>462</v>
      </c>
      <c r="Z675" s="1485">
        <f>C636</f>
        <v>0</v>
      </c>
      <c r="AA675" s="1485"/>
      <c r="AB675" s="1485"/>
      <c r="AC675" s="1485"/>
      <c r="AD675" s="1485"/>
      <c r="AE675" s="1485"/>
      <c r="AF675" s="1485"/>
      <c r="AG675" s="1485"/>
      <c r="AH675" s="1485"/>
      <c r="AI675" s="1485"/>
      <c r="AJ675" s="1485"/>
      <c r="AK675" s="1485"/>
      <c r="AZ675" s="3"/>
    </row>
    <row r="676" spans="1:52" ht="13"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 customHeight="1">
      <c r="A677" s="22"/>
      <c r="B677" t="s">
        <v>579</v>
      </c>
      <c r="G677" s="1408"/>
      <c r="H677" s="1408"/>
      <c r="I677" s="1408"/>
      <c r="J677" s="1408"/>
      <c r="K677" s="1408"/>
      <c r="L677" s="1408"/>
      <c r="M677" s="1408"/>
      <c r="N677" s="1408"/>
      <c r="O677" s="1408"/>
      <c r="P677" s="1408"/>
      <c r="Q677" s="1408"/>
      <c r="R677" s="1408"/>
      <c r="T677" s="22"/>
      <c r="U677" t="s">
        <v>579</v>
      </c>
      <c r="Z677" s="1371"/>
      <c r="AA677" s="1371"/>
      <c r="AB677" s="1371"/>
      <c r="AC677" s="1371"/>
      <c r="AD677" s="1371"/>
      <c r="AE677" s="1371"/>
      <c r="AF677" s="1371"/>
      <c r="AG677" s="1371"/>
      <c r="AH677" s="1371"/>
      <c r="AI677" s="1371"/>
      <c r="AJ677" s="1371"/>
      <c r="AK677" s="1371"/>
      <c r="AZ677" s="3"/>
    </row>
    <row r="678" spans="1:52" ht="13"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90"/>
      <c r="H679" s="1490"/>
      <c r="I679" s="1490"/>
      <c r="J679" s="1490"/>
      <c r="K679" s="1490"/>
      <c r="L679" s="1490"/>
      <c r="O679" s="33" t="s">
        <v>206</v>
      </c>
      <c r="P679" s="1473"/>
      <c r="Q679" s="1473"/>
      <c r="R679" s="1473"/>
      <c r="T679" s="22"/>
      <c r="U679" t="s">
        <v>316</v>
      </c>
      <c r="Z679" s="1490"/>
      <c r="AA679" s="1490"/>
      <c r="AB679" s="1490"/>
      <c r="AC679" s="1490"/>
      <c r="AD679" s="1490"/>
      <c r="AE679" s="1490"/>
      <c r="AH679" s="33" t="s">
        <v>206</v>
      </c>
      <c r="AI679" s="1473"/>
      <c r="AJ679" s="1473"/>
      <c r="AK679" s="1473"/>
      <c r="AZ679" s="3"/>
    </row>
    <row r="680" spans="1:52" ht="13"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 customHeight="1">
      <c r="A681" s="22"/>
      <c r="B681" t="s">
        <v>20</v>
      </c>
      <c r="N681" s="1416" t="s">
        <v>667</v>
      </c>
      <c r="O681" s="1416"/>
      <c r="T681" s="22"/>
      <c r="U681" t="s">
        <v>20</v>
      </c>
      <c r="AG681" s="1416" t="s">
        <v>667</v>
      </c>
      <c r="AH681" s="1416"/>
      <c r="AZ681" s="3"/>
    </row>
    <row r="682" spans="1:52" ht="13" customHeight="1">
      <c r="A682" s="22"/>
      <c r="T682" s="22"/>
      <c r="AZ682" s="3"/>
    </row>
    <row r="683" spans="1:52" ht="13" customHeight="1">
      <c r="A683" s="55" t="s">
        <v>362</v>
      </c>
      <c r="B683" t="s">
        <v>462</v>
      </c>
      <c r="G683" s="1485">
        <f>C637</f>
        <v>0</v>
      </c>
      <c r="H683" s="1485"/>
      <c r="I683" s="1485"/>
      <c r="J683" s="1485"/>
      <c r="K683" s="1485"/>
      <c r="L683" s="1485"/>
      <c r="M683" s="1485"/>
      <c r="N683" s="1485"/>
      <c r="O683" s="1485"/>
      <c r="P683" s="1485"/>
      <c r="Q683" s="1485"/>
      <c r="R683" s="1485"/>
      <c r="T683" s="55" t="s">
        <v>363</v>
      </c>
      <c r="U683" t="s">
        <v>462</v>
      </c>
      <c r="Z683" s="1485">
        <f>C638</f>
        <v>0</v>
      </c>
      <c r="AA683" s="1485"/>
      <c r="AB683" s="1485"/>
      <c r="AC683" s="1485"/>
      <c r="AD683" s="1485"/>
      <c r="AE683" s="1485"/>
      <c r="AF683" s="1485"/>
      <c r="AG683" s="1485"/>
      <c r="AH683" s="1485"/>
      <c r="AI683" s="1485"/>
      <c r="AJ683" s="1485"/>
      <c r="AK683" s="1485"/>
      <c r="AZ683" s="3"/>
    </row>
    <row r="684" spans="1:52" ht="13"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 customHeight="1">
      <c r="B685" t="s">
        <v>579</v>
      </c>
      <c r="G685" s="1408"/>
      <c r="H685" s="1408"/>
      <c r="I685" s="1408"/>
      <c r="J685" s="1408"/>
      <c r="K685" s="1408"/>
      <c r="L685" s="1408"/>
      <c r="M685" s="1408"/>
      <c r="N685" s="1408"/>
      <c r="O685" s="1408"/>
      <c r="P685" s="1408"/>
      <c r="Q685" s="1408"/>
      <c r="R685" s="1408"/>
      <c r="U685" t="s">
        <v>579</v>
      </c>
      <c r="Z685" s="1371"/>
      <c r="AA685" s="1371"/>
      <c r="AB685" s="1371"/>
      <c r="AC685" s="1371"/>
      <c r="AD685" s="1371"/>
      <c r="AE685" s="1371"/>
      <c r="AF685" s="1371"/>
      <c r="AG685" s="1371"/>
      <c r="AH685" s="1371"/>
      <c r="AI685" s="1371"/>
      <c r="AJ685" s="1371"/>
      <c r="AK685" s="1371"/>
      <c r="AZ685" s="3"/>
    </row>
    <row r="686" spans="1:52" ht="13"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90"/>
      <c r="H687" s="1490"/>
      <c r="I687" s="1490"/>
      <c r="J687" s="1490"/>
      <c r="K687" s="1490"/>
      <c r="L687" s="1490"/>
      <c r="O687" s="33" t="s">
        <v>206</v>
      </c>
      <c r="P687" s="1473"/>
      <c r="Q687" s="1473"/>
      <c r="R687" s="1473"/>
      <c r="U687" t="s">
        <v>316</v>
      </c>
      <c r="Z687" s="1490"/>
      <c r="AA687" s="1490"/>
      <c r="AB687" s="1490"/>
      <c r="AC687" s="1490"/>
      <c r="AD687" s="1490"/>
      <c r="AE687" s="1490"/>
      <c r="AH687" s="33" t="s">
        <v>206</v>
      </c>
      <c r="AI687" s="1473"/>
      <c r="AJ687" s="1473"/>
      <c r="AK687" s="1473"/>
      <c r="AZ687" s="3"/>
    </row>
    <row r="688" spans="1:52" ht="13"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 customHeight="1">
      <c r="B689" t="s">
        <v>20</v>
      </c>
      <c r="N689" s="1416" t="s">
        <v>667</v>
      </c>
      <c r="O689" s="1416"/>
      <c r="U689" t="s">
        <v>20</v>
      </c>
      <c r="AG689" s="1416" t="s">
        <v>667</v>
      </c>
      <c r="AH689" s="1416"/>
      <c r="AZ689" s="3"/>
    </row>
    <row r="690" spans="1:67" ht="13" customHeight="1">
      <c r="AZ690" s="3"/>
    </row>
    <row r="691" spans="1:67" ht="13" customHeight="1">
      <c r="A691" s="2" t="s">
        <v>575</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6" t="s">
        <v>667</v>
      </c>
      <c r="AF693" s="1416"/>
      <c r="AZ693" s="3"/>
    </row>
    <row r="694" spans="1:67" ht="13" customHeight="1">
      <c r="B694" s="135"/>
      <c r="C694" s="135"/>
      <c r="D694" s="136" t="s">
        <v>438</v>
      </c>
      <c r="E694" s="135"/>
      <c r="F694" s="135"/>
      <c r="G694" s="135"/>
      <c r="H694" s="135"/>
      <c r="AE694" s="1416" t="s">
        <v>667</v>
      </c>
      <c r="AF694" s="1416"/>
      <c r="AZ694" s="3"/>
    </row>
    <row r="695" spans="1:67" ht="13" customHeight="1">
      <c r="B695" s="135"/>
      <c r="C695" s="135"/>
      <c r="D695" s="136" t="s">
        <v>918</v>
      </c>
      <c r="E695" s="135"/>
      <c r="F695" s="135"/>
      <c r="G695" s="135"/>
      <c r="H695" s="135"/>
      <c r="AE695" s="1509">
        <v>45909</v>
      </c>
      <c r="AF695" s="1509"/>
      <c r="AG695" s="1509"/>
      <c r="AH695" s="1509"/>
      <c r="AI695" s="1509"/>
    </row>
    <row r="696" spans="1:67" ht="13" customHeight="1">
      <c r="B696" s="135"/>
      <c r="C696" s="135"/>
      <c r="D696" s="317" t="s">
        <v>981</v>
      </c>
      <c r="E696" s="135"/>
      <c r="F696" s="135"/>
      <c r="G696" s="135"/>
      <c r="H696" s="135"/>
      <c r="AE696" s="1669">
        <v>45980</v>
      </c>
      <c r="AF696" s="1669"/>
      <c r="AG696" s="1669"/>
      <c r="AH696" s="1669"/>
      <c r="AI696" s="1669"/>
    </row>
    <row r="697" spans="1:67" ht="13" customHeight="1">
      <c r="B697" s="135"/>
      <c r="C697" s="135"/>
    </row>
    <row r="698" spans="1:67" ht="13" customHeight="1">
      <c r="B698" s="135"/>
      <c r="C698" s="135"/>
      <c r="D698" s="136" t="s">
        <v>814</v>
      </c>
      <c r="E698" s="135"/>
      <c r="F698" s="135"/>
      <c r="G698" s="135"/>
      <c r="H698" s="135"/>
      <c r="AE698" s="1509">
        <v>46148</v>
      </c>
      <c r="AF698" s="1509"/>
      <c r="AG698" s="1509"/>
      <c r="AH698" s="1509"/>
      <c r="AI698" s="1509"/>
    </row>
    <row r="699" spans="1:67" ht="13" customHeight="1">
      <c r="B699" s="135"/>
      <c r="C699" s="135"/>
      <c r="D699" s="136" t="s">
        <v>436</v>
      </c>
      <c r="E699" s="135"/>
      <c r="F699" s="135"/>
      <c r="G699" s="135"/>
      <c r="H699" s="135"/>
      <c r="AE699" s="1689">
        <f xml:space="preserve"> (16000000) / (55155523+580000)</f>
        <v>0.28707006122468787</v>
      </c>
      <c r="AF699" s="1689"/>
      <c r="AG699" s="1689"/>
      <c r="AH699" s="1689"/>
      <c r="AI699" s="1689"/>
    </row>
    <row r="700" spans="1:67" ht="13" customHeight="1">
      <c r="B700" s="135"/>
      <c r="C700" s="135"/>
      <c r="D700" s="136" t="s">
        <v>437</v>
      </c>
      <c r="E700" s="135"/>
      <c r="F700" s="135"/>
      <c r="G700" s="135"/>
      <c r="H700" s="135"/>
      <c r="W700" s="1485" t="str">
        <f>H335</f>
        <v>California Municipal Finance Authority (CMFA)</v>
      </c>
      <c r="X700" s="1485"/>
      <c r="Y700" s="1485"/>
      <c r="Z700" s="1485"/>
      <c r="AA700" s="1485"/>
      <c r="AB700" s="1485"/>
      <c r="AC700" s="1485"/>
      <c r="AD700" s="1485"/>
      <c r="AE700" s="1485"/>
      <c r="AF700" s="1485"/>
      <c r="AG700" s="1485"/>
      <c r="AH700" s="1485"/>
      <c r="AI700" s="1485"/>
      <c r="AJ700" s="1485"/>
      <c r="AK700" s="1485"/>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6" t="s">
        <v>667</v>
      </c>
      <c r="AF702" s="1416"/>
      <c r="AZ702" s="4" t="s">
        <v>324</v>
      </c>
    </row>
    <row r="703" spans="1:67" ht="13" customHeight="1">
      <c r="B703" s="135"/>
      <c r="C703" s="135"/>
      <c r="D703" s="136" t="s">
        <v>441</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3"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 customHeight="1">
      <c r="B705" s="135"/>
      <c r="C705" s="135"/>
      <c r="D705" s="136" t="s">
        <v>88</v>
      </c>
      <c r="J705" s="1490"/>
      <c r="K705" s="1490"/>
      <c r="L705" s="1490"/>
      <c r="M705" s="1490"/>
      <c r="N705" s="1490"/>
      <c r="O705" s="1490"/>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442</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7" t="s">
        <v>389</v>
      </c>
      <c r="C714" s="1498"/>
      <c r="D714" s="1498"/>
      <c r="E714" s="1498"/>
      <c r="F714" s="1499"/>
      <c r="G714" s="1497" t="s">
        <v>285</v>
      </c>
      <c r="H714" s="1498"/>
      <c r="I714" s="1498"/>
      <c r="J714" s="1499"/>
      <c r="K714" s="1514" t="s">
        <v>1677</v>
      </c>
      <c r="L714" s="1515"/>
      <c r="M714" s="1515"/>
      <c r="N714" s="1516"/>
      <c r="O714" s="1497" t="s">
        <v>446</v>
      </c>
      <c r="P714" s="1498"/>
      <c r="Q714" s="1498"/>
      <c r="R714" s="1498"/>
      <c r="S714" s="1499"/>
      <c r="T714" s="1510" t="s">
        <v>1947</v>
      </c>
      <c r="U714" s="1498"/>
      <c r="V714" s="1498"/>
      <c r="W714" s="1499"/>
      <c r="X714" s="1510" t="s">
        <v>1949</v>
      </c>
      <c r="Y714" s="1498"/>
      <c r="Z714" s="1498"/>
      <c r="AA714" s="1498"/>
      <c r="AB714" s="1499"/>
      <c r="AC714" s="1510" t="s">
        <v>1948</v>
      </c>
      <c r="AD714" s="1498"/>
      <c r="AE714" s="1498"/>
      <c r="AF714" s="1498"/>
      <c r="AG714" s="1499"/>
      <c r="AH714" s="1510" t="s">
        <v>1950</v>
      </c>
      <c r="AI714" s="1498"/>
      <c r="AJ714" s="1499"/>
      <c r="AK714" s="1510" t="s">
        <v>1977</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0"/>
      <c r="C715" s="1501"/>
      <c r="D715" s="1501"/>
      <c r="E715" s="1501"/>
      <c r="F715" s="1502"/>
      <c r="G715" s="1500"/>
      <c r="H715" s="1501"/>
      <c r="I715" s="1501"/>
      <c r="J715" s="1502"/>
      <c r="K715" s="1517"/>
      <c r="L715" s="1518"/>
      <c r="M715" s="1518"/>
      <c r="N715" s="1519"/>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0"/>
      <c r="C716" s="1501"/>
      <c r="D716" s="1501"/>
      <c r="E716" s="1501"/>
      <c r="F716" s="1502"/>
      <c r="G716" s="1500"/>
      <c r="H716" s="1501"/>
      <c r="I716" s="1501"/>
      <c r="J716" s="1502"/>
      <c r="K716" s="1517"/>
      <c r="L716" s="1518"/>
      <c r="M716" s="1518"/>
      <c r="N716" s="1519"/>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4"/>
      <c r="BF716" s="205" t="s">
        <v>893</v>
      </c>
      <c r="BG716" s="204"/>
      <c r="BH716" s="204"/>
      <c r="BI716" s="3"/>
      <c r="BJ716" s="3"/>
      <c r="BK716" s="3"/>
      <c r="BL716" s="3"/>
      <c r="BM716" s="3"/>
      <c r="BN716" s="3"/>
      <c r="BS716" s="205" t="s">
        <v>1626</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3"/>
      <c r="C717" s="1504"/>
      <c r="D717" s="1504"/>
      <c r="E717" s="1504"/>
      <c r="F717" s="1505"/>
      <c r="G717" s="1503"/>
      <c r="H717" s="1504"/>
      <c r="I717" s="1504"/>
      <c r="J717" s="1505"/>
      <c r="K717" s="1517"/>
      <c r="L717" s="1518"/>
      <c r="M717" s="1518"/>
      <c r="N717" s="1519"/>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647</v>
      </c>
      <c r="BA717" s="3"/>
      <c r="BB717" s="3"/>
      <c r="BC717" s="3"/>
      <c r="BD717" s="3"/>
      <c r="BE717" s="204"/>
      <c r="BF717" s="291" t="s">
        <v>894</v>
      </c>
      <c r="BG717" s="296" t="s">
        <v>895</v>
      </c>
      <c r="BH717" s="295" t="s">
        <v>896</v>
      </c>
      <c r="BI717" s="3"/>
      <c r="BJ717" s="3"/>
      <c r="BK717" s="3"/>
      <c r="BL717" s="3"/>
      <c r="BM717" s="3"/>
      <c r="BN717" s="3"/>
      <c r="BS717" s="291" t="s">
        <v>894</v>
      </c>
      <c r="BT717" s="296" t="s">
        <v>895</v>
      </c>
      <c r="BU717" s="295" t="s">
        <v>896</v>
      </c>
      <c r="CC717" s="3"/>
      <c r="CD717" s="3"/>
      <c r="CE717" s="3"/>
      <c r="CF717" s="3"/>
      <c r="CG717" s="121" t="s">
        <v>473</v>
      </c>
      <c r="CH717" s="122"/>
      <c r="CI717" s="1335"/>
      <c r="CJ717" s="1337"/>
      <c r="CK717" s="121" t="s">
        <v>474</v>
      </c>
      <c r="CL717" s="122"/>
      <c r="CM717" s="1335"/>
      <c r="CN717" s="1337"/>
      <c r="CO717" s="3"/>
      <c r="CP717" s="1798" t="s">
        <v>631</v>
      </c>
      <c r="CQ717" s="1799"/>
      <c r="CR717" s="1799"/>
      <c r="CS717" s="1799"/>
      <c r="CT717" s="1800"/>
      <c r="CU717" s="1491" t="s">
        <v>325</v>
      </c>
      <c r="CV717" s="1491"/>
      <c r="CW717" s="1491"/>
      <c r="CX717" s="1491"/>
      <c r="CY717" s="1491"/>
      <c r="CZ717" s="1491" t="s">
        <v>163</v>
      </c>
      <c r="DA717" s="1491"/>
      <c r="DB717" s="1491"/>
      <c r="DC717" s="1491"/>
      <c r="DD717" s="1491"/>
      <c r="DE717" s="1491" t="s">
        <v>164</v>
      </c>
      <c r="DF717" s="1491"/>
      <c r="DG717" s="1491"/>
      <c r="DH717" s="1491"/>
      <c r="DI717" s="1491"/>
      <c r="DJ717" s="1491" t="s">
        <v>459</v>
      </c>
      <c r="DK717" s="1491"/>
      <c r="DL717" s="1491"/>
      <c r="DM717" s="1491"/>
      <c r="DN717" s="1491"/>
      <c r="DO717" s="1491" t="s">
        <v>30</v>
      </c>
      <c r="DP717" s="1491"/>
      <c r="DQ717" s="1491"/>
      <c r="DR717" s="1491"/>
      <c r="DS717" s="1491"/>
      <c r="DT717" s="89"/>
      <c r="DU717" s="1491" t="s">
        <v>631</v>
      </c>
      <c r="DV717" s="1491"/>
      <c r="DW717" s="1491"/>
      <c r="DX717" s="1491"/>
      <c r="DY717" s="1491"/>
      <c r="DZ717" s="1491" t="s">
        <v>325</v>
      </c>
      <c r="EA717" s="1491"/>
      <c r="EB717" s="1491"/>
      <c r="EC717" s="1491"/>
      <c r="ED717" s="1491"/>
      <c r="EE717" s="1491" t="s">
        <v>163</v>
      </c>
      <c r="EF717" s="1491"/>
      <c r="EG717" s="1491"/>
      <c r="EH717" s="1491"/>
      <c r="EI717" s="1491"/>
      <c r="EJ717" s="1491" t="s">
        <v>164</v>
      </c>
      <c r="EK717" s="1491"/>
      <c r="EL717" s="1491"/>
      <c r="EM717" s="1491"/>
      <c r="EN717" s="1491"/>
      <c r="EO717" s="1491" t="s">
        <v>459</v>
      </c>
      <c r="EP717" s="1491"/>
      <c r="EQ717" s="1491"/>
      <c r="ER717" s="1491"/>
      <c r="ES717" s="1491"/>
      <c r="ET717" s="1491" t="s">
        <v>30</v>
      </c>
      <c r="EU717" s="1491"/>
      <c r="EV717" s="1491"/>
      <c r="EW717" s="1491"/>
      <c r="EX717" s="1491"/>
      <c r="EY717" s="4"/>
      <c r="EZ717" s="1491" t="s">
        <v>631</v>
      </c>
      <c r="FA717" s="1491"/>
      <c r="FB717" s="1491"/>
      <c r="FC717" s="1491"/>
      <c r="FD717" s="1491"/>
      <c r="FE717" s="1491" t="s">
        <v>325</v>
      </c>
      <c r="FF717" s="1491"/>
      <c r="FG717" s="1491"/>
      <c r="FH717" s="1491"/>
      <c r="FI717" s="1491"/>
      <c r="FJ717" s="1491" t="s">
        <v>163</v>
      </c>
      <c r="FK717" s="1491"/>
      <c r="FL717" s="1491"/>
      <c r="FM717" s="1491"/>
      <c r="FN717" s="1491"/>
      <c r="FO717" s="1491" t="s">
        <v>164</v>
      </c>
      <c r="FP717" s="1491"/>
      <c r="FQ717" s="1491"/>
      <c r="FR717" s="1491"/>
      <c r="FS717" s="1491"/>
      <c r="FT717" s="1491" t="s">
        <v>459</v>
      </c>
      <c r="FU717" s="1491"/>
      <c r="FV717" s="1491"/>
      <c r="FW717" s="1491"/>
      <c r="FX717" s="1491"/>
      <c r="FY717" s="1491" t="s">
        <v>30</v>
      </c>
      <c r="FZ717" s="1491"/>
      <c r="GA717" s="1491"/>
      <c r="GB717" s="1491"/>
      <c r="GC717" s="1491"/>
    </row>
    <row r="718" spans="1:185" ht="13" customHeight="1">
      <c r="A718" s="4"/>
      <c r="B718" s="1355" t="s">
        <v>324</v>
      </c>
      <c r="C718" s="1356"/>
      <c r="D718" s="1356"/>
      <c r="E718" s="1356"/>
      <c r="F718" s="1357"/>
      <c r="G718" s="1364">
        <v>10</v>
      </c>
      <c r="H718" s="1365"/>
      <c r="I718" s="1365"/>
      <c r="J718" s="1366"/>
      <c r="K718" s="1609">
        <v>420</v>
      </c>
      <c r="L718" s="1610"/>
      <c r="M718" s="1610"/>
      <c r="N718" s="1611"/>
      <c r="O718" s="1469">
        <v>483</v>
      </c>
      <c r="P718" s="1470"/>
      <c r="Q718" s="1470"/>
      <c r="R718" s="1470"/>
      <c r="S718" s="1471"/>
      <c r="T718" s="1469">
        <v>52</v>
      </c>
      <c r="U718" s="1470"/>
      <c r="V718" s="1470"/>
      <c r="W718" s="1471"/>
      <c r="X718" s="1358">
        <f t="shared" ref="X718:X741" si="8">O718+T718</f>
        <v>535</v>
      </c>
      <c r="Y718" s="1359"/>
      <c r="Z718" s="1359"/>
      <c r="AA718" s="1359"/>
      <c r="AB718" s="1360"/>
      <c r="AC718" s="1618">
        <v>0.3</v>
      </c>
      <c r="AD718" s="1619"/>
      <c r="AE718" s="1619"/>
      <c r="AF718" s="1619"/>
      <c r="AG718" s="1620"/>
      <c r="AH718" s="1361">
        <f>IF($AC718&gt;0,($X718/$AZ718), "")</f>
        <v>0.29988789237668162</v>
      </c>
      <c r="AI718" s="1362"/>
      <c r="AJ718" s="1363"/>
      <c r="AK718" s="1355" t="s">
        <v>590</v>
      </c>
      <c r="AL718" s="1356"/>
      <c r="AM718" s="1356"/>
      <c r="AN718" s="1356"/>
      <c r="AO718" s="1357"/>
      <c r="AP718" s="3"/>
      <c r="AQ718" s="3"/>
      <c r="AR718" s="3"/>
      <c r="AS718" s="3"/>
      <c r="AZ718" s="118">
        <f t="shared" ref="AZ718:AZ752" si="9">IF($G718=0,"N/A",VLOOKUP($T$189,TC_Rent,(MATCH($B718,bedrooms,FALSE)),FALSE))</f>
        <v>1784</v>
      </c>
      <c r="BA718" s="3"/>
      <c r="BB718" s="3"/>
      <c r="BC718" s="3"/>
      <c r="BD718" s="3"/>
      <c r="BE718" s="204"/>
      <c r="BF718" s="293">
        <f t="shared" ref="BF718:BF752" si="10">G718</f>
        <v>10</v>
      </c>
      <c r="BG718" s="297">
        <f t="shared" ref="BG718:BG752" si="11">IF($BF$753=0,0,BF718/$BF$753)</f>
        <v>0.1388888888888889</v>
      </c>
      <c r="BH718" s="298">
        <f t="shared" ref="BH718:BH752" si="12">IF(BG718=0,"",BG718*AC718)</f>
        <v>4.1666666666666664E-2</v>
      </c>
      <c r="BI718" s="3"/>
      <c r="BJ718" s="3"/>
      <c r="BK718" s="3"/>
      <c r="BL718" s="3"/>
      <c r="BM718" s="3"/>
      <c r="BN718" s="3"/>
      <c r="BS718" s="293">
        <f t="shared" ref="BS718:BS752" si="13">G718</f>
        <v>10</v>
      </c>
      <c r="BT718" s="297">
        <f t="shared" ref="BT718:BT752" si="14">IF($BS$753=0,0,BS718/$BS$753)</f>
        <v>0.1388888888888889</v>
      </c>
      <c r="BU718" s="298">
        <f t="shared" ref="BU718:BU752" si="15">IF(BT718=0,"",BT718*AH718)</f>
        <v>4.1651096163428006E-2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10</v>
      </c>
      <c r="CN718" s="1337"/>
      <c r="CO718" s="3"/>
      <c r="CP718" s="1332">
        <f t="shared" ref="CP718:CP752" si="18">IF(B718="SRO/Studio",G718,0)</f>
        <v>10</v>
      </c>
      <c r="CQ718" s="1333"/>
      <c r="CR718" s="1333"/>
      <c r="CS718" s="1333"/>
      <c r="CT718" s="1334"/>
      <c r="CU718" s="1354">
        <f t="shared" ref="CU718:CU752" si="19">IF(B718="1 Bedroom",G718,0)</f>
        <v>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10</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f t="shared" ref="EZ718:EZ752" si="30">IF(CP718&gt;0,O718,"")</f>
        <v>483</v>
      </c>
      <c r="FA718" s="1352"/>
      <c r="FB718" s="1352"/>
      <c r="FC718" s="1352"/>
      <c r="FD718" s="1353"/>
      <c r="FE718" s="1351" t="str">
        <f t="shared" ref="FE718:FE752" si="31">IF(CU718&gt;0,O718,"")</f>
        <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3" customHeight="1">
      <c r="A719" s="4"/>
      <c r="B719" s="1355" t="s">
        <v>324</v>
      </c>
      <c r="C719" s="1356"/>
      <c r="D719" s="1356"/>
      <c r="E719" s="1356"/>
      <c r="F719" s="1357"/>
      <c r="G719" s="1364">
        <v>2</v>
      </c>
      <c r="H719" s="1365"/>
      <c r="I719" s="1365"/>
      <c r="J719" s="1366"/>
      <c r="K719" s="1609">
        <v>420</v>
      </c>
      <c r="L719" s="1610"/>
      <c r="M719" s="1610"/>
      <c r="N719" s="1611"/>
      <c r="O719" s="1469">
        <v>840</v>
      </c>
      <c r="P719" s="1470"/>
      <c r="Q719" s="1470"/>
      <c r="R719" s="1470"/>
      <c r="S719" s="1471"/>
      <c r="T719" s="1469">
        <v>52</v>
      </c>
      <c r="U719" s="1470"/>
      <c r="V719" s="1470"/>
      <c r="W719" s="1471"/>
      <c r="X719" s="1358">
        <f t="shared" si="8"/>
        <v>892</v>
      </c>
      <c r="Y719" s="1359"/>
      <c r="Z719" s="1359"/>
      <c r="AA719" s="1359"/>
      <c r="AB719" s="1360"/>
      <c r="AC719" s="1618">
        <v>0.5</v>
      </c>
      <c r="AD719" s="1619"/>
      <c r="AE719" s="1619"/>
      <c r="AF719" s="1619"/>
      <c r="AG719" s="1620"/>
      <c r="AH719" s="1361">
        <f t="shared" ref="AH719:AH752" si="36">IF($AC719&gt;0,($X719/$AZ719), "")</f>
        <v>0.5</v>
      </c>
      <c r="AI719" s="1362"/>
      <c r="AJ719" s="1363"/>
      <c r="AK719" s="1355" t="s">
        <v>590</v>
      </c>
      <c r="AL719" s="1356"/>
      <c r="AM719" s="1356"/>
      <c r="AN719" s="1356"/>
      <c r="AO719" s="1357"/>
      <c r="AP719" s="3"/>
      <c r="AQ719" s="3"/>
      <c r="AR719" s="3"/>
      <c r="AS719" s="3"/>
      <c r="AZ719" s="118">
        <f t="shared" si="9"/>
        <v>1784</v>
      </c>
      <c r="BA719" s="3"/>
      <c r="BB719" s="3"/>
      <c r="BC719" s="3"/>
      <c r="BD719" s="3"/>
      <c r="BE719" s="204"/>
      <c r="BF719" s="294">
        <f t="shared" si="10"/>
        <v>2</v>
      </c>
      <c r="BG719" s="297">
        <f t="shared" si="11"/>
        <v>2.7777777777777776E-2</v>
      </c>
      <c r="BH719" s="298">
        <f t="shared" si="12"/>
        <v>1.3888888888888888E-2</v>
      </c>
      <c r="BI719" s="3"/>
      <c r="BJ719" s="3"/>
      <c r="BK719" s="3"/>
      <c r="BL719" s="3"/>
      <c r="BM719" s="3"/>
      <c r="BN719" s="3"/>
      <c r="BS719" s="294">
        <f t="shared" si="13"/>
        <v>2</v>
      </c>
      <c r="BT719" s="297">
        <f t="shared" si="14"/>
        <v>2.7777777777777776E-2</v>
      </c>
      <c r="BU719" s="298">
        <f t="shared" si="15"/>
        <v>1.3888888888888888E-2</v>
      </c>
      <c r="CC719" s="3"/>
      <c r="CD719" s="3"/>
      <c r="CE719" s="3"/>
      <c r="CF719" s="3"/>
      <c r="CG719" s="1351">
        <f t="shared" ref="CG719:CG752" si="37">IF(AND(AC719&lt;=0.5,AC719&gt;=0.36),1,0)</f>
        <v>1</v>
      </c>
      <c r="CH719" s="1353"/>
      <c r="CI719" s="1335">
        <f t="shared" ref="CI719:CI752" si="38">IF(CG719=1,G719,0)</f>
        <v>2</v>
      </c>
      <c r="CJ719" s="1337"/>
      <c r="CK719" s="1351">
        <f t="shared" si="16"/>
        <v>0</v>
      </c>
      <c r="CL719" s="1353"/>
      <c r="CM719" s="1335">
        <f t="shared" si="17"/>
        <v>0</v>
      </c>
      <c r="CN719" s="1337"/>
      <c r="CO719" s="3"/>
      <c r="CP719" s="1332">
        <f t="shared" si="18"/>
        <v>2</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f t="shared" si="30"/>
        <v>840</v>
      </c>
      <c r="FA719" s="1352"/>
      <c r="FB719" s="1352"/>
      <c r="FC719" s="1352"/>
      <c r="FD719" s="1353"/>
      <c r="FE719" s="1351" t="str">
        <f t="shared" si="31"/>
        <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3" customHeight="1">
      <c r="A720" s="4"/>
      <c r="B720" s="1355" t="s">
        <v>324</v>
      </c>
      <c r="C720" s="1356"/>
      <c r="D720" s="1356"/>
      <c r="E720" s="1356"/>
      <c r="F720" s="1357"/>
      <c r="G720" s="1364">
        <v>2</v>
      </c>
      <c r="H720" s="1365"/>
      <c r="I720" s="1365"/>
      <c r="J720" s="1366"/>
      <c r="K720" s="1609">
        <v>420</v>
      </c>
      <c r="L720" s="1610"/>
      <c r="M720" s="1610"/>
      <c r="N720" s="1611"/>
      <c r="O720" s="1469">
        <v>1019</v>
      </c>
      <c r="P720" s="1470"/>
      <c r="Q720" s="1470"/>
      <c r="R720" s="1470"/>
      <c r="S720" s="1471"/>
      <c r="T720" s="1469">
        <v>52</v>
      </c>
      <c r="U720" s="1470"/>
      <c r="V720" s="1470"/>
      <c r="W720" s="1471"/>
      <c r="X720" s="1358">
        <f t="shared" si="8"/>
        <v>1071</v>
      </c>
      <c r="Y720" s="1359"/>
      <c r="Z720" s="1359"/>
      <c r="AA720" s="1359"/>
      <c r="AB720" s="1360"/>
      <c r="AC720" s="1618">
        <v>0.6</v>
      </c>
      <c r="AD720" s="1619"/>
      <c r="AE720" s="1619"/>
      <c r="AF720" s="1619"/>
      <c r="AG720" s="1620"/>
      <c r="AH720" s="1361">
        <f t="shared" si="36"/>
        <v>0.6003363228699552</v>
      </c>
      <c r="AI720" s="1362"/>
      <c r="AJ720" s="1363"/>
      <c r="AK720" s="1355" t="s">
        <v>590</v>
      </c>
      <c r="AL720" s="1356"/>
      <c r="AM720" s="1356"/>
      <c r="AN720" s="1356"/>
      <c r="AO720" s="1357"/>
      <c r="AP720" s="3"/>
      <c r="AQ720" s="3"/>
      <c r="AR720" s="3"/>
      <c r="AS720" s="3"/>
      <c r="AZ720" s="118">
        <f t="shared" si="9"/>
        <v>1784</v>
      </c>
      <c r="BA720" s="3"/>
      <c r="BB720" s="3"/>
      <c r="BC720" s="3"/>
      <c r="BD720" s="3"/>
      <c r="BE720" s="204"/>
      <c r="BF720" s="294">
        <f t="shared" si="10"/>
        <v>2</v>
      </c>
      <c r="BG720" s="297">
        <f t="shared" si="11"/>
        <v>2.7777777777777776E-2</v>
      </c>
      <c r="BH720" s="298">
        <f t="shared" si="12"/>
        <v>1.6666666666666666E-2</v>
      </c>
      <c r="BI720" s="3"/>
      <c r="BJ720" s="3"/>
      <c r="BK720" s="3"/>
      <c r="BL720" s="3"/>
      <c r="BM720" s="3"/>
      <c r="BN720" s="3"/>
      <c r="BS720" s="294">
        <f t="shared" si="13"/>
        <v>2</v>
      </c>
      <c r="BT720" s="297">
        <f t="shared" si="14"/>
        <v>2.7777777777777776E-2</v>
      </c>
      <c r="BU720" s="298">
        <f t="shared" si="15"/>
        <v>1.6676008968609865E-2</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2</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f t="shared" si="30"/>
        <v>1019</v>
      </c>
      <c r="FA720" s="1352"/>
      <c r="FB720" s="1352"/>
      <c r="FC720" s="1352"/>
      <c r="FD720" s="1353"/>
      <c r="FE720" s="1351" t="str">
        <f t="shared" si="31"/>
        <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3" customHeight="1">
      <c r="B721" s="1355" t="s">
        <v>324</v>
      </c>
      <c r="C721" s="1356"/>
      <c r="D721" s="1356"/>
      <c r="E721" s="1356"/>
      <c r="F721" s="1357"/>
      <c r="G721" s="1364">
        <v>1</v>
      </c>
      <c r="H721" s="1365"/>
      <c r="I721" s="1365"/>
      <c r="J721" s="1366"/>
      <c r="K721" s="1609">
        <v>420</v>
      </c>
      <c r="L721" s="1610"/>
      <c r="M721" s="1610"/>
      <c r="N721" s="1611"/>
      <c r="O721" s="1469">
        <v>1376</v>
      </c>
      <c r="P721" s="1470"/>
      <c r="Q721" s="1470"/>
      <c r="R721" s="1470"/>
      <c r="S721" s="1471"/>
      <c r="T721" s="1469">
        <v>52</v>
      </c>
      <c r="U721" s="1470"/>
      <c r="V721" s="1470"/>
      <c r="W721" s="1471"/>
      <c r="X721" s="1358">
        <f t="shared" si="8"/>
        <v>1428</v>
      </c>
      <c r="Y721" s="1359"/>
      <c r="Z721" s="1359"/>
      <c r="AA721" s="1359"/>
      <c r="AB721" s="1360"/>
      <c r="AC721" s="1618">
        <v>0.8</v>
      </c>
      <c r="AD721" s="1619"/>
      <c r="AE721" s="1619"/>
      <c r="AF721" s="1619"/>
      <c r="AG721" s="1620"/>
      <c r="AH721" s="1361">
        <f t="shared" si="36"/>
        <v>0.80044843049327352</v>
      </c>
      <c r="AI721" s="1362"/>
      <c r="AJ721" s="1363"/>
      <c r="AK721" s="1355" t="s">
        <v>590</v>
      </c>
      <c r="AL721" s="1356"/>
      <c r="AM721" s="1356"/>
      <c r="AN721" s="1356"/>
      <c r="AO721" s="1357"/>
      <c r="AP721" s="3"/>
      <c r="AQ721" s="3"/>
      <c r="AR721" s="3"/>
      <c r="AS721" s="3"/>
      <c r="AY721" s="116"/>
      <c r="AZ721" s="118">
        <f t="shared" si="9"/>
        <v>1784</v>
      </c>
      <c r="BA721" s="3"/>
      <c r="BB721" s="3"/>
      <c r="BC721" s="3"/>
      <c r="BD721" s="3"/>
      <c r="BE721" s="204"/>
      <c r="BF721" s="294">
        <f t="shared" si="10"/>
        <v>1</v>
      </c>
      <c r="BG721" s="297">
        <f t="shared" si="11"/>
        <v>1.3888888888888888E-2</v>
      </c>
      <c r="BH721" s="298">
        <f t="shared" si="12"/>
        <v>1.1111111111111112E-2</v>
      </c>
      <c r="BI721" s="3"/>
      <c r="BJ721" s="3"/>
      <c r="BK721" s="3"/>
      <c r="BL721" s="3"/>
      <c r="BM721" s="3"/>
      <c r="BN721" s="3"/>
      <c r="BS721" s="294">
        <f t="shared" si="13"/>
        <v>1</v>
      </c>
      <c r="BT721" s="297">
        <f t="shared" si="14"/>
        <v>1.3888888888888888E-2</v>
      </c>
      <c r="BU721" s="298">
        <f t="shared" si="15"/>
        <v>1.1117339312406577E-2</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1</v>
      </c>
      <c r="CQ721" s="1333"/>
      <c r="CR721" s="1333"/>
      <c r="CS721" s="1333"/>
      <c r="CT721" s="1334"/>
      <c r="CU721" s="1354">
        <f t="shared" si="19"/>
        <v>0</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f t="shared" si="30"/>
        <v>1376</v>
      </c>
      <c r="FA721" s="1352"/>
      <c r="FB721" s="1352"/>
      <c r="FC721" s="1352"/>
      <c r="FD721" s="1353"/>
      <c r="FE721" s="1351" t="str">
        <f t="shared" si="31"/>
        <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3" customHeight="1">
      <c r="B722" s="1355" t="s">
        <v>325</v>
      </c>
      <c r="C722" s="1356"/>
      <c r="D722" s="1356"/>
      <c r="E722" s="1356"/>
      <c r="F722" s="1357"/>
      <c r="G722" s="1364">
        <v>7</v>
      </c>
      <c r="H722" s="1365"/>
      <c r="I722" s="1365"/>
      <c r="J722" s="1366"/>
      <c r="K722" s="1609">
        <v>665</v>
      </c>
      <c r="L722" s="1610"/>
      <c r="M722" s="1610"/>
      <c r="N722" s="1611"/>
      <c r="O722" s="1469">
        <v>504</v>
      </c>
      <c r="P722" s="1470"/>
      <c r="Q722" s="1470"/>
      <c r="R722" s="1470"/>
      <c r="S722" s="1471"/>
      <c r="T722" s="1469">
        <v>70</v>
      </c>
      <c r="U722" s="1470"/>
      <c r="V722" s="1470"/>
      <c r="W722" s="1471"/>
      <c r="X722" s="1358">
        <f t="shared" si="8"/>
        <v>574</v>
      </c>
      <c r="Y722" s="1359"/>
      <c r="Z722" s="1359"/>
      <c r="AA722" s="1359"/>
      <c r="AB722" s="1360"/>
      <c r="AC722" s="1618">
        <v>0.3</v>
      </c>
      <c r="AD722" s="1619"/>
      <c r="AE722" s="1619"/>
      <c r="AF722" s="1619"/>
      <c r="AG722" s="1620"/>
      <c r="AH722" s="1361">
        <f t="shared" si="36"/>
        <v>0.30020920502092052</v>
      </c>
      <c r="AI722" s="1362"/>
      <c r="AJ722" s="1363"/>
      <c r="AK722" s="1355" t="s">
        <v>590</v>
      </c>
      <c r="AL722" s="1356"/>
      <c r="AM722" s="1356"/>
      <c r="AN722" s="1356"/>
      <c r="AO722" s="1357"/>
      <c r="AP722" s="3"/>
      <c r="AQ722" s="3"/>
      <c r="AR722" s="3"/>
      <c r="AS722" s="3"/>
      <c r="AY722" s="116"/>
      <c r="AZ722" s="118">
        <f t="shared" si="9"/>
        <v>1912</v>
      </c>
      <c r="BA722" s="3"/>
      <c r="BB722" s="3"/>
      <c r="BC722" s="3"/>
      <c r="BD722" s="3"/>
      <c r="BE722" s="204"/>
      <c r="BF722" s="294">
        <f t="shared" si="10"/>
        <v>7</v>
      </c>
      <c r="BG722" s="297">
        <f t="shared" si="11"/>
        <v>9.7222222222222224E-2</v>
      </c>
      <c r="BH722" s="298">
        <f t="shared" si="12"/>
        <v>2.9166666666666667E-2</v>
      </c>
      <c r="BI722" s="3"/>
      <c r="BJ722" s="3"/>
      <c r="BK722" s="3"/>
      <c r="BL722" s="3"/>
      <c r="BM722" s="3"/>
      <c r="BN722" s="3"/>
      <c r="BS722" s="294">
        <f t="shared" si="13"/>
        <v>7</v>
      </c>
      <c r="BT722" s="297">
        <f t="shared" si="14"/>
        <v>9.7222222222222224E-2</v>
      </c>
      <c r="BU722" s="298">
        <f t="shared" si="15"/>
        <v>2.9187006043700607E-2</v>
      </c>
      <c r="CC722" s="3"/>
      <c r="CD722" s="3"/>
      <c r="CE722" s="3"/>
      <c r="CF722" s="3"/>
      <c r="CG722" s="1351">
        <f t="shared" si="37"/>
        <v>0</v>
      </c>
      <c r="CH722" s="1353"/>
      <c r="CI722" s="1335">
        <f t="shared" si="38"/>
        <v>0</v>
      </c>
      <c r="CJ722" s="1337"/>
      <c r="CK722" s="1351">
        <f t="shared" si="16"/>
        <v>1</v>
      </c>
      <c r="CL722" s="1353"/>
      <c r="CM722" s="1335">
        <f t="shared" si="17"/>
        <v>7</v>
      </c>
      <c r="CN722" s="1337"/>
      <c r="CO722" s="3"/>
      <c r="CP722" s="1332">
        <f t="shared" si="18"/>
        <v>0</v>
      </c>
      <c r="CQ722" s="1333"/>
      <c r="CR722" s="1333"/>
      <c r="CS722" s="1333"/>
      <c r="CT722" s="1334"/>
      <c r="CU722" s="1354">
        <f t="shared" si="19"/>
        <v>7</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7</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f t="shared" si="31"/>
        <v>504</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3" customHeight="1">
      <c r="B723" s="1355" t="s">
        <v>325</v>
      </c>
      <c r="C723" s="1356"/>
      <c r="D723" s="1356"/>
      <c r="E723" s="1356"/>
      <c r="F723" s="1357"/>
      <c r="G723" s="1364">
        <v>2</v>
      </c>
      <c r="H723" s="1365"/>
      <c r="I723" s="1365"/>
      <c r="J723" s="1366"/>
      <c r="K723" s="1609">
        <v>665</v>
      </c>
      <c r="L723" s="1610"/>
      <c r="M723" s="1610"/>
      <c r="N723" s="1611"/>
      <c r="O723" s="1469">
        <v>886</v>
      </c>
      <c r="P723" s="1470"/>
      <c r="Q723" s="1470"/>
      <c r="R723" s="1470"/>
      <c r="S723" s="1471"/>
      <c r="T723" s="1469">
        <v>70</v>
      </c>
      <c r="U723" s="1470"/>
      <c r="V723" s="1470"/>
      <c r="W723" s="1471"/>
      <c r="X723" s="1358">
        <f t="shared" si="8"/>
        <v>956</v>
      </c>
      <c r="Y723" s="1359"/>
      <c r="Z723" s="1359"/>
      <c r="AA723" s="1359"/>
      <c r="AB723" s="1360"/>
      <c r="AC723" s="1618">
        <v>0.5</v>
      </c>
      <c r="AD723" s="1619"/>
      <c r="AE723" s="1619"/>
      <c r="AF723" s="1619"/>
      <c r="AG723" s="1620"/>
      <c r="AH723" s="1361">
        <f t="shared" si="36"/>
        <v>0.5</v>
      </c>
      <c r="AI723" s="1362"/>
      <c r="AJ723" s="1363"/>
      <c r="AK723" s="1355" t="s">
        <v>590</v>
      </c>
      <c r="AL723" s="1356"/>
      <c r="AM723" s="1356"/>
      <c r="AN723" s="1356"/>
      <c r="AO723" s="1357"/>
      <c r="AP723" s="3"/>
      <c r="AQ723" s="3"/>
      <c r="AR723" s="3"/>
      <c r="AS723" s="3"/>
      <c r="AY723" s="116"/>
      <c r="AZ723" s="118">
        <f t="shared" si="9"/>
        <v>1912</v>
      </c>
      <c r="BA723" s="3"/>
      <c r="BB723" s="3"/>
      <c r="BC723" s="3"/>
      <c r="BD723" s="3"/>
      <c r="BE723" s="204"/>
      <c r="BF723" s="294">
        <f t="shared" si="10"/>
        <v>2</v>
      </c>
      <c r="BG723" s="297">
        <f t="shared" si="11"/>
        <v>2.7777777777777776E-2</v>
      </c>
      <c r="BH723" s="298">
        <f t="shared" si="12"/>
        <v>1.3888888888888888E-2</v>
      </c>
      <c r="BI723" s="3"/>
      <c r="BJ723" s="3"/>
      <c r="BK723" s="3"/>
      <c r="BL723" s="3"/>
      <c r="BM723" s="3"/>
      <c r="BN723" s="3"/>
      <c r="BS723" s="294">
        <f t="shared" si="13"/>
        <v>2</v>
      </c>
      <c r="BT723" s="297">
        <f t="shared" si="14"/>
        <v>2.7777777777777776E-2</v>
      </c>
      <c r="BU723" s="298">
        <f t="shared" si="15"/>
        <v>1.3888888888888888E-2</v>
      </c>
      <c r="CC723" s="3"/>
      <c r="CD723" s="3"/>
      <c r="CE723" s="3"/>
      <c r="CF723" s="3"/>
      <c r="CG723" s="1351">
        <f t="shared" si="37"/>
        <v>1</v>
      </c>
      <c r="CH723" s="1353"/>
      <c r="CI723" s="1335">
        <f t="shared" si="38"/>
        <v>2</v>
      </c>
      <c r="CJ723" s="1337"/>
      <c r="CK723" s="1351">
        <f t="shared" si="16"/>
        <v>0</v>
      </c>
      <c r="CL723" s="1353"/>
      <c r="CM723" s="1335">
        <f t="shared" si="17"/>
        <v>0</v>
      </c>
      <c r="CN723" s="1337"/>
      <c r="CO723" s="3"/>
      <c r="CP723" s="1332">
        <f t="shared" si="18"/>
        <v>0</v>
      </c>
      <c r="CQ723" s="1333"/>
      <c r="CR723" s="1333"/>
      <c r="CS723" s="1333"/>
      <c r="CT723" s="1334"/>
      <c r="CU723" s="1354">
        <f t="shared" si="19"/>
        <v>2</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f t="shared" si="31"/>
        <v>886</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3" customHeight="1">
      <c r="B724" s="1355" t="s">
        <v>325</v>
      </c>
      <c r="C724" s="1356"/>
      <c r="D724" s="1356"/>
      <c r="E724" s="1356"/>
      <c r="F724" s="1357"/>
      <c r="G724" s="1364">
        <v>2</v>
      </c>
      <c r="H724" s="1365"/>
      <c r="I724" s="1365"/>
      <c r="J724" s="1366"/>
      <c r="K724" s="1609">
        <v>665</v>
      </c>
      <c r="L724" s="1610"/>
      <c r="M724" s="1610"/>
      <c r="N724" s="1611"/>
      <c r="O724" s="1469">
        <v>1078</v>
      </c>
      <c r="P724" s="1470"/>
      <c r="Q724" s="1470"/>
      <c r="R724" s="1470"/>
      <c r="S724" s="1471"/>
      <c r="T724" s="1469">
        <v>70</v>
      </c>
      <c r="U724" s="1470"/>
      <c r="V724" s="1470"/>
      <c r="W724" s="1471"/>
      <c r="X724" s="1358">
        <f t="shared" si="8"/>
        <v>1148</v>
      </c>
      <c r="Y724" s="1359"/>
      <c r="Z724" s="1359"/>
      <c r="AA724" s="1359"/>
      <c r="AB724" s="1360"/>
      <c r="AC724" s="1618">
        <v>0.6</v>
      </c>
      <c r="AD724" s="1619"/>
      <c r="AE724" s="1619"/>
      <c r="AF724" s="1619"/>
      <c r="AG724" s="1620"/>
      <c r="AH724" s="1361">
        <f t="shared" si="36"/>
        <v>0.60041841004184104</v>
      </c>
      <c r="AI724" s="1362"/>
      <c r="AJ724" s="1363"/>
      <c r="AK724" s="1355" t="s">
        <v>590</v>
      </c>
      <c r="AL724" s="1356"/>
      <c r="AM724" s="1356"/>
      <c r="AN724" s="1356"/>
      <c r="AO724" s="1357"/>
      <c r="AP724" s="3"/>
      <c r="AQ724" s="3"/>
      <c r="AR724" s="3"/>
      <c r="AS724" s="3"/>
      <c r="AY724" s="116"/>
      <c r="AZ724" s="118">
        <f t="shared" si="9"/>
        <v>1912</v>
      </c>
      <c r="BA724" s="3"/>
      <c r="BB724" s="3"/>
      <c r="BC724" s="3"/>
      <c r="BD724" s="3"/>
      <c r="BE724" s="204"/>
      <c r="BF724" s="294">
        <f t="shared" si="10"/>
        <v>2</v>
      </c>
      <c r="BG724" s="297">
        <f t="shared" si="11"/>
        <v>2.7777777777777776E-2</v>
      </c>
      <c r="BH724" s="298">
        <f t="shared" si="12"/>
        <v>1.6666666666666666E-2</v>
      </c>
      <c r="BI724" s="3"/>
      <c r="BJ724" s="3"/>
      <c r="BK724" s="3"/>
      <c r="BL724" s="3"/>
      <c r="BM724" s="3"/>
      <c r="BN724" s="3"/>
      <c r="BS724" s="294">
        <f t="shared" si="13"/>
        <v>2</v>
      </c>
      <c r="BT724" s="297">
        <f t="shared" si="14"/>
        <v>2.7777777777777776E-2</v>
      </c>
      <c r="BU724" s="298">
        <f t="shared" si="15"/>
        <v>1.6678289167828916E-2</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2</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f t="shared" si="31"/>
        <v>1078</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3" customHeight="1">
      <c r="B725" s="1355" t="s">
        <v>325</v>
      </c>
      <c r="C725" s="1356"/>
      <c r="D725" s="1356"/>
      <c r="E725" s="1356"/>
      <c r="F725" s="1357"/>
      <c r="G725" s="1364">
        <v>1</v>
      </c>
      <c r="H725" s="1365"/>
      <c r="I725" s="1365"/>
      <c r="J725" s="1366"/>
      <c r="K725" s="1609">
        <v>665</v>
      </c>
      <c r="L725" s="1610"/>
      <c r="M725" s="1610"/>
      <c r="N725" s="1611"/>
      <c r="O725" s="1469">
        <v>1461</v>
      </c>
      <c r="P725" s="1470"/>
      <c r="Q725" s="1470"/>
      <c r="R725" s="1470"/>
      <c r="S725" s="1471"/>
      <c r="T725" s="1469">
        <v>70</v>
      </c>
      <c r="U725" s="1470"/>
      <c r="V725" s="1470"/>
      <c r="W725" s="1471"/>
      <c r="X725" s="1358">
        <f t="shared" si="8"/>
        <v>1531</v>
      </c>
      <c r="Y725" s="1359"/>
      <c r="Z725" s="1359"/>
      <c r="AA725" s="1359"/>
      <c r="AB725" s="1360"/>
      <c r="AC725" s="1618">
        <v>0.8</v>
      </c>
      <c r="AD725" s="1619"/>
      <c r="AE725" s="1619"/>
      <c r="AF725" s="1619"/>
      <c r="AG725" s="1620"/>
      <c r="AH725" s="1361">
        <f t="shared" si="36"/>
        <v>0.80073221757322177</v>
      </c>
      <c r="AI725" s="1362"/>
      <c r="AJ725" s="1363"/>
      <c r="AK725" s="1355" t="s">
        <v>590</v>
      </c>
      <c r="AL725" s="1356"/>
      <c r="AM725" s="1356"/>
      <c r="AN725" s="1356"/>
      <c r="AO725" s="1357"/>
      <c r="AP725" s="3"/>
      <c r="AQ725" s="3"/>
      <c r="AR725" s="3"/>
      <c r="AS725" s="3"/>
      <c r="AY725" s="1085"/>
      <c r="AZ725" s="118">
        <f t="shared" si="9"/>
        <v>1912</v>
      </c>
      <c r="BA725" s="3"/>
      <c r="BB725" s="3"/>
      <c r="BC725" s="3"/>
      <c r="BD725" s="3"/>
      <c r="BE725" s="204"/>
      <c r="BF725" s="294">
        <f t="shared" si="10"/>
        <v>1</v>
      </c>
      <c r="BG725" s="297">
        <f t="shared" si="11"/>
        <v>1.3888888888888888E-2</v>
      </c>
      <c r="BH725" s="298">
        <f t="shared" si="12"/>
        <v>1.1111111111111112E-2</v>
      </c>
      <c r="BI725" s="3"/>
      <c r="BJ725" s="3"/>
      <c r="BK725" s="3"/>
      <c r="BL725" s="3"/>
      <c r="BM725" s="3"/>
      <c r="BN725" s="3"/>
      <c r="BS725" s="294">
        <f t="shared" si="13"/>
        <v>1</v>
      </c>
      <c r="BT725" s="297">
        <f t="shared" si="14"/>
        <v>1.3888888888888888E-2</v>
      </c>
      <c r="BU725" s="298">
        <f t="shared" si="15"/>
        <v>1.112128079962808E-2</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1</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f t="shared" si="31"/>
        <v>1461</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3" customHeight="1">
      <c r="B726" s="1355" t="s">
        <v>163</v>
      </c>
      <c r="C726" s="1356"/>
      <c r="D726" s="1356"/>
      <c r="E726" s="1356"/>
      <c r="F726" s="1357"/>
      <c r="G726" s="1364">
        <v>4</v>
      </c>
      <c r="H726" s="1365"/>
      <c r="I726" s="1365"/>
      <c r="J726" s="1366"/>
      <c r="K726" s="1609">
        <v>830</v>
      </c>
      <c r="L726" s="1610"/>
      <c r="M726" s="1610"/>
      <c r="N726" s="1611"/>
      <c r="O726" s="1469">
        <v>594</v>
      </c>
      <c r="P726" s="1470"/>
      <c r="Q726" s="1470"/>
      <c r="R726" s="1470"/>
      <c r="S726" s="1471"/>
      <c r="T726" s="1469">
        <v>94</v>
      </c>
      <c r="U726" s="1470"/>
      <c r="V726" s="1470"/>
      <c r="W726" s="1471"/>
      <c r="X726" s="1358">
        <f t="shared" si="8"/>
        <v>688</v>
      </c>
      <c r="Y726" s="1359"/>
      <c r="Z726" s="1359"/>
      <c r="AA726" s="1359"/>
      <c r="AB726" s="1360"/>
      <c r="AC726" s="1618">
        <v>0.3</v>
      </c>
      <c r="AD726" s="1619"/>
      <c r="AE726" s="1619"/>
      <c r="AF726" s="1619"/>
      <c r="AG726" s="1620"/>
      <c r="AH726" s="1361">
        <f t="shared" si="36"/>
        <v>0.29991281604184827</v>
      </c>
      <c r="AI726" s="1362"/>
      <c r="AJ726" s="1363"/>
      <c r="AK726" s="1355" t="s">
        <v>590</v>
      </c>
      <c r="AL726" s="1356"/>
      <c r="AM726" s="1356"/>
      <c r="AN726" s="1356"/>
      <c r="AO726" s="1357"/>
      <c r="AP726" s="3"/>
      <c r="AQ726" s="3"/>
      <c r="AR726" s="3"/>
      <c r="AS726" s="3"/>
      <c r="AY726" s="1085"/>
      <c r="AZ726" s="118">
        <f t="shared" si="9"/>
        <v>2294</v>
      </c>
      <c r="BA726" s="3"/>
      <c r="BB726" s="3"/>
      <c r="BC726" s="3"/>
      <c r="BD726" s="3"/>
      <c r="BE726" s="204"/>
      <c r="BF726" s="294">
        <f t="shared" si="10"/>
        <v>4</v>
      </c>
      <c r="BG726" s="297">
        <f t="shared" si="11"/>
        <v>5.5555555555555552E-2</v>
      </c>
      <c r="BH726" s="298">
        <f t="shared" si="12"/>
        <v>1.6666666666666666E-2</v>
      </c>
      <c r="BI726" s="3"/>
      <c r="BJ726" s="3"/>
      <c r="BK726" s="3"/>
      <c r="BL726" s="3"/>
      <c r="BM726" s="3"/>
      <c r="BN726" s="3"/>
      <c r="BS726" s="294">
        <f t="shared" si="13"/>
        <v>4</v>
      </c>
      <c r="BT726" s="297">
        <f t="shared" si="14"/>
        <v>5.5555555555555552E-2</v>
      </c>
      <c r="BU726" s="298">
        <f t="shared" si="15"/>
        <v>1.6661823113436013E-2</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4</v>
      </c>
      <c r="CN726" s="1337"/>
      <c r="CO726" s="3"/>
      <c r="CP726" s="1332">
        <f t="shared" si="18"/>
        <v>0</v>
      </c>
      <c r="CQ726" s="1333"/>
      <c r="CR726" s="1333"/>
      <c r="CS726" s="1333"/>
      <c r="CT726" s="1334"/>
      <c r="CU726" s="1354">
        <f t="shared" si="19"/>
        <v>0</v>
      </c>
      <c r="CV726" s="1354"/>
      <c r="CW726" s="1354"/>
      <c r="CX726" s="1354"/>
      <c r="CY726" s="1354"/>
      <c r="CZ726" s="1354">
        <f t="shared" si="20"/>
        <v>4</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4</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594</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3" customHeight="1">
      <c r="A727" s="4"/>
      <c r="B727" s="1355" t="s">
        <v>163</v>
      </c>
      <c r="C727" s="1356"/>
      <c r="D727" s="1356"/>
      <c r="E727" s="1356"/>
      <c r="F727" s="1357"/>
      <c r="G727" s="1364">
        <v>2</v>
      </c>
      <c r="H727" s="1365"/>
      <c r="I727" s="1365"/>
      <c r="J727" s="1366"/>
      <c r="K727" s="1609">
        <v>830</v>
      </c>
      <c r="L727" s="1610"/>
      <c r="M727" s="1610"/>
      <c r="N727" s="1611"/>
      <c r="O727" s="1469">
        <v>1053</v>
      </c>
      <c r="P727" s="1470"/>
      <c r="Q727" s="1470"/>
      <c r="R727" s="1470"/>
      <c r="S727" s="1471"/>
      <c r="T727" s="1469">
        <v>94</v>
      </c>
      <c r="U727" s="1470"/>
      <c r="V727" s="1470"/>
      <c r="W727" s="1471"/>
      <c r="X727" s="1358">
        <f t="shared" si="8"/>
        <v>1147</v>
      </c>
      <c r="Y727" s="1359"/>
      <c r="Z727" s="1359"/>
      <c r="AA727" s="1359"/>
      <c r="AB727" s="1360"/>
      <c r="AC727" s="1618">
        <v>0.5</v>
      </c>
      <c r="AD727" s="1619"/>
      <c r="AE727" s="1619"/>
      <c r="AF727" s="1619"/>
      <c r="AG727" s="1620"/>
      <c r="AH727" s="1361">
        <f t="shared" si="36"/>
        <v>0.5</v>
      </c>
      <c r="AI727" s="1362"/>
      <c r="AJ727" s="1363"/>
      <c r="AK727" s="1355" t="s">
        <v>590</v>
      </c>
      <c r="AL727" s="1356"/>
      <c r="AM727" s="1356"/>
      <c r="AN727" s="1356"/>
      <c r="AO727" s="1357"/>
      <c r="AP727" s="3"/>
      <c r="AQ727" s="3"/>
      <c r="AR727" s="3"/>
      <c r="AS727" s="3"/>
      <c r="AY727" s="1085"/>
      <c r="AZ727" s="118">
        <f t="shared" si="9"/>
        <v>2294</v>
      </c>
      <c r="BA727" s="3"/>
      <c r="BB727" s="3"/>
      <c r="BC727" s="3"/>
      <c r="BD727" s="3"/>
      <c r="BE727" s="204"/>
      <c r="BF727" s="294">
        <f t="shared" si="10"/>
        <v>2</v>
      </c>
      <c r="BG727" s="297">
        <f t="shared" si="11"/>
        <v>2.7777777777777776E-2</v>
      </c>
      <c r="BH727" s="298">
        <f t="shared" si="12"/>
        <v>1.3888888888888888E-2</v>
      </c>
      <c r="BI727" s="3"/>
      <c r="BJ727" s="3"/>
      <c r="BK727" s="3"/>
      <c r="BL727" s="3"/>
      <c r="BM727" s="3"/>
      <c r="BN727" s="3"/>
      <c r="BS727" s="294">
        <f t="shared" si="13"/>
        <v>2</v>
      </c>
      <c r="BT727" s="297">
        <f t="shared" si="14"/>
        <v>2.7777777777777776E-2</v>
      </c>
      <c r="BU727" s="298">
        <f t="shared" si="15"/>
        <v>1.3888888888888888E-2</v>
      </c>
      <c r="BV727" s="3"/>
      <c r="BW727" s="3"/>
      <c r="BX727" s="3"/>
      <c r="BY727" s="3"/>
      <c r="BZ727" s="3"/>
      <c r="CA727" s="3"/>
      <c r="CB727" s="3"/>
      <c r="CC727" s="3"/>
      <c r="CE727" s="3"/>
      <c r="CF727" s="3"/>
      <c r="CG727" s="1351">
        <f t="shared" si="37"/>
        <v>1</v>
      </c>
      <c r="CH727" s="1353"/>
      <c r="CI727" s="1335">
        <f t="shared" si="38"/>
        <v>2</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2</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f t="shared" si="32"/>
        <v>1053</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3" customHeight="1">
      <c r="A728" s="4"/>
      <c r="B728" s="1355" t="s">
        <v>163</v>
      </c>
      <c r="C728" s="1356"/>
      <c r="D728" s="1356"/>
      <c r="E728" s="1356"/>
      <c r="F728" s="1357"/>
      <c r="G728" s="1364">
        <v>10</v>
      </c>
      <c r="H728" s="1365"/>
      <c r="I728" s="1365"/>
      <c r="J728" s="1366"/>
      <c r="K728" s="1609">
        <v>830</v>
      </c>
      <c r="L728" s="1610"/>
      <c r="M728" s="1610"/>
      <c r="N728" s="1611"/>
      <c r="O728" s="1469">
        <v>1283</v>
      </c>
      <c r="P728" s="1470"/>
      <c r="Q728" s="1470"/>
      <c r="R728" s="1470"/>
      <c r="S728" s="1471"/>
      <c r="T728" s="1469">
        <v>94</v>
      </c>
      <c r="U728" s="1470"/>
      <c r="V728" s="1470"/>
      <c r="W728" s="1471"/>
      <c r="X728" s="1358">
        <f t="shared" si="8"/>
        <v>1377</v>
      </c>
      <c r="Y728" s="1359"/>
      <c r="Z728" s="1359"/>
      <c r="AA728" s="1359"/>
      <c r="AB728" s="1360"/>
      <c r="AC728" s="1618">
        <v>0.6</v>
      </c>
      <c r="AD728" s="1619"/>
      <c r="AE728" s="1619"/>
      <c r="AF728" s="1619"/>
      <c r="AG728" s="1620"/>
      <c r="AH728" s="1361">
        <f t="shared" si="36"/>
        <v>0.60026155187445507</v>
      </c>
      <c r="AI728" s="1362"/>
      <c r="AJ728" s="1363"/>
      <c r="AK728" s="1355" t="s">
        <v>590</v>
      </c>
      <c r="AL728" s="1356"/>
      <c r="AM728" s="1356"/>
      <c r="AN728" s="1356"/>
      <c r="AO728" s="1357"/>
      <c r="AP728" s="3"/>
      <c r="AQ728" s="3"/>
      <c r="AR728" s="3"/>
      <c r="AS728" s="3"/>
      <c r="AY728" s="1085"/>
      <c r="AZ728" s="118">
        <f t="shared" si="9"/>
        <v>2294</v>
      </c>
      <c r="BA728" s="3"/>
      <c r="BB728" s="3"/>
      <c r="BC728" s="3"/>
      <c r="BD728" s="3"/>
      <c r="BE728" s="204"/>
      <c r="BF728" s="294">
        <f t="shared" si="10"/>
        <v>10</v>
      </c>
      <c r="BG728" s="297">
        <f t="shared" si="11"/>
        <v>0.1388888888888889</v>
      </c>
      <c r="BH728" s="298">
        <f t="shared" si="12"/>
        <v>8.3333333333333329E-2</v>
      </c>
      <c r="BI728" s="3"/>
      <c r="BJ728" s="3"/>
      <c r="BK728" s="3"/>
      <c r="BL728" s="3"/>
      <c r="BM728" s="3"/>
      <c r="BN728" s="3"/>
      <c r="BS728" s="294">
        <f t="shared" si="13"/>
        <v>10</v>
      </c>
      <c r="BT728" s="297">
        <f t="shared" si="14"/>
        <v>0.1388888888888889</v>
      </c>
      <c r="BU728" s="298">
        <f t="shared" si="15"/>
        <v>8.336965998256321E-2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10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f t="shared" si="32"/>
        <v>1283</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3" customHeight="1">
      <c r="A729" s="4"/>
      <c r="B729" s="1355" t="s">
        <v>163</v>
      </c>
      <c r="C729" s="1356"/>
      <c r="D729" s="1356"/>
      <c r="E729" s="1356"/>
      <c r="F729" s="1357"/>
      <c r="G729" s="1364">
        <v>11</v>
      </c>
      <c r="H729" s="1365"/>
      <c r="I729" s="1365"/>
      <c r="J729" s="1366"/>
      <c r="K729" s="1609">
        <v>830</v>
      </c>
      <c r="L729" s="1610"/>
      <c r="M729" s="1610"/>
      <c r="N729" s="1611"/>
      <c r="O729" s="1469">
        <v>1742</v>
      </c>
      <c r="P729" s="1470"/>
      <c r="Q729" s="1470"/>
      <c r="R729" s="1470"/>
      <c r="S729" s="1471"/>
      <c r="T729" s="1469">
        <v>94</v>
      </c>
      <c r="U729" s="1470"/>
      <c r="V729" s="1470"/>
      <c r="W729" s="1471"/>
      <c r="X729" s="1358">
        <f t="shared" si="8"/>
        <v>1836</v>
      </c>
      <c r="Y729" s="1359"/>
      <c r="Z729" s="1359"/>
      <c r="AA729" s="1359"/>
      <c r="AB729" s="1360"/>
      <c r="AC729" s="1618">
        <v>0.8</v>
      </c>
      <c r="AD729" s="1619"/>
      <c r="AE729" s="1619"/>
      <c r="AF729" s="1619"/>
      <c r="AG729" s="1620"/>
      <c r="AH729" s="1361">
        <f t="shared" si="36"/>
        <v>0.80034873583260679</v>
      </c>
      <c r="AI729" s="1362"/>
      <c r="AJ729" s="1363"/>
      <c r="AK729" s="1355" t="s">
        <v>590</v>
      </c>
      <c r="AL729" s="1356"/>
      <c r="AM729" s="1356"/>
      <c r="AN729" s="1356"/>
      <c r="AO729" s="1357"/>
      <c r="AP729" s="3"/>
      <c r="AQ729" s="3"/>
      <c r="AR729" s="3"/>
      <c r="AS729" s="3"/>
      <c r="AY729" s="1085"/>
      <c r="AZ729" s="118">
        <f t="shared" si="9"/>
        <v>2294</v>
      </c>
      <c r="BA729" s="3"/>
      <c r="BB729" s="3"/>
      <c r="BC729" s="3"/>
      <c r="BD729" s="3"/>
      <c r="BE729" s="204"/>
      <c r="BF729" s="294">
        <f t="shared" si="10"/>
        <v>11</v>
      </c>
      <c r="BG729" s="297">
        <f t="shared" si="11"/>
        <v>0.15277777777777779</v>
      </c>
      <c r="BH729" s="298">
        <f t="shared" si="12"/>
        <v>0.12222222222222223</v>
      </c>
      <c r="BI729" s="3"/>
      <c r="BJ729" s="3"/>
      <c r="BK729" s="3"/>
      <c r="BL729" s="3"/>
      <c r="BM729" s="3"/>
      <c r="BN729" s="3"/>
      <c r="BS729" s="294">
        <f t="shared" si="13"/>
        <v>11</v>
      </c>
      <c r="BT729" s="297">
        <f t="shared" si="14"/>
        <v>0.15277777777777779</v>
      </c>
      <c r="BU729" s="298">
        <f t="shared" si="15"/>
        <v>0.12227550130775938</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11</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f t="shared" si="32"/>
        <v>1742</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3" customHeight="1">
      <c r="B730" s="1355" t="s">
        <v>164</v>
      </c>
      <c r="C730" s="1356"/>
      <c r="D730" s="1356"/>
      <c r="E730" s="1356"/>
      <c r="F730" s="1357"/>
      <c r="G730" s="1364">
        <v>1</v>
      </c>
      <c r="H730" s="1365"/>
      <c r="I730" s="1365"/>
      <c r="J730" s="1366"/>
      <c r="K730" s="1609">
        <v>1130</v>
      </c>
      <c r="L730" s="1610"/>
      <c r="M730" s="1610"/>
      <c r="N730" s="1611"/>
      <c r="O730" s="1469">
        <v>652</v>
      </c>
      <c r="P730" s="1470"/>
      <c r="Q730" s="1470"/>
      <c r="R730" s="1470"/>
      <c r="S730" s="1471"/>
      <c r="T730" s="1469">
        <v>144</v>
      </c>
      <c r="U730" s="1470"/>
      <c r="V730" s="1470"/>
      <c r="W730" s="1471"/>
      <c r="X730" s="1358">
        <f t="shared" si="8"/>
        <v>796</v>
      </c>
      <c r="Y730" s="1359"/>
      <c r="Z730" s="1359"/>
      <c r="AA730" s="1359"/>
      <c r="AB730" s="1360"/>
      <c r="AC730" s="1618">
        <v>0.3</v>
      </c>
      <c r="AD730" s="1619"/>
      <c r="AE730" s="1619"/>
      <c r="AF730" s="1619"/>
      <c r="AG730" s="1620"/>
      <c r="AH730" s="1361">
        <f t="shared" si="36"/>
        <v>0.30015082956259426</v>
      </c>
      <c r="AI730" s="1362"/>
      <c r="AJ730" s="1363"/>
      <c r="AK730" s="1355" t="s">
        <v>590</v>
      </c>
      <c r="AL730" s="1356"/>
      <c r="AM730" s="1356"/>
      <c r="AN730" s="1356"/>
      <c r="AO730" s="1357"/>
      <c r="AP730" s="3"/>
      <c r="AQ730" s="3"/>
      <c r="AR730" s="3"/>
      <c r="AS730" s="3"/>
      <c r="AY730" s="1085"/>
      <c r="AZ730" s="118">
        <f t="shared" si="9"/>
        <v>2652</v>
      </c>
      <c r="BA730" s="3"/>
      <c r="BB730" s="3"/>
      <c r="BC730" s="3"/>
      <c r="BD730" s="3"/>
      <c r="BE730" s="204"/>
      <c r="BF730" s="294">
        <f t="shared" si="10"/>
        <v>1</v>
      </c>
      <c r="BG730" s="297">
        <f t="shared" si="11"/>
        <v>1.3888888888888888E-2</v>
      </c>
      <c r="BH730" s="298">
        <f t="shared" si="12"/>
        <v>4.1666666666666666E-3</v>
      </c>
      <c r="BI730" s="3"/>
      <c r="BJ730" s="3"/>
      <c r="BK730" s="3"/>
      <c r="BL730" s="3"/>
      <c r="BM730" s="3"/>
      <c r="BN730" s="3"/>
      <c r="BS730" s="294">
        <f t="shared" si="13"/>
        <v>1</v>
      </c>
      <c r="BT730" s="297">
        <f t="shared" si="14"/>
        <v>1.3888888888888888E-2</v>
      </c>
      <c r="BU730" s="298">
        <f t="shared" si="15"/>
        <v>4.1687615217026975E-3</v>
      </c>
      <c r="BV730" s="3"/>
      <c r="BW730" s="3"/>
      <c r="BX730" s="3"/>
      <c r="BY730" s="3"/>
      <c r="BZ730" s="3"/>
      <c r="CA730" s="3"/>
      <c r="CB730" s="3"/>
      <c r="CC730" s="3"/>
      <c r="CE730" s="3"/>
      <c r="CF730" s="3"/>
      <c r="CG730" s="1351">
        <f t="shared" si="37"/>
        <v>0</v>
      </c>
      <c r="CH730" s="1353"/>
      <c r="CI730" s="1335">
        <f t="shared" si="38"/>
        <v>0</v>
      </c>
      <c r="CJ730" s="1337"/>
      <c r="CK730" s="1351">
        <f t="shared" si="16"/>
        <v>1</v>
      </c>
      <c r="CL730" s="1353"/>
      <c r="CM730" s="1335">
        <f t="shared" si="17"/>
        <v>1</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1</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1</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f t="shared" si="33"/>
        <v>652</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3" customHeight="1">
      <c r="B731" s="1355" t="s">
        <v>164</v>
      </c>
      <c r="C731" s="1356"/>
      <c r="D731" s="1356"/>
      <c r="E731" s="1356"/>
      <c r="F731" s="1357"/>
      <c r="G731" s="1364">
        <v>1</v>
      </c>
      <c r="H731" s="1365"/>
      <c r="I731" s="1365"/>
      <c r="J731" s="1366"/>
      <c r="K731" s="1609">
        <v>1130</v>
      </c>
      <c r="L731" s="1610"/>
      <c r="M731" s="1610"/>
      <c r="N731" s="1611"/>
      <c r="O731" s="1469">
        <v>1182</v>
      </c>
      <c r="P731" s="1470"/>
      <c r="Q731" s="1470"/>
      <c r="R731" s="1470"/>
      <c r="S731" s="1471"/>
      <c r="T731" s="1469">
        <v>144</v>
      </c>
      <c r="U731" s="1470"/>
      <c r="V731" s="1470"/>
      <c r="W731" s="1471"/>
      <c r="X731" s="1358">
        <f t="shared" si="8"/>
        <v>1326</v>
      </c>
      <c r="Y731" s="1359"/>
      <c r="Z731" s="1359"/>
      <c r="AA731" s="1359"/>
      <c r="AB731" s="1360"/>
      <c r="AC731" s="1618">
        <v>0.5</v>
      </c>
      <c r="AD731" s="1619"/>
      <c r="AE731" s="1619"/>
      <c r="AF731" s="1619"/>
      <c r="AG731" s="1620"/>
      <c r="AH731" s="1361">
        <f t="shared" si="36"/>
        <v>0.5</v>
      </c>
      <c r="AI731" s="1362"/>
      <c r="AJ731" s="1363"/>
      <c r="AK731" s="1355" t="s">
        <v>590</v>
      </c>
      <c r="AL731" s="1356"/>
      <c r="AM731" s="1356"/>
      <c r="AN731" s="1356"/>
      <c r="AO731" s="1357"/>
      <c r="AP731" s="3"/>
      <c r="AQ731" s="3"/>
      <c r="AR731" s="3"/>
      <c r="AS731" s="3"/>
      <c r="AY731" s="1085"/>
      <c r="AZ731" s="118">
        <f t="shared" si="9"/>
        <v>2652</v>
      </c>
      <c r="BA731" s="3"/>
      <c r="BB731" s="3"/>
      <c r="BC731" s="3"/>
      <c r="BD731" s="3"/>
      <c r="BE731" s="204"/>
      <c r="BF731" s="294">
        <f t="shared" si="10"/>
        <v>1</v>
      </c>
      <c r="BG731" s="297">
        <f t="shared" si="11"/>
        <v>1.3888888888888888E-2</v>
      </c>
      <c r="BH731" s="298">
        <f t="shared" si="12"/>
        <v>6.9444444444444441E-3</v>
      </c>
      <c r="BI731" s="3"/>
      <c r="BJ731" s="3"/>
      <c r="BK731" s="3"/>
      <c r="BL731" s="3"/>
      <c r="BM731" s="3"/>
      <c r="BN731" s="3"/>
      <c r="BS731" s="294">
        <f t="shared" si="13"/>
        <v>1</v>
      </c>
      <c r="BT731" s="297">
        <f t="shared" si="14"/>
        <v>1.3888888888888888E-2</v>
      </c>
      <c r="BU731" s="298">
        <f t="shared" si="15"/>
        <v>6.9444444444444441E-3</v>
      </c>
      <c r="BV731" s="3"/>
      <c r="BW731" s="3"/>
      <c r="BX731" s="3"/>
      <c r="BY731" s="3"/>
      <c r="BZ731" s="3"/>
      <c r="CA731" s="3"/>
      <c r="CB731" s="3"/>
      <c r="CC731" s="3"/>
      <c r="CE731" s="3"/>
      <c r="CF731" s="3"/>
      <c r="CG731" s="1351">
        <f t="shared" si="37"/>
        <v>1</v>
      </c>
      <c r="CH731" s="1353"/>
      <c r="CI731" s="1335">
        <f t="shared" si="38"/>
        <v>1</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1</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f t="shared" si="33"/>
        <v>1182</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3" customHeight="1">
      <c r="B732" s="1355" t="s">
        <v>164</v>
      </c>
      <c r="C732" s="1356"/>
      <c r="D732" s="1356"/>
      <c r="E732" s="1356"/>
      <c r="F732" s="1357"/>
      <c r="G732" s="1364">
        <v>8</v>
      </c>
      <c r="H732" s="1365"/>
      <c r="I732" s="1365"/>
      <c r="J732" s="1366"/>
      <c r="K732" s="1609">
        <v>1130</v>
      </c>
      <c r="L732" s="1610"/>
      <c r="M732" s="1610"/>
      <c r="N732" s="1611"/>
      <c r="O732" s="1469">
        <v>1448</v>
      </c>
      <c r="P732" s="1470"/>
      <c r="Q732" s="1470"/>
      <c r="R732" s="1470"/>
      <c r="S732" s="1471"/>
      <c r="T732" s="1469">
        <v>144</v>
      </c>
      <c r="U732" s="1470"/>
      <c r="V732" s="1470"/>
      <c r="W732" s="1471"/>
      <c r="X732" s="1358">
        <f t="shared" si="8"/>
        <v>1592</v>
      </c>
      <c r="Y732" s="1359"/>
      <c r="Z732" s="1359"/>
      <c r="AA732" s="1359"/>
      <c r="AB732" s="1360"/>
      <c r="AC732" s="1618">
        <v>0.6</v>
      </c>
      <c r="AD732" s="1619"/>
      <c r="AE732" s="1619"/>
      <c r="AF732" s="1619"/>
      <c r="AG732" s="1620"/>
      <c r="AH732" s="1361">
        <f t="shared" si="36"/>
        <v>0.60030165912518851</v>
      </c>
      <c r="AI732" s="1362"/>
      <c r="AJ732" s="1363"/>
      <c r="AK732" s="1355" t="s">
        <v>590</v>
      </c>
      <c r="AL732" s="1356"/>
      <c r="AM732" s="1356"/>
      <c r="AN732" s="1356"/>
      <c r="AO732" s="1357"/>
      <c r="AP732" s="3"/>
      <c r="AQ732" s="3"/>
      <c r="AR732" s="3"/>
      <c r="AS732" s="3"/>
      <c r="AY732" s="1085"/>
      <c r="AZ732" s="118">
        <f t="shared" si="9"/>
        <v>2652</v>
      </c>
      <c r="BA732" s="3"/>
      <c r="BB732" s="3"/>
      <c r="BC732" s="3"/>
      <c r="BD732" s="3"/>
      <c r="BE732" s="204"/>
      <c r="BF732" s="294">
        <f t="shared" si="10"/>
        <v>8</v>
      </c>
      <c r="BG732" s="297">
        <f t="shared" si="11"/>
        <v>0.1111111111111111</v>
      </c>
      <c r="BH732" s="298">
        <f t="shared" si="12"/>
        <v>6.6666666666666666E-2</v>
      </c>
      <c r="BI732" s="3"/>
      <c r="BJ732" s="3"/>
      <c r="BK732" s="3"/>
      <c r="BL732" s="3"/>
      <c r="BM732" s="3"/>
      <c r="BN732" s="3"/>
      <c r="BS732" s="294">
        <f t="shared" si="13"/>
        <v>8</v>
      </c>
      <c r="BT732" s="297">
        <f t="shared" si="14"/>
        <v>0.1111111111111111</v>
      </c>
      <c r="BU732" s="298">
        <f t="shared" si="15"/>
        <v>6.670018434724316E-2</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8</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f t="shared" si="33"/>
        <v>1448</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3" customHeight="1">
      <c r="B733" s="1355" t="s">
        <v>164</v>
      </c>
      <c r="C733" s="1356"/>
      <c r="D733" s="1356"/>
      <c r="E733" s="1356"/>
      <c r="F733" s="1357"/>
      <c r="G733" s="1364">
        <v>8</v>
      </c>
      <c r="H733" s="1365"/>
      <c r="I733" s="1365"/>
      <c r="J733" s="1366"/>
      <c r="K733" s="1609">
        <v>1130</v>
      </c>
      <c r="L733" s="1610"/>
      <c r="M733" s="1610"/>
      <c r="N733" s="1611"/>
      <c r="O733" s="1469">
        <v>1979</v>
      </c>
      <c r="P733" s="1470"/>
      <c r="Q733" s="1470"/>
      <c r="R733" s="1470"/>
      <c r="S733" s="1471"/>
      <c r="T733" s="1469">
        <v>144</v>
      </c>
      <c r="U733" s="1470"/>
      <c r="V733" s="1470"/>
      <c r="W733" s="1471"/>
      <c r="X733" s="1358">
        <f t="shared" si="8"/>
        <v>2123</v>
      </c>
      <c r="Y733" s="1359"/>
      <c r="Z733" s="1359"/>
      <c r="AA733" s="1359"/>
      <c r="AB733" s="1360"/>
      <c r="AC733" s="1618">
        <v>0.8</v>
      </c>
      <c r="AD733" s="1619"/>
      <c r="AE733" s="1619"/>
      <c r="AF733" s="1619"/>
      <c r="AG733" s="1620"/>
      <c r="AH733" s="1361">
        <f t="shared" si="36"/>
        <v>0.80052790346907998</v>
      </c>
      <c r="AI733" s="1362"/>
      <c r="AJ733" s="1363"/>
      <c r="AK733" s="1355" t="s">
        <v>590</v>
      </c>
      <c r="AL733" s="1356"/>
      <c r="AM733" s="1356"/>
      <c r="AN733" s="1356"/>
      <c r="AO733" s="1357"/>
      <c r="AP733" s="3"/>
      <c r="AQ733" s="3"/>
      <c r="AR733" s="3"/>
      <c r="AS733" s="3"/>
      <c r="AY733" s="1085"/>
      <c r="AZ733" s="118">
        <f t="shared" si="9"/>
        <v>2652</v>
      </c>
      <c r="BA733" s="3"/>
      <c r="BB733" s="3"/>
      <c r="BC733" s="3"/>
      <c r="BD733" s="3"/>
      <c r="BE733" s="204"/>
      <c r="BF733" s="294">
        <f t="shared" si="10"/>
        <v>8</v>
      </c>
      <c r="BG733" s="297">
        <f t="shared" si="11"/>
        <v>0.1111111111111111</v>
      </c>
      <c r="BH733" s="298">
        <f t="shared" si="12"/>
        <v>8.8888888888888892E-2</v>
      </c>
      <c r="BI733" s="3"/>
      <c r="BJ733" s="3"/>
      <c r="BK733" s="3"/>
      <c r="BL733" s="3"/>
      <c r="BM733" s="3"/>
      <c r="BN733" s="3"/>
      <c r="BS733" s="294">
        <f t="shared" si="13"/>
        <v>8</v>
      </c>
      <c r="BT733" s="297">
        <f t="shared" si="14"/>
        <v>0.1111111111111111</v>
      </c>
      <c r="BU733" s="298">
        <f t="shared" si="15"/>
        <v>8.8947544829897765E-2</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8</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f t="shared" si="33"/>
        <v>1979</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3" customHeight="1">
      <c r="B734" s="1355"/>
      <c r="C734" s="1356"/>
      <c r="D734" s="1356"/>
      <c r="E734" s="1356"/>
      <c r="F734" s="1357"/>
      <c r="G734" s="1364"/>
      <c r="H734" s="1365"/>
      <c r="I734" s="1365"/>
      <c r="J734" s="1366"/>
      <c r="K734" s="1609"/>
      <c r="L734" s="1610"/>
      <c r="M734" s="1610"/>
      <c r="N734" s="1611"/>
      <c r="O734" s="1469"/>
      <c r="P734" s="1470"/>
      <c r="Q734" s="1470"/>
      <c r="R734" s="1470"/>
      <c r="S734" s="1471"/>
      <c r="T734" s="1469"/>
      <c r="U734" s="1470"/>
      <c r="V734" s="1470"/>
      <c r="W734" s="1471"/>
      <c r="X734" s="1358">
        <f t="shared" si="8"/>
        <v>0</v>
      </c>
      <c r="Y734" s="1359"/>
      <c r="Z734" s="1359"/>
      <c r="AA734" s="1359"/>
      <c r="AB734" s="1360"/>
      <c r="AC734" s="1618"/>
      <c r="AD734" s="1619"/>
      <c r="AE734" s="1619"/>
      <c r="AF734" s="1619"/>
      <c r="AG734" s="1620"/>
      <c r="AH734" s="1361" t="str">
        <f t="shared" si="36"/>
        <v/>
      </c>
      <c r="AI734" s="1362"/>
      <c r="AJ734" s="1363"/>
      <c r="AK734" s="1355"/>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3" customHeight="1">
      <c r="B735" s="1355"/>
      <c r="C735" s="1356"/>
      <c r="D735" s="1356"/>
      <c r="E735" s="1356"/>
      <c r="F735" s="1357"/>
      <c r="G735" s="1364"/>
      <c r="H735" s="1365"/>
      <c r="I735" s="1365"/>
      <c r="J735" s="1366"/>
      <c r="K735" s="1609"/>
      <c r="L735" s="1610"/>
      <c r="M735" s="1610"/>
      <c r="N735" s="1611"/>
      <c r="O735" s="1469"/>
      <c r="P735" s="1470"/>
      <c r="Q735" s="1470"/>
      <c r="R735" s="1470"/>
      <c r="S735" s="1471"/>
      <c r="T735" s="1469"/>
      <c r="U735" s="1470"/>
      <c r="V735" s="1470"/>
      <c r="W735" s="1471"/>
      <c r="X735" s="1358">
        <f t="shared" si="8"/>
        <v>0</v>
      </c>
      <c r="Y735" s="1359"/>
      <c r="Z735" s="1359"/>
      <c r="AA735" s="1359"/>
      <c r="AB735" s="1360"/>
      <c r="AC735" s="1618"/>
      <c r="AD735" s="1619"/>
      <c r="AE735" s="1619"/>
      <c r="AF735" s="1619"/>
      <c r="AG735" s="1620"/>
      <c r="AH735" s="1361" t="str">
        <f t="shared" si="36"/>
        <v/>
      </c>
      <c r="AI735" s="1362"/>
      <c r="AJ735" s="1363"/>
      <c r="AK735" s="1355"/>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3" customHeight="1">
      <c r="B736" s="1355"/>
      <c r="C736" s="1356"/>
      <c r="D736" s="1356"/>
      <c r="E736" s="1356"/>
      <c r="F736" s="1357"/>
      <c r="G736" s="1364"/>
      <c r="H736" s="1365"/>
      <c r="I736" s="1365"/>
      <c r="J736" s="1366"/>
      <c r="K736" s="1609"/>
      <c r="L736" s="1610"/>
      <c r="M736" s="1610"/>
      <c r="N736" s="1611"/>
      <c r="O736" s="1469"/>
      <c r="P736" s="1470"/>
      <c r="Q736" s="1470"/>
      <c r="R736" s="1470"/>
      <c r="S736" s="1471"/>
      <c r="T736" s="1469"/>
      <c r="U736" s="1470"/>
      <c r="V736" s="1470"/>
      <c r="W736" s="1471"/>
      <c r="X736" s="1358">
        <f t="shared" si="8"/>
        <v>0</v>
      </c>
      <c r="Y736" s="1359"/>
      <c r="Z736" s="1359"/>
      <c r="AA736" s="1359"/>
      <c r="AB736" s="1360"/>
      <c r="AC736" s="1618"/>
      <c r="AD736" s="1619"/>
      <c r="AE736" s="1619"/>
      <c r="AF736" s="1619"/>
      <c r="AG736" s="1620"/>
      <c r="AH736" s="1361" t="str">
        <f t="shared" si="36"/>
        <v/>
      </c>
      <c r="AI736" s="1362"/>
      <c r="AJ736" s="1363"/>
      <c r="AK736" s="1355"/>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3" customHeight="1">
      <c r="B737" s="1355"/>
      <c r="C737" s="1356"/>
      <c r="D737" s="1356"/>
      <c r="E737" s="1356"/>
      <c r="F737" s="1357"/>
      <c r="G737" s="1364"/>
      <c r="H737" s="1365"/>
      <c r="I737" s="1365"/>
      <c r="J737" s="1366"/>
      <c r="K737" s="1609"/>
      <c r="L737" s="1610"/>
      <c r="M737" s="1610"/>
      <c r="N737" s="1611"/>
      <c r="O737" s="1469"/>
      <c r="P737" s="1470"/>
      <c r="Q737" s="1470"/>
      <c r="R737" s="1470"/>
      <c r="S737" s="1471"/>
      <c r="T737" s="1469"/>
      <c r="U737" s="1470"/>
      <c r="V737" s="1470"/>
      <c r="W737" s="1471"/>
      <c r="X737" s="1358">
        <f t="shared" si="8"/>
        <v>0</v>
      </c>
      <c r="Y737" s="1359"/>
      <c r="Z737" s="1359"/>
      <c r="AA737" s="1359"/>
      <c r="AB737" s="1360"/>
      <c r="AC737" s="1618"/>
      <c r="AD737" s="1619"/>
      <c r="AE737" s="1619"/>
      <c r="AF737" s="1619"/>
      <c r="AG737" s="1620"/>
      <c r="AH737" s="1361" t="str">
        <f t="shared" si="36"/>
        <v/>
      </c>
      <c r="AI737" s="1362"/>
      <c r="AJ737" s="1363"/>
      <c r="AK737" s="1355"/>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3" customHeight="1">
      <c r="B738" s="1355"/>
      <c r="C738" s="1356"/>
      <c r="D738" s="1356"/>
      <c r="E738" s="1356"/>
      <c r="F738" s="1357"/>
      <c r="G738" s="1364"/>
      <c r="H738" s="1365"/>
      <c r="I738" s="1365"/>
      <c r="J738" s="1366"/>
      <c r="K738" s="1609"/>
      <c r="L738" s="1610"/>
      <c r="M738" s="1610"/>
      <c r="N738" s="1611"/>
      <c r="O738" s="1469"/>
      <c r="P738" s="1470"/>
      <c r="Q738" s="1470"/>
      <c r="R738" s="1470"/>
      <c r="S738" s="1471"/>
      <c r="T738" s="1469"/>
      <c r="U738" s="1470"/>
      <c r="V738" s="1470"/>
      <c r="W738" s="1471"/>
      <c r="X738" s="1358">
        <f t="shared" si="8"/>
        <v>0</v>
      </c>
      <c r="Y738" s="1359"/>
      <c r="Z738" s="1359"/>
      <c r="AA738" s="1359"/>
      <c r="AB738" s="1360"/>
      <c r="AC738" s="1618"/>
      <c r="AD738" s="1619"/>
      <c r="AE738" s="1619"/>
      <c r="AF738" s="1619"/>
      <c r="AG738" s="1620"/>
      <c r="AH738" s="1361" t="str">
        <f t="shared" si="36"/>
        <v/>
      </c>
      <c r="AI738" s="1362"/>
      <c r="AJ738" s="1363"/>
      <c r="AK738" s="1355"/>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3" customHeight="1">
      <c r="B739" s="1355"/>
      <c r="C739" s="1356"/>
      <c r="D739" s="1356"/>
      <c r="E739" s="1356"/>
      <c r="F739" s="1357"/>
      <c r="G739" s="1364"/>
      <c r="H739" s="1365"/>
      <c r="I739" s="1365"/>
      <c r="J739" s="1366"/>
      <c r="K739" s="1609"/>
      <c r="L739" s="1610"/>
      <c r="M739" s="1610"/>
      <c r="N739" s="1611"/>
      <c r="O739" s="1469"/>
      <c r="P739" s="1470"/>
      <c r="Q739" s="1470"/>
      <c r="R739" s="1470"/>
      <c r="S739" s="1471"/>
      <c r="T739" s="1469"/>
      <c r="U739" s="1470"/>
      <c r="V739" s="1470"/>
      <c r="W739" s="1471"/>
      <c r="X739" s="1358">
        <f t="shared" si="8"/>
        <v>0</v>
      </c>
      <c r="Y739" s="1359"/>
      <c r="Z739" s="1359"/>
      <c r="AA739" s="1359"/>
      <c r="AB739" s="1360"/>
      <c r="AC739" s="1618"/>
      <c r="AD739" s="1619"/>
      <c r="AE739" s="1619"/>
      <c r="AF739" s="1619"/>
      <c r="AG739" s="1620"/>
      <c r="AH739" s="1361" t="str">
        <f t="shared" si="36"/>
        <v/>
      </c>
      <c r="AI739" s="1362"/>
      <c r="AJ739" s="1363"/>
      <c r="AK739" s="1355"/>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3" customHeight="1">
      <c r="B740" s="1355"/>
      <c r="C740" s="1356"/>
      <c r="D740" s="1356"/>
      <c r="E740" s="1356"/>
      <c r="F740" s="1357"/>
      <c r="G740" s="1364"/>
      <c r="H740" s="1365"/>
      <c r="I740" s="1365"/>
      <c r="J740" s="1366"/>
      <c r="K740" s="1609"/>
      <c r="L740" s="1610"/>
      <c r="M740" s="1610"/>
      <c r="N740" s="1611"/>
      <c r="O740" s="1469"/>
      <c r="P740" s="1470"/>
      <c r="Q740" s="1470"/>
      <c r="R740" s="1470"/>
      <c r="S740" s="1471"/>
      <c r="T740" s="1469"/>
      <c r="U740" s="1470"/>
      <c r="V740" s="1470"/>
      <c r="W740" s="1471"/>
      <c r="X740" s="1358">
        <f t="shared" si="8"/>
        <v>0</v>
      </c>
      <c r="Y740" s="1359"/>
      <c r="Z740" s="1359"/>
      <c r="AA740" s="1359"/>
      <c r="AB740" s="1360"/>
      <c r="AC740" s="1618"/>
      <c r="AD740" s="1619"/>
      <c r="AE740" s="1619"/>
      <c r="AF740" s="1619"/>
      <c r="AG740" s="1620"/>
      <c r="AH740" s="1361" t="str">
        <f t="shared" si="36"/>
        <v/>
      </c>
      <c r="AI740" s="1362"/>
      <c r="AJ740" s="1363"/>
      <c r="AK740" s="1355"/>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3" customHeight="1">
      <c r="B741" s="1355"/>
      <c r="C741" s="1356"/>
      <c r="D741" s="1356"/>
      <c r="E741" s="1356"/>
      <c r="F741" s="1357"/>
      <c r="G741" s="1364"/>
      <c r="H741" s="1365"/>
      <c r="I741" s="1365"/>
      <c r="J741" s="1366"/>
      <c r="K741" s="1609"/>
      <c r="L741" s="1610"/>
      <c r="M741" s="1610"/>
      <c r="N741" s="1611"/>
      <c r="O741" s="1469"/>
      <c r="P741" s="1470"/>
      <c r="Q741" s="1470"/>
      <c r="R741" s="1470"/>
      <c r="S741" s="1471"/>
      <c r="T741" s="1469"/>
      <c r="U741" s="1470"/>
      <c r="V741" s="1470"/>
      <c r="W741" s="1471"/>
      <c r="X741" s="1358">
        <f t="shared" si="8"/>
        <v>0</v>
      </c>
      <c r="Y741" s="1359"/>
      <c r="Z741" s="1359"/>
      <c r="AA741" s="1359"/>
      <c r="AB741" s="1360"/>
      <c r="AC741" s="1618"/>
      <c r="AD741" s="1619"/>
      <c r="AE741" s="1619"/>
      <c r="AF741" s="1619"/>
      <c r="AG741" s="1620"/>
      <c r="AH741" s="1361" t="str">
        <f t="shared" si="36"/>
        <v/>
      </c>
      <c r="AI741" s="1362"/>
      <c r="AJ741" s="1363"/>
      <c r="AK741" s="1355"/>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3" customHeight="1">
      <c r="B742" s="1355"/>
      <c r="C742" s="1356"/>
      <c r="D742" s="1356"/>
      <c r="E742" s="1356"/>
      <c r="F742" s="1357"/>
      <c r="G742" s="1364"/>
      <c r="H742" s="1365"/>
      <c r="I742" s="1365"/>
      <c r="J742" s="1366"/>
      <c r="K742" s="1609"/>
      <c r="L742" s="1610"/>
      <c r="M742" s="1610"/>
      <c r="N742" s="1611"/>
      <c r="O742" s="1469"/>
      <c r="P742" s="1470"/>
      <c r="Q742" s="1470"/>
      <c r="R742" s="1470"/>
      <c r="S742" s="1471"/>
      <c r="T742" s="1469"/>
      <c r="U742" s="1470"/>
      <c r="V742" s="1470"/>
      <c r="W742" s="1471"/>
      <c r="X742" s="1358">
        <f t="shared" ref="X742:X751" si="39">O742+T742</f>
        <v>0</v>
      </c>
      <c r="Y742" s="1359"/>
      <c r="Z742" s="1359"/>
      <c r="AA742" s="1359"/>
      <c r="AB742" s="1360"/>
      <c r="AC742" s="1618"/>
      <c r="AD742" s="1619"/>
      <c r="AE742" s="1619"/>
      <c r="AF742" s="1619"/>
      <c r="AG742" s="1620"/>
      <c r="AH742" s="1361" t="str">
        <f t="shared" si="36"/>
        <v/>
      </c>
      <c r="AI742" s="1362"/>
      <c r="AJ742" s="1363"/>
      <c r="AK742" s="1355"/>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3" customHeight="1">
      <c r="A743"/>
      <c r="B743" s="1355"/>
      <c r="C743" s="1356"/>
      <c r="D743" s="1356"/>
      <c r="E743" s="1356"/>
      <c r="F743" s="1357"/>
      <c r="G743" s="1364"/>
      <c r="H743" s="1365"/>
      <c r="I743" s="1365"/>
      <c r="J743" s="1366"/>
      <c r="K743" s="1609"/>
      <c r="L743" s="1610"/>
      <c r="M743" s="1610"/>
      <c r="N743" s="1611"/>
      <c r="O743" s="1469"/>
      <c r="P743" s="1470"/>
      <c r="Q743" s="1470"/>
      <c r="R743" s="1470"/>
      <c r="S743" s="1471"/>
      <c r="T743" s="1469"/>
      <c r="U743" s="1470"/>
      <c r="V743" s="1470"/>
      <c r="W743" s="1471"/>
      <c r="X743" s="1358">
        <f t="shared" si="39"/>
        <v>0</v>
      </c>
      <c r="Y743" s="1359"/>
      <c r="Z743" s="1359"/>
      <c r="AA743" s="1359"/>
      <c r="AB743" s="1360"/>
      <c r="AC743" s="1618"/>
      <c r="AD743" s="1619"/>
      <c r="AE743" s="1619"/>
      <c r="AF743" s="1619"/>
      <c r="AG743" s="1620"/>
      <c r="AH743" s="1361" t="str">
        <f t="shared" si="36"/>
        <v/>
      </c>
      <c r="AI743" s="1362"/>
      <c r="AJ743" s="1363"/>
      <c r="AK743" s="1355"/>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3" customHeight="1">
      <c r="B744" s="1355"/>
      <c r="C744" s="1356"/>
      <c r="D744" s="1356"/>
      <c r="E744" s="1356"/>
      <c r="F744" s="1357"/>
      <c r="G744" s="1364"/>
      <c r="H744" s="1365"/>
      <c r="I744" s="1365"/>
      <c r="J744" s="1366"/>
      <c r="K744" s="1609"/>
      <c r="L744" s="1610"/>
      <c r="M744" s="1610"/>
      <c r="N744" s="1611"/>
      <c r="O744" s="1469"/>
      <c r="P744" s="1470"/>
      <c r="Q744" s="1470"/>
      <c r="R744" s="1470"/>
      <c r="S744" s="1471"/>
      <c r="T744" s="1469"/>
      <c r="U744" s="1470"/>
      <c r="V744" s="1470"/>
      <c r="W744" s="1471"/>
      <c r="X744" s="1358">
        <f t="shared" si="39"/>
        <v>0</v>
      </c>
      <c r="Y744" s="1359"/>
      <c r="Z744" s="1359"/>
      <c r="AA744" s="1359"/>
      <c r="AB744" s="1360"/>
      <c r="AC744" s="1618"/>
      <c r="AD744" s="1619"/>
      <c r="AE744" s="1619"/>
      <c r="AF744" s="1619"/>
      <c r="AG744" s="1620"/>
      <c r="AH744" s="1361" t="str">
        <f t="shared" si="36"/>
        <v/>
      </c>
      <c r="AI744" s="1362"/>
      <c r="AJ744" s="1363"/>
      <c r="AK744" s="1355"/>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3" customHeight="1">
      <c r="B745" s="1355"/>
      <c r="C745" s="1356"/>
      <c r="D745" s="1356"/>
      <c r="E745" s="1356"/>
      <c r="F745" s="1357"/>
      <c r="G745" s="1364"/>
      <c r="H745" s="1365"/>
      <c r="I745" s="1365"/>
      <c r="J745" s="1366"/>
      <c r="K745" s="1609"/>
      <c r="L745" s="1610"/>
      <c r="M745" s="1610"/>
      <c r="N745" s="1611"/>
      <c r="O745" s="1469"/>
      <c r="P745" s="1470"/>
      <c r="Q745" s="1470"/>
      <c r="R745" s="1470"/>
      <c r="S745" s="1471"/>
      <c r="T745" s="1469"/>
      <c r="U745" s="1470"/>
      <c r="V745" s="1470"/>
      <c r="W745" s="1471"/>
      <c r="X745" s="1358">
        <f t="shared" si="39"/>
        <v>0</v>
      </c>
      <c r="Y745" s="1359"/>
      <c r="Z745" s="1359"/>
      <c r="AA745" s="1359"/>
      <c r="AB745" s="1360"/>
      <c r="AC745" s="1618"/>
      <c r="AD745" s="1619"/>
      <c r="AE745" s="1619"/>
      <c r="AF745" s="1619"/>
      <c r="AG745" s="1620"/>
      <c r="AH745" s="1361" t="str">
        <f t="shared" si="36"/>
        <v/>
      </c>
      <c r="AI745" s="1362"/>
      <c r="AJ745" s="1363"/>
      <c r="AK745" s="1355"/>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3" customHeight="1">
      <c r="B746" s="1355"/>
      <c r="C746" s="1356"/>
      <c r="D746" s="1356"/>
      <c r="E746" s="1356"/>
      <c r="F746" s="1357"/>
      <c r="G746" s="1364"/>
      <c r="H746" s="1365"/>
      <c r="I746" s="1365"/>
      <c r="J746" s="1366"/>
      <c r="K746" s="1609"/>
      <c r="L746" s="1610"/>
      <c r="M746" s="1610"/>
      <c r="N746" s="1611"/>
      <c r="O746" s="1469"/>
      <c r="P746" s="1470"/>
      <c r="Q746" s="1470"/>
      <c r="R746" s="1470"/>
      <c r="S746" s="1471"/>
      <c r="T746" s="1469"/>
      <c r="U746" s="1470"/>
      <c r="V746" s="1470"/>
      <c r="W746" s="1471"/>
      <c r="X746" s="1358">
        <f t="shared" si="39"/>
        <v>0</v>
      </c>
      <c r="Y746" s="1359"/>
      <c r="Z746" s="1359"/>
      <c r="AA746" s="1359"/>
      <c r="AB746" s="1360"/>
      <c r="AC746" s="1618"/>
      <c r="AD746" s="1619"/>
      <c r="AE746" s="1619"/>
      <c r="AF746" s="1619"/>
      <c r="AG746" s="1620"/>
      <c r="AH746" s="1361" t="str">
        <f t="shared" si="36"/>
        <v/>
      </c>
      <c r="AI746" s="1362"/>
      <c r="AJ746" s="1363"/>
      <c r="AK746" s="1355"/>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3" customHeight="1">
      <c r="B747" s="1355"/>
      <c r="C747" s="1356"/>
      <c r="D747" s="1356"/>
      <c r="E747" s="1356"/>
      <c r="F747" s="1357"/>
      <c r="G747" s="1364"/>
      <c r="H747" s="1365"/>
      <c r="I747" s="1365"/>
      <c r="J747" s="1366"/>
      <c r="K747" s="1609"/>
      <c r="L747" s="1610"/>
      <c r="M747" s="1610"/>
      <c r="N747" s="1611"/>
      <c r="O747" s="1469"/>
      <c r="P747" s="1470"/>
      <c r="Q747" s="1470"/>
      <c r="R747" s="1470"/>
      <c r="S747" s="1471"/>
      <c r="T747" s="1469"/>
      <c r="U747" s="1470"/>
      <c r="V747" s="1470"/>
      <c r="W747" s="1471"/>
      <c r="X747" s="1358">
        <f t="shared" si="39"/>
        <v>0</v>
      </c>
      <c r="Y747" s="1359"/>
      <c r="Z747" s="1359"/>
      <c r="AA747" s="1359"/>
      <c r="AB747" s="1360"/>
      <c r="AC747" s="1618"/>
      <c r="AD747" s="1619"/>
      <c r="AE747" s="1619"/>
      <c r="AF747" s="1619"/>
      <c r="AG747" s="1620"/>
      <c r="AH747" s="1361" t="str">
        <f t="shared" si="36"/>
        <v/>
      </c>
      <c r="AI747" s="1362"/>
      <c r="AJ747" s="1363"/>
      <c r="AK747" s="1355"/>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3" customHeight="1">
      <c r="A748"/>
      <c r="B748" s="1355"/>
      <c r="C748" s="1356"/>
      <c r="D748" s="1356"/>
      <c r="E748" s="1356"/>
      <c r="F748" s="1357"/>
      <c r="G748" s="1364"/>
      <c r="H748" s="1365"/>
      <c r="I748" s="1365"/>
      <c r="J748" s="1366"/>
      <c r="K748" s="1609"/>
      <c r="L748" s="1610"/>
      <c r="M748" s="1610"/>
      <c r="N748" s="1611"/>
      <c r="O748" s="1469"/>
      <c r="P748" s="1470"/>
      <c r="Q748" s="1470"/>
      <c r="R748" s="1470"/>
      <c r="S748" s="1471"/>
      <c r="T748" s="1469"/>
      <c r="U748" s="1470"/>
      <c r="V748" s="1470"/>
      <c r="W748" s="1471"/>
      <c r="X748" s="1358">
        <f t="shared" si="39"/>
        <v>0</v>
      </c>
      <c r="Y748" s="1359"/>
      <c r="Z748" s="1359"/>
      <c r="AA748" s="1359"/>
      <c r="AB748" s="1360"/>
      <c r="AC748" s="1618"/>
      <c r="AD748" s="1619"/>
      <c r="AE748" s="1619"/>
      <c r="AF748" s="1619"/>
      <c r="AG748" s="1620"/>
      <c r="AH748" s="1361" t="str">
        <f t="shared" si="36"/>
        <v/>
      </c>
      <c r="AI748" s="1362"/>
      <c r="AJ748" s="1363"/>
      <c r="AK748" s="1355"/>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3" customHeight="1">
      <c r="A749"/>
      <c r="B749" s="1355"/>
      <c r="C749" s="1356"/>
      <c r="D749" s="1356"/>
      <c r="E749" s="1356"/>
      <c r="F749" s="1357"/>
      <c r="G749" s="1364"/>
      <c r="H749" s="1365"/>
      <c r="I749" s="1365"/>
      <c r="J749" s="1366"/>
      <c r="K749" s="1609"/>
      <c r="L749" s="1610"/>
      <c r="M749" s="1610"/>
      <c r="N749" s="1611"/>
      <c r="O749" s="1469"/>
      <c r="P749" s="1470"/>
      <c r="Q749" s="1470"/>
      <c r="R749" s="1470"/>
      <c r="S749" s="1471"/>
      <c r="T749" s="1469"/>
      <c r="U749" s="1470"/>
      <c r="V749" s="1470"/>
      <c r="W749" s="1471"/>
      <c r="X749" s="1358">
        <f t="shared" si="39"/>
        <v>0</v>
      </c>
      <c r="Y749" s="1359"/>
      <c r="Z749" s="1359"/>
      <c r="AA749" s="1359"/>
      <c r="AB749" s="1360"/>
      <c r="AC749" s="1618"/>
      <c r="AD749" s="1619"/>
      <c r="AE749" s="1619"/>
      <c r="AF749" s="1619"/>
      <c r="AG749" s="1620"/>
      <c r="AH749" s="1361" t="str">
        <f t="shared" si="36"/>
        <v/>
      </c>
      <c r="AI749" s="1362"/>
      <c r="AJ749" s="1363"/>
      <c r="AK749" s="1355"/>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3" customHeight="1">
      <c r="A750"/>
      <c r="B750" s="1355"/>
      <c r="C750" s="1356"/>
      <c r="D750" s="1356"/>
      <c r="E750" s="1356"/>
      <c r="F750" s="1357"/>
      <c r="G750" s="1364"/>
      <c r="H750" s="1365"/>
      <c r="I750" s="1365"/>
      <c r="J750" s="1366"/>
      <c r="K750" s="1609"/>
      <c r="L750" s="1610"/>
      <c r="M750" s="1610"/>
      <c r="N750" s="1611"/>
      <c r="O750" s="1469"/>
      <c r="P750" s="1470"/>
      <c r="Q750" s="1470"/>
      <c r="R750" s="1470"/>
      <c r="S750" s="1471"/>
      <c r="T750" s="1469"/>
      <c r="U750" s="1470"/>
      <c r="V750" s="1470"/>
      <c r="W750" s="1471"/>
      <c r="X750" s="1358">
        <f t="shared" si="39"/>
        <v>0</v>
      </c>
      <c r="Y750" s="1359"/>
      <c r="Z750" s="1359"/>
      <c r="AA750" s="1359"/>
      <c r="AB750" s="1360"/>
      <c r="AC750" s="1618"/>
      <c r="AD750" s="1619"/>
      <c r="AE750" s="1619"/>
      <c r="AF750" s="1619"/>
      <c r="AG750" s="1620"/>
      <c r="AH750" s="1361" t="str">
        <f t="shared" si="36"/>
        <v/>
      </c>
      <c r="AI750" s="1362"/>
      <c r="AJ750" s="1363"/>
      <c r="AK750" s="1355"/>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3" customHeight="1">
      <c r="A751"/>
      <c r="B751" s="1355"/>
      <c r="C751" s="1356"/>
      <c r="D751" s="1356"/>
      <c r="E751" s="1356"/>
      <c r="F751" s="1357"/>
      <c r="G751" s="1364"/>
      <c r="H751" s="1365"/>
      <c r="I751" s="1365"/>
      <c r="J751" s="1366"/>
      <c r="K751" s="1609"/>
      <c r="L751" s="1610"/>
      <c r="M751" s="1610"/>
      <c r="N751" s="1611"/>
      <c r="O751" s="1469"/>
      <c r="P751" s="1470"/>
      <c r="Q751" s="1470"/>
      <c r="R751" s="1470"/>
      <c r="S751" s="1471"/>
      <c r="T751" s="1469"/>
      <c r="U751" s="1470"/>
      <c r="V751" s="1470"/>
      <c r="W751" s="1471"/>
      <c r="X751" s="1358">
        <f t="shared" si="39"/>
        <v>0</v>
      </c>
      <c r="Y751" s="1359"/>
      <c r="Z751" s="1359"/>
      <c r="AA751" s="1359"/>
      <c r="AB751" s="1360"/>
      <c r="AC751" s="1618"/>
      <c r="AD751" s="1619"/>
      <c r="AE751" s="1619"/>
      <c r="AF751" s="1619"/>
      <c r="AG751" s="1620"/>
      <c r="AH751" s="1361" t="str">
        <f t="shared" si="36"/>
        <v/>
      </c>
      <c r="AI751" s="1362"/>
      <c r="AJ751" s="1363"/>
      <c r="AK751" s="1355"/>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3" customHeight="1">
      <c r="A752"/>
      <c r="B752" s="1355"/>
      <c r="C752" s="1356"/>
      <c r="D752" s="1356"/>
      <c r="E752" s="1356"/>
      <c r="F752" s="1357"/>
      <c r="G752" s="1364"/>
      <c r="H752" s="1365"/>
      <c r="I752" s="1365"/>
      <c r="J752" s="1366"/>
      <c r="K752" s="1609"/>
      <c r="L752" s="1610"/>
      <c r="M752" s="1610"/>
      <c r="N752" s="1611"/>
      <c r="O752" s="1469"/>
      <c r="P752" s="1470"/>
      <c r="Q752" s="1470"/>
      <c r="R752" s="1470"/>
      <c r="S752" s="1471"/>
      <c r="T752" s="1469"/>
      <c r="U752" s="1470"/>
      <c r="V752" s="1470"/>
      <c r="W752" s="1471"/>
      <c r="X752" s="1358">
        <f>O752+T752</f>
        <v>0</v>
      </c>
      <c r="Y752" s="1359"/>
      <c r="Z752" s="1359"/>
      <c r="AA752" s="1359"/>
      <c r="AB752" s="1360"/>
      <c r="AC752" s="1618"/>
      <c r="AD752" s="1619"/>
      <c r="AE752" s="1619"/>
      <c r="AF752" s="1619"/>
      <c r="AG752" s="1620"/>
      <c r="AH752" s="1361" t="str">
        <f t="shared" si="36"/>
        <v/>
      </c>
      <c r="AI752" s="1362"/>
      <c r="AJ752" s="1363"/>
      <c r="AK752" s="1355"/>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3" customHeight="1">
      <c r="A753"/>
      <c r="B753" s="1409" t="s">
        <v>125</v>
      </c>
      <c r="C753" s="1410"/>
      <c r="D753" s="1410"/>
      <c r="E753" s="1410"/>
      <c r="F753" s="1412"/>
      <c r="G753" s="1721">
        <f>SUM(G718:G752)</f>
        <v>72</v>
      </c>
      <c r="H753" s="1722"/>
      <c r="I753" s="1722"/>
      <c r="J753" s="1723"/>
      <c r="K753" s="902" t="s">
        <v>124</v>
      </c>
      <c r="L753" s="5"/>
      <c r="M753" s="5"/>
      <c r="N753" s="46"/>
      <c r="O753" s="1358">
        <f>SUMPRODUCT(G718:G752,O718:O752)</f>
        <v>84565</v>
      </c>
      <c r="P753" s="1359"/>
      <c r="Q753" s="1359"/>
      <c r="R753" s="1359"/>
      <c r="S753" s="1360"/>
      <c r="T753"/>
      <c r="U753"/>
      <c r="V753"/>
      <c r="W753"/>
      <c r="X753" s="904" t="s">
        <v>898</v>
      </c>
      <c r="Y753" s="903"/>
      <c r="Z753" s="903"/>
      <c r="AA753" s="903"/>
      <c r="AB753" s="905"/>
      <c r="AC753" s="1622">
        <f>BH753</f>
        <v>0.55694444444444435</v>
      </c>
      <c r="AD753" s="1623"/>
      <c r="AE753" s="1623"/>
      <c r="AF753" s="1623"/>
      <c r="AG753" s="1624"/>
      <c r="AH753" s="1622">
        <f>IFERROR(BU753,"")</f>
        <v>0.55716560666931536</v>
      </c>
      <c r="AI753" s="1623"/>
      <c r="AJ753" s="1624"/>
      <c r="AK753"/>
      <c r="AL753"/>
      <c r="AM753"/>
      <c r="AN753"/>
      <c r="AO753"/>
      <c r="AP753" s="205"/>
      <c r="AQ753" s="205"/>
      <c r="AR753" s="205"/>
      <c r="AS753" s="205"/>
      <c r="AT753"/>
      <c r="AU753"/>
      <c r="AV753"/>
      <c r="AW753"/>
      <c r="AX753"/>
      <c r="AY753"/>
      <c r="AZ753" s="34"/>
      <c r="BA753" s="34"/>
      <c r="BB753" s="34"/>
      <c r="BC753" s="34"/>
      <c r="BE753" s="290" t="s">
        <v>897</v>
      </c>
      <c r="BF753" s="299">
        <f>SUM(BF718:BF752)</f>
        <v>72</v>
      </c>
      <c r="BG753" s="300">
        <f>SUM(BG718:BG752)</f>
        <v>1</v>
      </c>
      <c r="BH753" s="300">
        <f>SUM(BH718:BH752)</f>
        <v>0.55694444444444435</v>
      </c>
      <c r="BI753"/>
      <c r="BJ753"/>
      <c r="BK753"/>
      <c r="BL753"/>
      <c r="BO753"/>
      <c r="BP753"/>
      <c r="BQ753"/>
      <c r="BR753"/>
      <c r="BS753" s="859">
        <f>SUM(BS718:BS752)</f>
        <v>72</v>
      </c>
      <c r="BT753" s="300">
        <f>SUM(BT718:BT752)</f>
        <v>1</v>
      </c>
      <c r="BU753" s="300">
        <f>SUM(BU718:BU752)</f>
        <v>0.55716560666931536</v>
      </c>
      <c r="CI753" s="1351">
        <f>SUM(CI718:CJ752)</f>
        <v>7</v>
      </c>
      <c r="CJ753" s="1353"/>
      <c r="CM753" s="1351">
        <f>SUM(CM718:CN752)</f>
        <v>22</v>
      </c>
      <c r="CN753" s="1353"/>
      <c r="CP753" s="1351">
        <f>SUM(CP718:CT752)</f>
        <v>15</v>
      </c>
      <c r="CQ753" s="1352"/>
      <c r="CR753" s="1352"/>
      <c r="CS753" s="1352"/>
      <c r="CT753" s="1353"/>
      <c r="CU753" s="1367">
        <f>SUM(CU718:CY752)</f>
        <v>12</v>
      </c>
      <c r="CV753" s="1367"/>
      <c r="CW753" s="1367"/>
      <c r="CX753" s="1367"/>
      <c r="CY753" s="1367"/>
      <c r="CZ753" s="1367">
        <f>SUM(CZ718:DD752)</f>
        <v>27</v>
      </c>
      <c r="DA753" s="1367"/>
      <c r="DB753" s="1367"/>
      <c r="DC753" s="1367"/>
      <c r="DD753" s="1367"/>
      <c r="DE753" s="1367">
        <f>SUM(DE718:DI752)</f>
        <v>18</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10</v>
      </c>
      <c r="DV753" s="1367"/>
      <c r="DW753" s="1367"/>
      <c r="DX753" s="1367"/>
      <c r="DY753" s="1367"/>
      <c r="DZ753" s="1367">
        <f>SUM(DZ718:ED752)</f>
        <v>7</v>
      </c>
      <c r="EA753" s="1367"/>
      <c r="EB753" s="1367"/>
      <c r="EC753" s="1367"/>
      <c r="ED753" s="1367"/>
      <c r="EE753" s="1367">
        <f>SUM(EE718:EI752)</f>
        <v>4</v>
      </c>
      <c r="EF753" s="1367"/>
      <c r="EG753" s="1367"/>
      <c r="EH753" s="1367"/>
      <c r="EI753" s="1367"/>
      <c r="EJ753" s="1367">
        <f>SUM(EJ718:EN752)</f>
        <v>1</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3718</v>
      </c>
      <c r="FA753" s="1367"/>
      <c r="FB753" s="1367"/>
      <c r="FC753" s="1367"/>
      <c r="FD753" s="1367"/>
      <c r="FE753" s="1367">
        <f>SUM(FE718:FI752)</f>
        <v>3929</v>
      </c>
      <c r="FF753" s="1367"/>
      <c r="FG753" s="1367"/>
      <c r="FH753" s="1367"/>
      <c r="FI753" s="1367"/>
      <c r="FJ753" s="1367">
        <f>SUM(FJ718:FN752)</f>
        <v>4672</v>
      </c>
      <c r="FK753" s="1367"/>
      <c r="FL753" s="1367"/>
      <c r="FM753" s="1367"/>
      <c r="FN753" s="1367"/>
      <c r="FO753" s="1367">
        <f>SUM(FO718:FS752)</f>
        <v>5261</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5" t="s">
        <v>1891</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1858</v>
      </c>
      <c r="DO754" s="1351">
        <f>CP753+CU753+CZ753+DE753+DJ753+DO753</f>
        <v>72</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15</v>
      </c>
      <c r="CU755" s="3"/>
      <c r="CV755" s="3"/>
      <c r="CW755" s="3"/>
      <c r="CX755" s="3"/>
      <c r="CY755" s="861">
        <f>CU753*1</f>
        <v>12</v>
      </c>
      <c r="CZ755" s="3"/>
      <c r="DA755" s="3"/>
      <c r="DB755" s="3"/>
      <c r="DC755" s="3"/>
      <c r="DD755" s="861">
        <f>CZ753*2</f>
        <v>54</v>
      </c>
      <c r="DE755" s="3"/>
      <c r="DF755" s="3"/>
      <c r="DG755" s="3"/>
      <c r="DH755" s="3"/>
      <c r="DI755" s="861">
        <f>DE753*3</f>
        <v>54</v>
      </c>
      <c r="DJ755" s="3"/>
      <c r="DK755" s="3"/>
      <c r="DL755" s="3"/>
      <c r="DM755" s="3"/>
      <c r="DN755" s="861">
        <f>DJ753*4</f>
        <v>0</v>
      </c>
      <c r="DO755" s="3"/>
      <c r="DP755" s="3"/>
      <c r="DQ755" s="3"/>
      <c r="DR755" s="3"/>
      <c r="DS755" s="861">
        <f>DO753*5</f>
        <v>0</v>
      </c>
      <c r="DU755" s="861">
        <f>CT755+CY755+DD755+DI755+DN755+DS755</f>
        <v>135</v>
      </c>
      <c r="DV755" s="57" t="s">
        <v>1860</v>
      </c>
      <c r="DW755" s="3"/>
      <c r="DX755" s="3"/>
      <c r="DY755" s="3"/>
      <c r="DZ755" s="3"/>
      <c r="EA755" s="3"/>
      <c r="EB755" s="3"/>
      <c r="EC755" s="3"/>
      <c r="ED755" s="3"/>
      <c r="EE755" s="3"/>
      <c r="EF755" s="3"/>
      <c r="EG755" s="3"/>
      <c r="EH755" s="3"/>
    </row>
    <row r="756" spans="1:185" ht="13" customHeight="1">
      <c r="A756" s="3"/>
      <c r="B756" s="3"/>
      <c r="C756" s="118" t="s">
        <v>1889</v>
      </c>
      <c r="D756" s="1032"/>
      <c r="E756" s="1032"/>
      <c r="F756" s="1032"/>
      <c r="G756" s="1033"/>
      <c r="H756" s="1033"/>
      <c r="I756" s="1033"/>
      <c r="J756" s="1033"/>
      <c r="K756" s="1032"/>
      <c r="L756" s="1032"/>
      <c r="M756" s="1032"/>
      <c r="N756" s="1032"/>
      <c r="O756" s="1367">
        <f>DU755</f>
        <v>135</v>
      </c>
      <c r="P756" s="1367"/>
      <c r="Q756" s="1367"/>
      <c r="R756" s="1367"/>
      <c r="S756" s="969"/>
      <c r="T756" s="969"/>
      <c r="U756" s="118" t="s">
        <v>1890</v>
      </c>
      <c r="V756" s="1032"/>
      <c r="W756" s="1032"/>
      <c r="X756" s="1032"/>
      <c r="Y756" s="1033"/>
      <c r="Z756" s="1033"/>
      <c r="AA756" s="1033"/>
      <c r="AB756" s="1033"/>
      <c r="AC756" s="1032"/>
      <c r="AD756" s="1032"/>
      <c r="AE756" s="1032"/>
      <c r="AF756" s="1032"/>
      <c r="AG756" s="1717">
        <v>0</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590</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575</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2087</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2088</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7" t="s">
        <v>389</v>
      </c>
      <c r="K769" s="1498"/>
      <c r="L769" s="1498"/>
      <c r="M769" s="1498"/>
      <c r="N769" s="1499"/>
      <c r="O769" s="1607" t="s">
        <v>285</v>
      </c>
      <c r="P769" s="1607"/>
      <c r="Q769" s="1607"/>
      <c r="R769" s="1607"/>
      <c r="S769" s="1607"/>
      <c r="T769" s="1514" t="s">
        <v>1677</v>
      </c>
      <c r="U769" s="1515"/>
      <c r="V769" s="1515"/>
      <c r="W769" s="1516"/>
      <c r="X769" s="1497" t="s">
        <v>446</v>
      </c>
      <c r="Y769" s="1498"/>
      <c r="Z769" s="1498"/>
      <c r="AA769" s="1498"/>
      <c r="AB769" s="1499"/>
      <c r="AC769" s="1497" t="s">
        <v>286</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0"/>
      <c r="K770" s="1501"/>
      <c r="L770" s="1501"/>
      <c r="M770" s="1501"/>
      <c r="N770" s="1502"/>
      <c r="O770" s="1607"/>
      <c r="P770" s="1607"/>
      <c r="Q770" s="1607"/>
      <c r="R770" s="1607"/>
      <c r="S770" s="1607"/>
      <c r="T770" s="1517"/>
      <c r="U770" s="1518"/>
      <c r="V770" s="1518"/>
      <c r="W770" s="1519"/>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0"/>
      <c r="K771" s="1501"/>
      <c r="L771" s="1501"/>
      <c r="M771" s="1501"/>
      <c r="N771" s="1502"/>
      <c r="O771" s="1607"/>
      <c r="P771" s="1607"/>
      <c r="Q771" s="1607"/>
      <c r="R771" s="1607"/>
      <c r="S771" s="1607"/>
      <c r="T771" s="1517"/>
      <c r="U771" s="1518"/>
      <c r="V771" s="1518"/>
      <c r="W771" s="1519"/>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3"/>
      <c r="K772" s="1504"/>
      <c r="L772" s="1504"/>
      <c r="M772" s="1504"/>
      <c r="N772" s="1505"/>
      <c r="O772" s="1607"/>
      <c r="P772" s="1607"/>
      <c r="Q772" s="1607"/>
      <c r="R772" s="1607"/>
      <c r="S772" s="1607"/>
      <c r="T772" s="1615"/>
      <c r="U772" s="1616"/>
      <c r="V772" s="1616"/>
      <c r="W772" s="1617"/>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c r="K773" s="1356"/>
      <c r="L773" s="1356"/>
      <c r="M773" s="1356"/>
      <c r="N773" s="1357"/>
      <c r="O773" s="1465"/>
      <c r="P773" s="1465"/>
      <c r="Q773" s="1465"/>
      <c r="R773" s="1465"/>
      <c r="S773" s="1465"/>
      <c r="T773" s="1609"/>
      <c r="U773" s="1610"/>
      <c r="V773" s="1610"/>
      <c r="W773" s="1611"/>
      <c r="X773" s="1469"/>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5"/>
      <c r="P774" s="1465"/>
      <c r="Q774" s="1465"/>
      <c r="R774" s="1465"/>
      <c r="S774" s="1465"/>
      <c r="T774" s="1609"/>
      <c r="U774" s="1610"/>
      <c r="V774" s="1610"/>
      <c r="W774" s="1611"/>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5"/>
      <c r="P775" s="1465"/>
      <c r="Q775" s="1465"/>
      <c r="R775" s="1465"/>
      <c r="S775" s="1465"/>
      <c r="T775" s="1609"/>
      <c r="U775" s="1610"/>
      <c r="V775" s="1610"/>
      <c r="W775" s="1611"/>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5"/>
      <c r="P776" s="1465"/>
      <c r="Q776" s="1465"/>
      <c r="R776" s="1465"/>
      <c r="S776" s="1465"/>
      <c r="T776" s="1609"/>
      <c r="U776" s="1610"/>
      <c r="V776" s="1610"/>
      <c r="W776" s="1611"/>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9" t="s">
        <v>125</v>
      </c>
      <c r="K777" s="1410"/>
      <c r="L777" s="1410"/>
      <c r="M777" s="1410"/>
      <c r="N777" s="1412"/>
      <c r="O777" s="1335">
        <f>SUM(O773:S776)</f>
        <v>0</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0</v>
      </c>
      <c r="DV777" s="57" t="s">
        <v>1857</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1859</v>
      </c>
    </row>
    <row r="779" spans="1:126" ht="13" customHeight="1">
      <c r="B779" s="56"/>
      <c r="C779" s="56"/>
      <c r="D779" s="56"/>
      <c r="E779" s="56"/>
      <c r="F779" s="56"/>
      <c r="G779" s="6"/>
      <c r="H779" s="6"/>
      <c r="I779" s="6"/>
      <c r="J779" s="1390" t="s">
        <v>667</v>
      </c>
      <c r="K779" s="1390"/>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7" t="s">
        <v>389</v>
      </c>
      <c r="K783" s="1498"/>
      <c r="L783" s="1498"/>
      <c r="M783" s="1498"/>
      <c r="N783" s="1499"/>
      <c r="O783" s="1607" t="s">
        <v>285</v>
      </c>
      <c r="P783" s="1607"/>
      <c r="Q783" s="1607"/>
      <c r="R783" s="1607"/>
      <c r="S783" s="1607"/>
      <c r="T783" s="1514" t="s">
        <v>1677</v>
      </c>
      <c r="U783" s="1515"/>
      <c r="V783" s="1515"/>
      <c r="W783" s="1516"/>
      <c r="X783" s="1497" t="s">
        <v>446</v>
      </c>
      <c r="Y783" s="1498"/>
      <c r="Z783" s="1498"/>
      <c r="AA783" s="1498"/>
      <c r="AB783" s="1499"/>
      <c r="AC783" s="1497" t="s">
        <v>286</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0"/>
      <c r="K784" s="1501"/>
      <c r="L784" s="1501"/>
      <c r="M784" s="1501"/>
      <c r="N784" s="1502"/>
      <c r="O784" s="1607"/>
      <c r="P784" s="1607"/>
      <c r="Q784" s="1607"/>
      <c r="R784" s="1607"/>
      <c r="S784" s="1607"/>
      <c r="T784" s="1517"/>
      <c r="U784" s="1518"/>
      <c r="V784" s="1518"/>
      <c r="W784" s="1519"/>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0"/>
      <c r="K785" s="1501"/>
      <c r="L785" s="1501"/>
      <c r="M785" s="1501"/>
      <c r="N785" s="1502"/>
      <c r="O785" s="1607"/>
      <c r="P785" s="1607"/>
      <c r="Q785" s="1607"/>
      <c r="R785" s="1607"/>
      <c r="S785" s="1607"/>
      <c r="T785" s="1517"/>
      <c r="U785" s="1518"/>
      <c r="V785" s="1518"/>
      <c r="W785" s="1519"/>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3"/>
      <c r="K786" s="1504"/>
      <c r="L786" s="1504"/>
      <c r="M786" s="1504"/>
      <c r="N786" s="1505"/>
      <c r="O786" s="1607"/>
      <c r="P786" s="1607"/>
      <c r="Q786" s="1607"/>
      <c r="R786" s="1607"/>
      <c r="S786" s="1607"/>
      <c r="T786" s="1615"/>
      <c r="U786" s="1616"/>
      <c r="V786" s="1616"/>
      <c r="W786" s="1617"/>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5"/>
      <c r="P787" s="1465"/>
      <c r="Q787" s="1465"/>
      <c r="R787" s="1465"/>
      <c r="S787" s="1465"/>
      <c r="T787" s="1609"/>
      <c r="U787" s="1610"/>
      <c r="V787" s="1610"/>
      <c r="W787" s="1611"/>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5"/>
      <c r="P788" s="1465"/>
      <c r="Q788" s="1465"/>
      <c r="R788" s="1465"/>
      <c r="S788" s="1465"/>
      <c r="T788" s="1609"/>
      <c r="U788" s="1610"/>
      <c r="V788" s="1610"/>
      <c r="W788" s="1611"/>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5"/>
      <c r="P789" s="1465"/>
      <c r="Q789" s="1465"/>
      <c r="R789" s="1465"/>
      <c r="S789" s="1465"/>
      <c r="T789" s="1609"/>
      <c r="U789" s="1610"/>
      <c r="V789" s="1610"/>
      <c r="W789" s="1611"/>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5"/>
      <c r="P790" s="1465"/>
      <c r="Q790" s="1465"/>
      <c r="R790" s="1465"/>
      <c r="S790" s="1465"/>
      <c r="T790" s="1609"/>
      <c r="U790" s="1610"/>
      <c r="V790" s="1610"/>
      <c r="W790" s="1611"/>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5"/>
      <c r="P791" s="1465"/>
      <c r="Q791" s="1465"/>
      <c r="R791" s="1465"/>
      <c r="S791" s="1465"/>
      <c r="T791" s="1609"/>
      <c r="U791" s="1610"/>
      <c r="V791" s="1610"/>
      <c r="W791" s="1611"/>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5"/>
      <c r="P792" s="1465"/>
      <c r="Q792" s="1465"/>
      <c r="R792" s="1465"/>
      <c r="S792" s="1465"/>
      <c r="T792" s="1609"/>
      <c r="U792" s="1610"/>
      <c r="V792" s="1610"/>
      <c r="W792" s="1611"/>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5"/>
      <c r="P793" s="1465"/>
      <c r="Q793" s="1465"/>
      <c r="R793" s="1465"/>
      <c r="S793" s="1465"/>
      <c r="T793" s="1609"/>
      <c r="U793" s="1610"/>
      <c r="V793" s="1610"/>
      <c r="W793" s="1611"/>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5"/>
      <c r="P794" s="1465"/>
      <c r="Q794" s="1465"/>
      <c r="R794" s="1465"/>
      <c r="S794" s="1465"/>
      <c r="T794" s="1609"/>
      <c r="U794" s="1610"/>
      <c r="V794" s="1610"/>
      <c r="W794" s="1611"/>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5"/>
      <c r="P795" s="1465"/>
      <c r="Q795" s="1465"/>
      <c r="R795" s="1465"/>
      <c r="S795" s="1465"/>
      <c r="T795" s="1609"/>
      <c r="U795" s="1610"/>
      <c r="V795" s="1610"/>
      <c r="W795" s="1611"/>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5"/>
      <c r="P796" s="1465"/>
      <c r="Q796" s="1465"/>
      <c r="R796" s="1465"/>
      <c r="S796" s="1465"/>
      <c r="T796" s="1609"/>
      <c r="U796" s="1610"/>
      <c r="V796" s="1610"/>
      <c r="W796" s="1611"/>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3" customHeight="1">
      <c r="A797"/>
      <c r="B797"/>
      <c r="C797"/>
      <c r="D797"/>
      <c r="E797"/>
      <c r="F797"/>
      <c r="G797"/>
      <c r="H797"/>
      <c r="I797"/>
      <c r="J797" s="1409" t="s">
        <v>125</v>
      </c>
      <c r="K797" s="1410"/>
      <c r="L797" s="1410"/>
      <c r="M797" s="1410"/>
      <c r="N797" s="1412"/>
      <c r="O797" s="1629">
        <f>SUM(O787:S796)</f>
        <v>0</v>
      </c>
      <c r="P797" s="1629"/>
      <c r="Q797" s="1629"/>
      <c r="R797" s="1629"/>
      <c r="S797" s="1629"/>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6">
        <f>O753+AC777+AC797</f>
        <v>84565</v>
      </c>
      <c r="Z800" s="1606"/>
      <c r="AA800" s="1606"/>
      <c r="AB800" s="1606"/>
      <c r="AC800" s="16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6">
        <f>(O753+AC777+AC797)*12</f>
        <v>1014780</v>
      </c>
      <c r="Z801" s="1606"/>
      <c r="AA801" s="1606"/>
      <c r="AB801" s="1606"/>
      <c r="AC801" s="16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15</v>
      </c>
      <c r="CQ802" s="1349"/>
      <c r="CR802" s="1349"/>
      <c r="CS802" s="1349"/>
      <c r="CT802" s="1350"/>
      <c r="CU802" s="1348">
        <f>CU753+CU777+CU797</f>
        <v>12</v>
      </c>
      <c r="CV802" s="1349"/>
      <c r="CW802" s="1349"/>
      <c r="CX802" s="1349"/>
      <c r="CY802" s="1350"/>
      <c r="CZ802" s="1348">
        <f>CZ753+CZ777+CZ797</f>
        <v>27</v>
      </c>
      <c r="DA802" s="1349"/>
      <c r="DB802" s="1349"/>
      <c r="DC802" s="1349"/>
      <c r="DD802" s="1350"/>
      <c r="DE802" s="1348">
        <f>DE753+DE777+DE797</f>
        <v>18</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135</v>
      </c>
      <c r="DV802" s="57" t="s">
        <v>1861</v>
      </c>
    </row>
    <row r="803" spans="1:126" s="4" customFormat="1" ht="13"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c r="AA806" s="1613"/>
      <c r="AB806" s="1613"/>
      <c r="AC806" s="1613"/>
      <c r="AD806" s="1613"/>
      <c r="AE806" s="16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2"/>
      <c r="AA807" s="1613"/>
      <c r="AB807" s="1613"/>
      <c r="AC807" s="1613"/>
      <c r="AD807" s="1613"/>
      <c r="AE807" s="16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7"/>
      <c r="AA808" s="1523"/>
      <c r="AB808" s="1523"/>
      <c r="AC808" s="1523"/>
      <c r="AD808" s="1523"/>
      <c r="AE808" s="162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7200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v>550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v>550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7" t="s">
        <v>2693</v>
      </c>
      <c r="Q816" s="1648"/>
      <c r="R816" s="1648"/>
      <c r="S816" s="1648"/>
      <c r="T816" s="1648"/>
      <c r="U816" s="1648"/>
      <c r="V816" s="1648"/>
      <c r="W816" s="1648"/>
      <c r="X816" s="1648"/>
      <c r="Y816" s="1649"/>
      <c r="Z816" s="1477">
        <v>2500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10800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642</v>
      </c>
      <c r="Z818" s="1474">
        <f>Z817+Y801+Z809</f>
        <v>1025580</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591</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90" t="s">
        <v>126</v>
      </c>
      <c r="N823" s="1690"/>
      <c r="O823" s="1690"/>
      <c r="P823" s="1691"/>
      <c r="Q823" s="1626" t="s">
        <v>290</v>
      </c>
      <c r="R823" s="1626"/>
      <c r="S823" s="1626"/>
      <c r="T823" s="1626"/>
      <c r="U823" s="1626" t="s">
        <v>291</v>
      </c>
      <c r="V823" s="1626"/>
      <c r="W823" s="1626"/>
      <c r="X823" s="1626"/>
      <c r="Y823" s="1626" t="s">
        <v>292</v>
      </c>
      <c r="Z823" s="1626"/>
      <c r="AA823" s="1626"/>
      <c r="AB823" s="1626"/>
      <c r="AC823" s="1626" t="s">
        <v>361</v>
      </c>
      <c r="AD823" s="1626"/>
      <c r="AE823" s="1626"/>
      <c r="AF823" s="1626"/>
      <c r="AG823" s="1621" t="s">
        <v>335</v>
      </c>
      <c r="AH823" s="1621"/>
      <c r="AI823" s="1621"/>
      <c r="AJ823" s="162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2"/>
      <c r="N824" s="1692"/>
      <c r="O824" s="1692"/>
      <c r="P824" s="1693"/>
      <c r="Q824" s="1626"/>
      <c r="R824" s="1626"/>
      <c r="S824" s="1626"/>
      <c r="T824" s="1626"/>
      <c r="U824" s="1626"/>
      <c r="V824" s="1626"/>
      <c r="W824" s="1626"/>
      <c r="X824" s="1626"/>
      <c r="Y824" s="1626"/>
      <c r="Z824" s="1626"/>
      <c r="AA824" s="1626"/>
      <c r="AB824" s="1626"/>
      <c r="AC824" s="1626"/>
      <c r="AD824" s="1626"/>
      <c r="AE824" s="1626"/>
      <c r="AF824" s="1626"/>
      <c r="AG824" s="1621"/>
      <c r="AH824" s="1621"/>
      <c r="AI824" s="1621"/>
      <c r="AJ824" s="162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8" t="s">
        <v>40</v>
      </c>
      <c r="D825" s="1485"/>
      <c r="E825" s="1485"/>
      <c r="F825" s="1485"/>
      <c r="G825" s="1485"/>
      <c r="H825" s="1485"/>
      <c r="I825" s="48"/>
      <c r="J825" s="48"/>
      <c r="K825" s="48"/>
      <c r="L825" s="49"/>
      <c r="M825" s="1605">
        <v>10</v>
      </c>
      <c r="N825" s="1605"/>
      <c r="O825" s="1605"/>
      <c r="P825" s="1605"/>
      <c r="Q825" s="1605">
        <v>15</v>
      </c>
      <c r="R825" s="1605"/>
      <c r="S825" s="1605"/>
      <c r="T825" s="1605"/>
      <c r="U825" s="1605">
        <v>25</v>
      </c>
      <c r="V825" s="1605"/>
      <c r="W825" s="1605"/>
      <c r="X825" s="1605"/>
      <c r="Y825" s="1605">
        <v>56</v>
      </c>
      <c r="Z825" s="1605"/>
      <c r="AA825" s="1605"/>
      <c r="AB825" s="1605"/>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7" t="s">
        <v>41</v>
      </c>
      <c r="D826" s="1442"/>
      <c r="E826" s="1442"/>
      <c r="F826" s="1442"/>
      <c r="G826" s="1442"/>
      <c r="H826" s="1442"/>
      <c r="I826" s="5"/>
      <c r="J826" s="5"/>
      <c r="K826" s="5"/>
      <c r="L826" s="46"/>
      <c r="M826" s="1605"/>
      <c r="N826" s="1605"/>
      <c r="O826" s="1605"/>
      <c r="P826" s="1605"/>
      <c r="Q826" s="1605"/>
      <c r="R826" s="1605"/>
      <c r="S826" s="1605"/>
      <c r="T826" s="1605"/>
      <c r="U826" s="1605"/>
      <c r="V826" s="1605"/>
      <c r="W826" s="1605"/>
      <c r="X826" s="1605"/>
      <c r="Y826" s="1605"/>
      <c r="Z826" s="1605"/>
      <c r="AA826" s="1605"/>
      <c r="AB826" s="1605"/>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7" t="s">
        <v>42</v>
      </c>
      <c r="D827" s="1442"/>
      <c r="E827" s="1442"/>
      <c r="F827" s="1442"/>
      <c r="G827" s="1442"/>
      <c r="H827" s="1442"/>
      <c r="I827" s="60"/>
      <c r="J827" s="60"/>
      <c r="K827" s="60"/>
      <c r="L827" s="61"/>
      <c r="M827" s="1605">
        <v>4</v>
      </c>
      <c r="N827" s="1605"/>
      <c r="O827" s="1605"/>
      <c r="P827" s="1605"/>
      <c r="Q827" s="1605">
        <v>5</v>
      </c>
      <c r="R827" s="1605"/>
      <c r="S827" s="1605"/>
      <c r="T827" s="1605"/>
      <c r="U827" s="1605">
        <v>5</v>
      </c>
      <c r="V827" s="1605"/>
      <c r="W827" s="1605"/>
      <c r="X827" s="1605"/>
      <c r="Y827" s="1605">
        <v>6</v>
      </c>
      <c r="Z827" s="1605"/>
      <c r="AA827" s="1605"/>
      <c r="AB827" s="1605"/>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7" t="s">
        <v>760</v>
      </c>
      <c r="D828" s="1442"/>
      <c r="E828" s="1442"/>
      <c r="F828" s="1442"/>
      <c r="G828" s="1442"/>
      <c r="H828" s="1442"/>
      <c r="I828" s="60"/>
      <c r="J828" s="60"/>
      <c r="K828" s="60"/>
      <c r="L828" s="61"/>
      <c r="M828" s="1605">
        <v>2</v>
      </c>
      <c r="N828" s="1605"/>
      <c r="O828" s="1605"/>
      <c r="P828" s="1605"/>
      <c r="Q828" s="1605">
        <v>4</v>
      </c>
      <c r="R828" s="1605"/>
      <c r="S828" s="1605"/>
      <c r="T828" s="1605"/>
      <c r="U828" s="1605">
        <v>5</v>
      </c>
      <c r="V828" s="1605"/>
      <c r="W828" s="1605"/>
      <c r="X828" s="1605"/>
      <c r="Y828" s="1605">
        <v>8</v>
      </c>
      <c r="Z828" s="1605"/>
      <c r="AA828" s="1605"/>
      <c r="AB828" s="1605"/>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7" t="s">
        <v>458</v>
      </c>
      <c r="D829" s="1442"/>
      <c r="E829" s="1442"/>
      <c r="F829" s="1442"/>
      <c r="G829" s="1442"/>
      <c r="H829" s="1442"/>
      <c r="I829" s="60"/>
      <c r="J829" s="60"/>
      <c r="K829" s="60"/>
      <c r="L829" s="61"/>
      <c r="M829" s="1605">
        <v>31</v>
      </c>
      <c r="N829" s="1605"/>
      <c r="O829" s="1605"/>
      <c r="P829" s="1605"/>
      <c r="Q829" s="1605">
        <v>39</v>
      </c>
      <c r="R829" s="1605"/>
      <c r="S829" s="1605"/>
      <c r="T829" s="1605"/>
      <c r="U829" s="1605">
        <v>49</v>
      </c>
      <c r="V829" s="1605"/>
      <c r="W829" s="1605"/>
      <c r="X829" s="1605"/>
      <c r="Y829" s="1605">
        <v>61</v>
      </c>
      <c r="Z829" s="1605"/>
      <c r="AA829" s="1605"/>
      <c r="AB829" s="1605"/>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4" t="s">
        <v>781</v>
      </c>
      <c r="D830" s="1442"/>
      <c r="E830" s="1442"/>
      <c r="F830" s="1442"/>
      <c r="G830" s="1442"/>
      <c r="H830" s="1442"/>
      <c r="I830" s="60"/>
      <c r="J830" s="60"/>
      <c r="K830" s="60"/>
      <c r="L830" s="61"/>
      <c r="M830" s="1605"/>
      <c r="N830" s="1605"/>
      <c r="O830" s="1605"/>
      <c r="P830" s="1605"/>
      <c r="Q830" s="1605"/>
      <c r="R830" s="1605"/>
      <c r="S830" s="1605"/>
      <c r="T830" s="1605"/>
      <c r="U830" s="1605"/>
      <c r="V830" s="1605"/>
      <c r="W830" s="1605"/>
      <c r="X830" s="1605"/>
      <c r="Y830" s="1605"/>
      <c r="Z830" s="1605"/>
      <c r="AA830" s="1605"/>
      <c r="AB830" s="1605"/>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7" t="s">
        <v>2694</v>
      </c>
      <c r="G831" s="1648"/>
      <c r="H831" s="1648"/>
      <c r="I831" s="1648"/>
      <c r="J831" s="1648"/>
      <c r="K831" s="1648"/>
      <c r="L831" s="1648"/>
      <c r="M831" s="1605">
        <v>5</v>
      </c>
      <c r="N831" s="1605"/>
      <c r="O831" s="1605"/>
      <c r="P831" s="1605"/>
      <c r="Q831" s="1605">
        <v>7</v>
      </c>
      <c r="R831" s="1605"/>
      <c r="S831" s="1605"/>
      <c r="T831" s="1605"/>
      <c r="U831" s="1605">
        <v>10</v>
      </c>
      <c r="V831" s="1605"/>
      <c r="W831" s="1605"/>
      <c r="X831" s="1605"/>
      <c r="Y831" s="1605">
        <v>13</v>
      </c>
      <c r="Z831" s="1605"/>
      <c r="AA831" s="1605"/>
      <c r="AB831" s="1605"/>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9" t="s">
        <v>124</v>
      </c>
      <c r="D832" s="1410"/>
      <c r="E832" s="1410"/>
      <c r="F832" s="1410"/>
      <c r="G832" s="1410"/>
      <c r="H832" s="1410"/>
      <c r="I832" s="1410"/>
      <c r="J832" s="1410"/>
      <c r="K832" s="1410"/>
      <c r="L832" s="1412"/>
      <c r="M832" s="1654">
        <f>SUM(M825:P831)</f>
        <v>52</v>
      </c>
      <c r="N832" s="1654"/>
      <c r="O832" s="1654"/>
      <c r="P832" s="1654"/>
      <c r="Q832" s="1654">
        <f>SUM(Q825:T831)</f>
        <v>70</v>
      </c>
      <c r="R832" s="1654"/>
      <c r="S832" s="1654"/>
      <c r="T832" s="1654"/>
      <c r="U832" s="1654">
        <f>SUM(U825:X831)</f>
        <v>94</v>
      </c>
      <c r="V832" s="1654"/>
      <c r="W832" s="1654"/>
      <c r="X832" s="1654"/>
      <c r="Y832" s="1654">
        <f>SUM(Y825:AB831)</f>
        <v>144</v>
      </c>
      <c r="Z832" s="1654"/>
      <c r="AA832" s="1654"/>
      <c r="AB832" s="1654"/>
      <c r="AC832" s="1654">
        <f>SUM(AC825:AF831)</f>
        <v>0</v>
      </c>
      <c r="AD832" s="1654"/>
      <c r="AE832" s="1654"/>
      <c r="AF832" s="1654"/>
      <c r="AG832" s="1654">
        <f>SUM(AG825:AJ831)</f>
        <v>0</v>
      </c>
      <c r="AH832" s="1654"/>
      <c r="AI832" s="1654"/>
      <c r="AJ832" s="1654"/>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782</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783</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0" t="s">
        <v>2756</v>
      </c>
      <c r="D837" s="1661"/>
      <c r="E837" s="1661"/>
      <c r="F837" s="1661"/>
      <c r="G837" s="1661"/>
      <c r="H837" s="1661"/>
      <c r="I837" s="1661"/>
      <c r="J837" s="1661"/>
      <c r="K837" s="1661"/>
      <c r="L837" s="1661"/>
      <c r="M837" s="1661"/>
      <c r="N837" s="1661"/>
      <c r="O837" s="1661"/>
      <c r="P837" s="1661"/>
      <c r="Q837" s="1661"/>
      <c r="R837" s="1661"/>
      <c r="S837" s="1661"/>
      <c r="T837" s="1661"/>
      <c r="U837" s="1661"/>
      <c r="V837" s="1661"/>
      <c r="W837" s="1661"/>
      <c r="X837" s="1661"/>
      <c r="Y837" s="1661"/>
      <c r="Z837" s="1661"/>
      <c r="AA837" s="1661"/>
      <c r="AB837" s="1661"/>
      <c r="AC837" s="1661"/>
      <c r="AD837" s="1661"/>
      <c r="AE837" s="1661"/>
      <c r="AF837" s="1661"/>
      <c r="AG837" s="1661"/>
      <c r="AH837" s="1661"/>
      <c r="AI837" s="1661"/>
      <c r="AJ837" s="1662"/>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466</v>
      </c>
      <c r="B840"/>
      <c r="C840" s="2" t="s">
        <v>758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c r="BJ841" s="1667"/>
      <c r="BK841" s="1667"/>
      <c r="BL841" s="1667"/>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3">
        <v>1200</v>
      </c>
      <c r="X842" s="1643"/>
      <c r="Y842" s="1643"/>
      <c r="Z842" s="1643"/>
      <c r="AA842" s="1643"/>
      <c r="AB842" s="1643"/>
      <c r="AC842" s="164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3">
        <v>2000</v>
      </c>
      <c r="X843" s="1643"/>
      <c r="Y843" s="1643"/>
      <c r="Z843" s="1643"/>
      <c r="AA843" s="1643"/>
      <c r="AB843" s="1643"/>
      <c r="AC843" s="164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3">
        <v>8000</v>
      </c>
      <c r="X844" s="1643"/>
      <c r="Y844" s="1643"/>
      <c r="Z844" s="1643"/>
      <c r="AA844" s="1643"/>
      <c r="AB844" s="1643"/>
      <c r="AC844" s="1643"/>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3"/>
      <c r="X845" s="1643"/>
      <c r="Y845" s="1643"/>
      <c r="Z845" s="1643"/>
      <c r="AA845" s="1643"/>
      <c r="AB845" s="1643"/>
      <c r="AC845" s="1643"/>
      <c r="AZ845" s="30"/>
      <c r="BA845" s="30"/>
      <c r="BB845" s="14"/>
      <c r="BC845" s="14"/>
      <c r="BD845" s="14"/>
      <c r="BE845" s="14"/>
      <c r="BF845" s="14"/>
      <c r="BG845" s="14"/>
      <c r="BH845" s="14"/>
      <c r="BI845" s="14"/>
      <c r="BJ845" s="14"/>
      <c r="BK845" s="14"/>
      <c r="BL845" s="14"/>
    </row>
    <row r="846" spans="1:64" ht="13" customHeight="1">
      <c r="J846" s="45" t="s">
        <v>170</v>
      </c>
      <c r="K846" s="5"/>
      <c r="L846" s="5"/>
      <c r="M846" s="1647" t="s">
        <v>2695</v>
      </c>
      <c r="N846" s="1648"/>
      <c r="O846" s="1648"/>
      <c r="P846" s="1648"/>
      <c r="Q846" s="1648"/>
      <c r="R846" s="1648"/>
      <c r="S846" s="1648"/>
      <c r="T846" s="1648"/>
      <c r="U846" s="1648"/>
      <c r="V846" s="1649"/>
      <c r="W846" s="1643">
        <v>13440</v>
      </c>
      <c r="X846" s="1643"/>
      <c r="Y846" s="1643"/>
      <c r="Z846" s="1643"/>
      <c r="AA846" s="1643"/>
      <c r="AB846" s="1643"/>
      <c r="AC846" s="164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4">
        <f>SUM(W842:W846)</f>
        <v>24640</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9"/>
      <c r="BH848" s="1639"/>
      <c r="BI848" s="1639"/>
      <c r="BJ848" s="1639"/>
      <c r="BK848" s="1639"/>
      <c r="BL848" s="1639"/>
    </row>
    <row r="849" spans="3:55" ht="13" customHeight="1">
      <c r="C849" s="2" t="s">
        <v>344</v>
      </c>
      <c r="J849" s="1409" t="s">
        <v>345</v>
      </c>
      <c r="K849" s="1410"/>
      <c r="L849" s="1410"/>
      <c r="M849" s="1410"/>
      <c r="N849" s="1410"/>
      <c r="O849" s="1410"/>
      <c r="P849" s="1410"/>
      <c r="Q849" s="1410"/>
      <c r="R849" s="1410"/>
      <c r="S849" s="1410"/>
      <c r="T849" s="1410"/>
      <c r="U849" s="1410"/>
      <c r="V849" s="1412"/>
      <c r="W849" s="1477">
        <v>48200</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560</v>
      </c>
      <c r="J851" s="45" t="s">
        <v>352</v>
      </c>
      <c r="K851" s="5"/>
      <c r="L851" s="5"/>
      <c r="M851" s="5"/>
      <c r="N851" s="5"/>
      <c r="O851" s="5"/>
      <c r="P851" s="5"/>
      <c r="Q851" s="5"/>
      <c r="R851" s="5"/>
      <c r="S851" s="5"/>
      <c r="T851" s="5"/>
      <c r="U851" s="5"/>
      <c r="V851" s="46"/>
      <c r="W851" s="1658">
        <v>200</v>
      </c>
      <c r="X851" s="1658"/>
      <c r="Y851" s="1658"/>
      <c r="Z851" s="1658"/>
      <c r="AA851" s="1658"/>
      <c r="AB851" s="1658"/>
      <c r="AC851" s="1658"/>
      <c r="AZ851" s="1625"/>
      <c r="BA851" s="1625"/>
      <c r="BB851" s="14"/>
      <c r="BC851" s="14"/>
    </row>
    <row r="852" spans="3:55" ht="13" customHeight="1">
      <c r="J852" s="45" t="s">
        <v>351</v>
      </c>
      <c r="K852" s="5"/>
      <c r="L852" s="5"/>
      <c r="M852" s="5"/>
      <c r="N852" s="5"/>
      <c r="O852" s="5"/>
      <c r="P852" s="5"/>
      <c r="Q852" s="5"/>
      <c r="R852" s="5"/>
      <c r="S852" s="5"/>
      <c r="T852" s="5"/>
      <c r="U852" s="5"/>
      <c r="V852" s="46"/>
      <c r="W852" s="1658">
        <v>1000</v>
      </c>
      <c r="X852" s="1658"/>
      <c r="Y852" s="1658"/>
      <c r="Z852" s="1658"/>
      <c r="AA852" s="1658"/>
      <c r="AB852" s="1658"/>
      <c r="AC852" s="1658"/>
      <c r="AZ852" s="30"/>
      <c r="BA852" s="30"/>
      <c r="BB852" s="14"/>
      <c r="BC852" s="14"/>
    </row>
    <row r="853" spans="3:55" ht="13" customHeight="1">
      <c r="J853" s="45" t="s">
        <v>458</v>
      </c>
      <c r="K853" s="5"/>
      <c r="L853" s="5"/>
      <c r="M853" s="5"/>
      <c r="N853" s="5"/>
      <c r="O853" s="5"/>
      <c r="P853" s="5"/>
      <c r="Q853" s="5"/>
      <c r="R853" s="5"/>
      <c r="S853" s="5"/>
      <c r="T853" s="5"/>
      <c r="U853" s="5"/>
      <c r="V853" s="46"/>
      <c r="W853" s="1658">
        <v>15800</v>
      </c>
      <c r="X853" s="1658"/>
      <c r="Y853" s="1658"/>
      <c r="Z853" s="1658"/>
      <c r="AA853" s="1658"/>
      <c r="AB853" s="1658"/>
      <c r="AC853" s="1658"/>
      <c r="AZ853" s="30"/>
      <c r="BA853" s="30"/>
      <c r="BB853" s="14"/>
      <c r="BC853" s="14"/>
    </row>
    <row r="854" spans="3:55" ht="13" customHeight="1">
      <c r="J854" s="62" t="s">
        <v>619</v>
      </c>
      <c r="K854" s="5"/>
      <c r="L854" s="5"/>
      <c r="M854" s="5"/>
      <c r="N854" s="5"/>
      <c r="O854" s="5"/>
      <c r="P854" s="5"/>
      <c r="Q854" s="5"/>
      <c r="R854" s="5"/>
      <c r="S854" s="5"/>
      <c r="T854" s="5"/>
      <c r="U854" s="5"/>
      <c r="V854" s="46"/>
      <c r="W854" s="1658">
        <v>58500</v>
      </c>
      <c r="X854" s="1658"/>
      <c r="Y854" s="1658"/>
      <c r="Z854" s="1658"/>
      <c r="AA854" s="1658"/>
      <c r="AB854" s="1658"/>
      <c r="AC854" s="1658"/>
      <c r="AZ854" s="34"/>
      <c r="BA854" s="34"/>
      <c r="BB854" s="34"/>
      <c r="BC854" s="34"/>
    </row>
    <row r="855" spans="3:55" ht="13" customHeight="1">
      <c r="J855" s="63"/>
      <c r="K855" s="48"/>
      <c r="L855" s="48"/>
      <c r="M855" s="48"/>
      <c r="N855" s="48"/>
      <c r="O855" s="48"/>
      <c r="P855" s="48"/>
      <c r="Q855" s="48"/>
      <c r="R855" s="48"/>
      <c r="S855" s="48"/>
      <c r="T855" s="48"/>
      <c r="U855" s="48"/>
      <c r="V855" s="54" t="s">
        <v>272</v>
      </c>
      <c r="W855" s="1659">
        <f>SUM(W851:W854)</f>
        <v>75500</v>
      </c>
      <c r="X855" s="1659"/>
      <c r="Y855" s="1659"/>
      <c r="Z855" s="1659"/>
      <c r="AA855" s="1659"/>
      <c r="AB855" s="1659"/>
      <c r="AC855" s="1659"/>
      <c r="AZ855" s="34"/>
      <c r="BA855" s="34"/>
      <c r="BB855" s="34"/>
      <c r="BC855" s="34"/>
    </row>
    <row r="856" spans="3:55" ht="13" customHeight="1">
      <c r="AZ856" s="34"/>
      <c r="BA856" s="34"/>
      <c r="BB856" s="34"/>
      <c r="BC856" s="34"/>
    </row>
    <row r="857" spans="3:55" ht="13" customHeight="1">
      <c r="C857" s="2" t="s">
        <v>346</v>
      </c>
      <c r="J857" s="45" t="s">
        <v>618</v>
      </c>
      <c r="K857" s="5"/>
      <c r="L857" s="5"/>
      <c r="M857" s="5"/>
      <c r="N857" s="5"/>
      <c r="O857" s="5"/>
      <c r="P857" s="5"/>
      <c r="Q857" s="5"/>
      <c r="R857" s="5"/>
      <c r="S857" s="5"/>
      <c r="T857" s="5"/>
      <c r="U857" s="5"/>
      <c r="V857" s="46"/>
      <c r="W857" s="1655">
        <v>34560</v>
      </c>
      <c r="X857" s="1656"/>
      <c r="Y857" s="1656"/>
      <c r="Z857" s="1656"/>
      <c r="AA857" s="1656"/>
      <c r="AB857" s="1656"/>
      <c r="AC857" s="1657"/>
      <c r="AD857" s="528"/>
      <c r="AZ857" s="34"/>
      <c r="BA857" s="34"/>
      <c r="BB857" s="34"/>
      <c r="BC857" s="34"/>
    </row>
    <row r="858" spans="3:55" ht="13" customHeight="1">
      <c r="C858" s="2" t="s">
        <v>347</v>
      </c>
      <c r="J858" s="121" t="s">
        <v>1653</v>
      </c>
      <c r="K858" s="5"/>
      <c r="L858" s="5"/>
      <c r="M858" s="5"/>
      <c r="N858" s="5"/>
      <c r="O858" s="5"/>
      <c r="P858" s="5"/>
      <c r="Q858" s="5"/>
      <c r="R858" s="5"/>
      <c r="S858" s="5"/>
      <c r="T858" s="1641">
        <v>1.25</v>
      </c>
      <c r="U858" s="1604"/>
      <c r="V858" s="1642"/>
      <c r="W858" s="874"/>
      <c r="X858" s="875"/>
      <c r="Y858" s="875"/>
      <c r="Z858" s="875"/>
      <c r="AA858" s="875"/>
      <c r="AB858" s="875"/>
      <c r="AC858" s="876"/>
      <c r="AD858" s="528"/>
      <c r="AZ858" s="34"/>
      <c r="BA858" s="34"/>
      <c r="BB858" s="34"/>
      <c r="BC858" s="34"/>
    </row>
    <row r="859" spans="3:55" ht="13" customHeight="1">
      <c r="C859" s="2"/>
      <c r="J859" s="45" t="s">
        <v>617</v>
      </c>
      <c r="K859" s="5"/>
      <c r="L859" s="5"/>
      <c r="M859" s="5"/>
      <c r="N859" s="5"/>
      <c r="O859" s="5"/>
      <c r="P859" s="5"/>
      <c r="Q859" s="5"/>
      <c r="R859" s="5"/>
      <c r="S859" s="5"/>
      <c r="T859" s="5"/>
      <c r="U859" s="5"/>
      <c r="V859" s="46"/>
      <c r="W859" s="1655">
        <v>22500</v>
      </c>
      <c r="X859" s="1656"/>
      <c r="Y859" s="1656"/>
      <c r="Z859" s="1656"/>
      <c r="AA859" s="1656"/>
      <c r="AB859" s="1656"/>
      <c r="AC859" s="1657"/>
      <c r="AD859" s="533"/>
      <c r="AZ859" s="34"/>
      <c r="BA859" s="34"/>
      <c r="BB859" s="34"/>
      <c r="BC859" s="34"/>
    </row>
    <row r="860" spans="3:55" ht="13" customHeight="1">
      <c r="C860" s="2"/>
      <c r="J860" s="121" t="s">
        <v>1654</v>
      </c>
      <c r="K860" s="5"/>
      <c r="L860" s="5"/>
      <c r="M860" s="5"/>
      <c r="N860" s="5"/>
      <c r="O860" s="5"/>
      <c r="P860" s="5"/>
      <c r="Q860" s="5"/>
      <c r="R860" s="5"/>
      <c r="S860" s="5"/>
      <c r="T860" s="1641"/>
      <c r="U860" s="1604"/>
      <c r="V860" s="1642"/>
      <c r="W860" s="874"/>
      <c r="X860" s="875"/>
      <c r="Y860" s="875"/>
      <c r="Z860" s="875"/>
      <c r="AA860" s="875"/>
      <c r="AB860" s="875"/>
      <c r="AC860" s="876"/>
      <c r="AD860" s="533"/>
      <c r="AZ860" s="34"/>
      <c r="BA860" s="34"/>
      <c r="BB860" s="34"/>
      <c r="BC860" s="34"/>
    </row>
    <row r="861" spans="3:55" ht="13" customHeight="1">
      <c r="J861" s="45" t="s">
        <v>170</v>
      </c>
      <c r="K861" s="5"/>
      <c r="L861" s="5"/>
      <c r="M861" s="1647" t="s">
        <v>2696</v>
      </c>
      <c r="N861" s="1648"/>
      <c r="O861" s="1648"/>
      <c r="P861" s="1648"/>
      <c r="Q861" s="1648"/>
      <c r="R861" s="1648"/>
      <c r="S861" s="1648"/>
      <c r="T861" s="1648"/>
      <c r="U861" s="1648"/>
      <c r="V861" s="1649"/>
      <c r="W861" s="1655">
        <v>15100</v>
      </c>
      <c r="X861" s="1656"/>
      <c r="Y861" s="1656"/>
      <c r="Z861" s="1656"/>
      <c r="AA861" s="1656"/>
      <c r="AB861" s="1656"/>
      <c r="AC861" s="1657"/>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4">
        <f>SUM(W857:W861)</f>
        <v>72160</v>
      </c>
      <c r="X862" s="1645"/>
      <c r="Y862" s="1645"/>
      <c r="Z862" s="1645"/>
      <c r="AA862" s="1645"/>
      <c r="AB862" s="1645"/>
      <c r="AC862" s="1646"/>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5">
        <v>32400</v>
      </c>
      <c r="X863" s="1656"/>
      <c r="Y863" s="1656"/>
      <c r="Z863" s="1656"/>
      <c r="AA863" s="1656"/>
      <c r="AB863" s="1656"/>
      <c r="AC863" s="1657"/>
      <c r="AU863" s="14"/>
      <c r="AZ863" s="34"/>
      <c r="BA863" s="34"/>
      <c r="BB863" s="34"/>
      <c r="BC863" s="34"/>
    </row>
    <row r="864" spans="3:55" ht="13" customHeight="1">
      <c r="J864" s="512"/>
      <c r="AU864" s="14"/>
      <c r="AZ864" s="34"/>
      <c r="BA864" s="34"/>
      <c r="BB864" s="34"/>
      <c r="BC864" s="34"/>
    </row>
    <row r="865" spans="3:55" ht="13" customHeight="1">
      <c r="C865" s="2" t="s">
        <v>390</v>
      </c>
      <c r="J865" s="45" t="s">
        <v>616</v>
      </c>
      <c r="K865" s="5"/>
      <c r="L865" s="5"/>
      <c r="M865" s="5"/>
      <c r="N865" s="5"/>
      <c r="O865" s="5"/>
      <c r="P865" s="5"/>
      <c r="Q865" s="5"/>
      <c r="R865" s="5"/>
      <c r="S865" s="5"/>
      <c r="T865" s="5"/>
      <c r="U865" s="5"/>
      <c r="V865" s="46"/>
      <c r="W865" s="1643">
        <v>3600</v>
      </c>
      <c r="X865" s="1643"/>
      <c r="Y865" s="1643"/>
      <c r="Z865" s="1643"/>
      <c r="AA865" s="1643"/>
      <c r="AB865" s="1643"/>
      <c r="AC865" s="1643"/>
      <c r="AU865" s="14"/>
      <c r="AZ865" s="34"/>
      <c r="BA865" s="34"/>
      <c r="BB865" s="34"/>
      <c r="BC865" s="34"/>
    </row>
    <row r="866" spans="3:55" ht="13" customHeight="1">
      <c r="J866" s="45" t="s">
        <v>521</v>
      </c>
      <c r="K866" s="5"/>
      <c r="L866" s="5"/>
      <c r="M866" s="5"/>
      <c r="N866" s="5"/>
      <c r="O866" s="5"/>
      <c r="P866" s="5"/>
      <c r="Q866" s="5"/>
      <c r="R866" s="5"/>
      <c r="S866" s="5"/>
      <c r="T866" s="5"/>
      <c r="U866" s="5"/>
      <c r="V866" s="46"/>
      <c r="W866" s="1643">
        <v>46900</v>
      </c>
      <c r="X866" s="1643"/>
      <c r="Y866" s="1643"/>
      <c r="Z866" s="1643"/>
      <c r="AA866" s="1643"/>
      <c r="AB866" s="1643"/>
      <c r="AC866" s="1643"/>
      <c r="AU866" s="4"/>
      <c r="AZ866" s="34"/>
      <c r="BA866" s="34"/>
      <c r="BB866" s="34"/>
      <c r="BC866" s="34"/>
    </row>
    <row r="867" spans="3:55" ht="13" customHeight="1">
      <c r="J867" s="45" t="s">
        <v>520</v>
      </c>
      <c r="K867" s="5"/>
      <c r="L867" s="5"/>
      <c r="M867" s="5"/>
      <c r="N867" s="5"/>
      <c r="O867" s="5"/>
      <c r="P867" s="5"/>
      <c r="Q867" s="5"/>
      <c r="R867" s="5"/>
      <c r="S867" s="5"/>
      <c r="T867" s="5"/>
      <c r="U867" s="5"/>
      <c r="V867" s="46"/>
      <c r="W867" s="1643">
        <v>27000</v>
      </c>
      <c r="X867" s="1643"/>
      <c r="Y867" s="1643"/>
      <c r="Z867" s="1643"/>
      <c r="AA867" s="1643"/>
      <c r="AB867" s="1643"/>
      <c r="AC867" s="1643"/>
      <c r="AU867" s="4"/>
      <c r="AZ867" s="34"/>
      <c r="BA867" s="34"/>
      <c r="BB867" s="34"/>
      <c r="BC867" s="34"/>
    </row>
    <row r="868" spans="3:55" ht="13" customHeight="1">
      <c r="J868" s="45" t="s">
        <v>519</v>
      </c>
      <c r="K868" s="5"/>
      <c r="L868" s="5"/>
      <c r="M868" s="5"/>
      <c r="N868" s="5"/>
      <c r="O868" s="5"/>
      <c r="P868" s="5"/>
      <c r="Q868" s="5"/>
      <c r="R868" s="5"/>
      <c r="S868" s="5"/>
      <c r="T868" s="5"/>
      <c r="U868" s="5"/>
      <c r="V868" s="46"/>
      <c r="W868" s="1643">
        <v>1200</v>
      </c>
      <c r="X868" s="1643"/>
      <c r="Y868" s="1643"/>
      <c r="Z868" s="1643"/>
      <c r="AA868" s="1643"/>
      <c r="AB868" s="1643"/>
      <c r="AC868" s="1643"/>
      <c r="AU868" s="4"/>
      <c r="AZ868" s="34"/>
      <c r="BA868" s="34"/>
      <c r="BB868" s="34"/>
      <c r="BC868" s="34"/>
    </row>
    <row r="869" spans="3:55" ht="13" customHeight="1">
      <c r="J869" s="45" t="s">
        <v>518</v>
      </c>
      <c r="K869" s="5"/>
      <c r="L869" s="5"/>
      <c r="M869" s="5"/>
      <c r="N869" s="5"/>
      <c r="O869" s="5"/>
      <c r="P869" s="5"/>
      <c r="Q869" s="5"/>
      <c r="R869" s="5"/>
      <c r="S869" s="5"/>
      <c r="T869" s="5"/>
      <c r="U869" s="5"/>
      <c r="V869" s="46"/>
      <c r="W869" s="1643">
        <v>22500</v>
      </c>
      <c r="X869" s="1643"/>
      <c r="Y869" s="1643"/>
      <c r="Z869" s="1643"/>
      <c r="AA869" s="1643"/>
      <c r="AB869" s="1643"/>
      <c r="AC869" s="1643"/>
      <c r="AU869" s="4"/>
      <c r="AZ869" s="34"/>
      <c r="BA869" s="34"/>
      <c r="BB869" s="34"/>
      <c r="BC869" s="34"/>
    </row>
    <row r="870" spans="3:55" ht="13" customHeight="1">
      <c r="J870" s="45" t="s">
        <v>517</v>
      </c>
      <c r="K870" s="5"/>
      <c r="L870" s="5"/>
      <c r="M870" s="5"/>
      <c r="N870" s="5"/>
      <c r="O870" s="5"/>
      <c r="P870" s="5"/>
      <c r="Q870" s="5"/>
      <c r="R870" s="5"/>
      <c r="S870" s="5"/>
      <c r="T870" s="5"/>
      <c r="U870" s="5"/>
      <c r="V870" s="46"/>
      <c r="W870" s="1643">
        <v>3500</v>
      </c>
      <c r="X870" s="1643"/>
      <c r="Y870" s="1643"/>
      <c r="Z870" s="1643"/>
      <c r="AA870" s="1643"/>
      <c r="AB870" s="1643"/>
      <c r="AC870" s="1643"/>
      <c r="AU870" s="4"/>
      <c r="AZ870" s="34"/>
      <c r="BA870" s="34"/>
      <c r="BB870" s="34"/>
      <c r="BC870" s="34"/>
    </row>
    <row r="871" spans="3:55" ht="13" customHeight="1">
      <c r="J871" s="45" t="s">
        <v>170</v>
      </c>
      <c r="K871" s="5"/>
      <c r="L871" s="5"/>
      <c r="M871" s="1647" t="s">
        <v>2697</v>
      </c>
      <c r="N871" s="1648"/>
      <c r="O871" s="1648"/>
      <c r="P871" s="1648"/>
      <c r="Q871" s="1648"/>
      <c r="R871" s="1648"/>
      <c r="S871" s="1648"/>
      <c r="T871" s="1648"/>
      <c r="U871" s="1648"/>
      <c r="V871" s="1649"/>
      <c r="W871" s="1643">
        <v>45000</v>
      </c>
      <c r="X871" s="1643"/>
      <c r="Y871" s="1643"/>
      <c r="Z871" s="1643"/>
      <c r="AA871" s="1643"/>
      <c r="AB871" s="1643"/>
      <c r="AC871" s="1643"/>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6">
        <f>SUM(W865:W871)</f>
        <v>149700</v>
      </c>
      <c r="X872" s="1606"/>
      <c r="Y872" s="1606"/>
      <c r="Z872" s="1606"/>
      <c r="AA872" s="1606"/>
      <c r="AB872" s="1606"/>
      <c r="AC872" s="160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1241</v>
      </c>
      <c r="J874" s="45" t="s">
        <v>170</v>
      </c>
      <c r="K874" s="5"/>
      <c r="L874" s="5"/>
      <c r="M874" s="1647" t="s">
        <v>334</v>
      </c>
      <c r="N874" s="1648"/>
      <c r="O874" s="1648"/>
      <c r="P874" s="1648"/>
      <c r="Q874" s="1648"/>
      <c r="R874" s="1648"/>
      <c r="S874" s="1648"/>
      <c r="T874" s="1648"/>
      <c r="U874" s="1648"/>
      <c r="V874" s="1649"/>
      <c r="W874" s="1477"/>
      <c r="X874" s="1338"/>
      <c r="Y874" s="1338"/>
      <c r="Z874" s="1338"/>
      <c r="AA874" s="1338"/>
      <c r="AB874" s="1338"/>
      <c r="AC874" s="1339"/>
      <c r="AD874" s="533"/>
      <c r="AV874" s="14"/>
      <c r="AW874" s="14"/>
      <c r="AX874" s="14"/>
      <c r="AY874" s="14"/>
      <c r="AZ874" s="34"/>
      <c r="BA874" s="34"/>
      <c r="BB874" s="34"/>
      <c r="BC874" s="34"/>
    </row>
    <row r="875" spans="3:55" ht="13" customHeight="1">
      <c r="C875" s="2" t="s">
        <v>1242</v>
      </c>
      <c r="J875" s="45" t="s">
        <v>170</v>
      </c>
      <c r="K875" s="5"/>
      <c r="L875" s="5"/>
      <c r="M875" s="1647" t="s">
        <v>334</v>
      </c>
      <c r="N875" s="1648"/>
      <c r="O875" s="1648"/>
      <c r="P875" s="1648"/>
      <c r="Q875" s="1648"/>
      <c r="R875" s="1648"/>
      <c r="S875" s="1648"/>
      <c r="T875" s="1648"/>
      <c r="U875" s="1648"/>
      <c r="V875" s="1649"/>
      <c r="W875" s="1477"/>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47" t="s">
        <v>334</v>
      </c>
      <c r="N876" s="1648"/>
      <c r="O876" s="1648"/>
      <c r="P876" s="1648"/>
      <c r="Q876" s="1648"/>
      <c r="R876" s="1648"/>
      <c r="S876" s="1648"/>
      <c r="T876" s="1648"/>
      <c r="U876" s="1648"/>
      <c r="V876" s="1649"/>
      <c r="W876" s="1477"/>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7" t="s">
        <v>334</v>
      </c>
      <c r="N877" s="1648"/>
      <c r="O877" s="1648"/>
      <c r="P877" s="1648"/>
      <c r="Q877" s="1648"/>
      <c r="R877" s="1648"/>
      <c r="S877" s="1648"/>
      <c r="T877" s="1648"/>
      <c r="U877" s="1648"/>
      <c r="V877" s="1649"/>
      <c r="W877" s="1477"/>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7" t="s">
        <v>334</v>
      </c>
      <c r="N878" s="1648"/>
      <c r="O878" s="1648"/>
      <c r="P878" s="1648"/>
      <c r="Q878" s="1648"/>
      <c r="R878" s="1648"/>
      <c r="S878" s="1648"/>
      <c r="T878" s="1648"/>
      <c r="U878" s="1648"/>
      <c r="V878" s="1649"/>
      <c r="W878" s="1477"/>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4">
        <f>SUM(W874:W878)</f>
        <v>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W847+W855+W862+W863+W872+W879+W849</f>
        <v>402600</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50">
        <f>O797+O777+G753</f>
        <v>72</v>
      </c>
      <c r="AD884" s="1650"/>
      <c r="AE884" s="1650"/>
      <c r="AF884" s="1650"/>
      <c r="AG884" s="1650"/>
      <c r="AH884" s="1651"/>
      <c r="AL884" s="4"/>
      <c r="AM884" s="4"/>
      <c r="AN884" s="4"/>
      <c r="AO884" s="4"/>
      <c r="AP884" s="4"/>
      <c r="AQ884" s="4"/>
      <c r="AR884" s="4"/>
      <c r="AS884" s="4"/>
      <c r="AT884" s="4"/>
      <c r="AZ884" s="34"/>
      <c r="BA884" s="34"/>
      <c r="BB884" s="34"/>
      <c r="BC884" s="34"/>
    </row>
    <row r="885" spans="3:55" ht="13"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6">
        <f>IF(ISERROR((ROUNDDOWN(AC883/AC884,0))),0,(ROUNDDOWN(AC883/AC884,0)))</f>
        <v>5591</v>
      </c>
      <c r="AD885" s="1606"/>
      <c r="AE885" s="1606"/>
      <c r="AF885" s="1606"/>
      <c r="AG885" s="1606"/>
      <c r="AH885" s="160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759</v>
      </c>
      <c r="AC886" s="1652">
        <v>221505</v>
      </c>
      <c r="AD886" s="1653"/>
      <c r="AE886" s="1653"/>
      <c r="AF886" s="1653"/>
      <c r="AG886" s="1653"/>
      <c r="AH886" s="1653"/>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339"/>
      <c r="AD887" s="1643"/>
      <c r="AE887" s="1643"/>
      <c r="AF887" s="1643"/>
      <c r="AG887" s="1643"/>
      <c r="AH887" s="164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8">
        <v>12000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18000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93"/>
      <c r="AD890" s="1494"/>
      <c r="AE890" s="1494"/>
      <c r="AF890" s="1494"/>
      <c r="AG890" s="1494"/>
      <c r="AH890" s="1495"/>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12400</v>
      </c>
      <c r="AD891" s="1338"/>
      <c r="AE891" s="1338"/>
      <c r="AF891" s="1338"/>
      <c r="AG891" s="1338"/>
      <c r="AH891" s="1339"/>
      <c r="AZ891" s="34"/>
      <c r="BA891" s="34"/>
      <c r="BB891" s="34"/>
      <c r="BC891" s="34"/>
    </row>
    <row r="892" spans="3:55" ht="13" hidden="1" customHeight="1">
      <c r="C892" s="1409" t="s">
        <v>2230</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338"/>
      <c r="AD893" s="1338"/>
      <c r="AE893" s="1338"/>
      <c r="AF893" s="1338"/>
      <c r="AG893" s="1338"/>
      <c r="AH893" s="1339"/>
      <c r="AZ893" s="34"/>
      <c r="BA893" s="34"/>
      <c r="BB893" s="34"/>
      <c r="BC893" s="34"/>
    </row>
    <row r="894" spans="3:55" ht="13" customHeight="1">
      <c r="C894" s="1670" t="s">
        <v>2698</v>
      </c>
      <c r="D894" s="1671"/>
      <c r="E894" s="1671"/>
      <c r="F894" s="1671"/>
      <c r="G894" s="1671"/>
      <c r="H894" s="1671"/>
      <c r="I894" s="1671"/>
      <c r="J894" s="1671"/>
      <c r="K894" s="1671"/>
      <c r="L894" s="1671"/>
      <c r="M894" s="1671"/>
      <c r="N894" s="1671"/>
      <c r="O894" s="1671"/>
      <c r="P894" s="1671"/>
      <c r="Q894" s="1671"/>
      <c r="R894" s="1671"/>
      <c r="S894" s="1671"/>
      <c r="T894" s="1671"/>
      <c r="U894" s="1671"/>
      <c r="V894" s="1671"/>
      <c r="W894" s="1671"/>
      <c r="X894" s="1671"/>
      <c r="Y894" s="1671"/>
      <c r="Z894" s="1671"/>
      <c r="AA894" s="1671"/>
      <c r="AB894" s="1672"/>
      <c r="AC894" s="1643">
        <v>5000</v>
      </c>
      <c r="AD894" s="1643"/>
      <c r="AE894" s="1643"/>
      <c r="AF894" s="1643"/>
      <c r="AG894" s="1643"/>
      <c r="AH894" s="1643"/>
      <c r="AZ894" s="34"/>
      <c r="BA894" s="34"/>
      <c r="BB894" s="34"/>
      <c r="BC894" s="34"/>
    </row>
    <row r="895" spans="3:55" ht="13" customHeight="1">
      <c r="C895" s="1670" t="s">
        <v>954</v>
      </c>
      <c r="D895" s="1671"/>
      <c r="E895" s="1671"/>
      <c r="F895" s="1671"/>
      <c r="G895" s="1671"/>
      <c r="H895" s="1671"/>
      <c r="I895" s="1671"/>
      <c r="J895" s="1671"/>
      <c r="K895" s="1671"/>
      <c r="L895" s="1671"/>
      <c r="M895" s="1671"/>
      <c r="N895" s="1671"/>
      <c r="O895" s="1671"/>
      <c r="P895" s="1671"/>
      <c r="Q895" s="1671"/>
      <c r="R895" s="1671"/>
      <c r="S895" s="1671"/>
      <c r="T895" s="1671"/>
      <c r="U895" s="1671"/>
      <c r="V895" s="1671"/>
      <c r="W895" s="1671"/>
      <c r="X895" s="1671"/>
      <c r="Y895" s="1671"/>
      <c r="Z895" s="1671"/>
      <c r="AA895" s="1671"/>
      <c r="AB895" s="1672"/>
      <c r="AC895" s="1643"/>
      <c r="AD895" s="1643"/>
      <c r="AE895" s="1643"/>
      <c r="AF895" s="1643"/>
      <c r="AG895" s="1643"/>
      <c r="AH895" s="1643"/>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612</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7"/>
      <c r="AA899" s="1338"/>
      <c r="AB899" s="1338"/>
      <c r="AC899" s="1338"/>
      <c r="AD899" s="1338"/>
      <c r="AE899" s="1339"/>
      <c r="AF899" s="533"/>
      <c r="AZ899" s="34"/>
      <c r="BB899" s="30"/>
      <c r="BC899" s="816"/>
      <c r="BD899" s="1640"/>
      <c r="BE899" s="1640"/>
      <c r="BF899" s="14"/>
    </row>
    <row r="900" spans="1:58" ht="13" customHeight="1">
      <c r="H900" s="121" t="s">
        <v>239</v>
      </c>
      <c r="I900" s="5"/>
      <c r="J900" s="5"/>
      <c r="K900" s="5"/>
      <c r="L900" s="5"/>
      <c r="M900" s="5"/>
      <c r="N900" s="5"/>
      <c r="O900" s="5"/>
      <c r="P900" s="5"/>
      <c r="Q900" s="5"/>
      <c r="R900" s="5"/>
      <c r="S900" s="5"/>
      <c r="T900" s="5"/>
      <c r="U900" s="5"/>
      <c r="V900" s="5"/>
      <c r="W900" s="5"/>
      <c r="X900" s="5"/>
      <c r="Y900" s="5"/>
      <c r="Z900" s="1477"/>
      <c r="AA900" s="1338"/>
      <c r="AB900" s="1338"/>
      <c r="AC900" s="1338"/>
      <c r="AD900" s="1338"/>
      <c r="AE900" s="1339"/>
      <c r="AZ900" s="34"/>
      <c r="BB900" s="30"/>
      <c r="BC900" s="816"/>
      <c r="BD900" s="1640"/>
      <c r="BE900" s="1640"/>
      <c r="BF900" s="14"/>
    </row>
    <row r="901" spans="1:58" ht="13" customHeight="1">
      <c r="H901" s="121" t="s">
        <v>240</v>
      </c>
      <c r="I901" s="5"/>
      <c r="J901" s="5"/>
      <c r="K901" s="5"/>
      <c r="L901" s="5"/>
      <c r="M901" s="5"/>
      <c r="N901" s="5"/>
      <c r="O901" s="5"/>
      <c r="P901" s="5"/>
      <c r="Q901" s="5"/>
      <c r="R901" s="5"/>
      <c r="S901" s="5"/>
      <c r="T901" s="5"/>
      <c r="U901" s="5"/>
      <c r="V901" s="5"/>
      <c r="W901" s="5"/>
      <c r="X901" s="5"/>
      <c r="Y901" s="5"/>
      <c r="Z901" s="1477"/>
      <c r="AA901" s="1338"/>
      <c r="AB901" s="1338"/>
      <c r="AC901" s="1338"/>
      <c r="AD901" s="1338"/>
      <c r="AE901" s="1339"/>
      <c r="AZ901" s="34"/>
      <c r="BB901" s="30"/>
      <c r="BC901" s="816"/>
      <c r="BD901" s="1639"/>
      <c r="BE901" s="1639"/>
      <c r="BF901" s="14"/>
    </row>
    <row r="902" spans="1:58" ht="13" customHeight="1">
      <c r="H902" s="45"/>
      <c r="I902" s="5"/>
      <c r="J902" s="5"/>
      <c r="K902" s="5"/>
      <c r="L902" s="5"/>
      <c r="M902" s="5"/>
      <c r="N902" s="5"/>
      <c r="O902" s="5"/>
      <c r="P902" s="5"/>
      <c r="Q902" s="5"/>
      <c r="R902" s="5"/>
      <c r="S902" s="5"/>
      <c r="T902" s="5"/>
      <c r="U902" s="5"/>
      <c r="V902" s="5"/>
      <c r="W902" s="5"/>
      <c r="X902" s="5"/>
      <c r="Y902" s="181" t="s">
        <v>241</v>
      </c>
      <c r="Z902" s="1474">
        <f>Z899-(Z900+Z901)</f>
        <v>0</v>
      </c>
      <c r="AA902" s="1475"/>
      <c r="AB902" s="1475"/>
      <c r="AC902" s="1475"/>
      <c r="AD902" s="1475"/>
      <c r="AE902" s="1476"/>
      <c r="AZ902" s="34"/>
      <c r="BB902" s="30"/>
      <c r="BC902" s="816"/>
      <c r="BD902" s="1639"/>
      <c r="BE902" s="163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9"/>
      <c r="BE903" s="1639"/>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0"/>
      <c r="BE904" s="1639"/>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8"/>
      <c r="BE905" s="1668"/>
      <c r="BF905" s="1668"/>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7"/>
      <c r="BE906" s="1667"/>
      <c r="BF906" s="1667"/>
    </row>
    <row r="907" spans="1:58" ht="13" customHeight="1">
      <c r="C907" s="340"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9"/>
      <c r="BE907" s="163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0"/>
      <c r="BE908" s="1639"/>
      <c r="BF908" s="14"/>
    </row>
    <row r="909" spans="1:58" ht="13" customHeight="1">
      <c r="AZ909" s="34"/>
      <c r="BB909" s="30"/>
      <c r="BC909" s="816"/>
    </row>
    <row r="910" spans="1:58" ht="13"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40"/>
      <c r="BE910" s="1639"/>
      <c r="BF910" s="911"/>
    </row>
    <row r="911" spans="1:58" ht="13"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4" t="s">
        <v>790</v>
      </c>
      <c r="G915" s="1715"/>
      <c r="H915" s="1715"/>
      <c r="I915" s="1715"/>
      <c r="J915" s="1715"/>
      <c r="K915" s="1715"/>
      <c r="L915" s="1715"/>
      <c r="M915" s="1715"/>
      <c r="N915" s="1715"/>
      <c r="O915" s="1715"/>
      <c r="P915" s="1715"/>
      <c r="Q915" s="1715"/>
      <c r="R915" s="1715"/>
      <c r="S915" s="1715"/>
      <c r="T915" s="1716"/>
      <c r="U915" s="1757" t="s">
        <v>31</v>
      </c>
      <c r="V915" s="1690"/>
      <c r="W915" s="1690"/>
      <c r="X915" s="1690"/>
      <c r="Y915" s="1690"/>
      <c r="Z915" s="1690"/>
      <c r="AA915" s="43"/>
      <c r="AB915" s="105"/>
      <c r="AC915" s="105"/>
      <c r="AD915" s="105"/>
      <c r="AE915" s="105"/>
      <c r="AF915" s="106"/>
      <c r="AZ915" s="34"/>
      <c r="BA915" s="34"/>
      <c r="BB915" s="34"/>
      <c r="BC915" s="34"/>
    </row>
    <row r="916" spans="1:58" ht="13" customHeight="1">
      <c r="B916" s="2"/>
      <c r="F916" s="1758" t="s">
        <v>816</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3" customHeight="1">
      <c r="B917" s="2"/>
      <c r="F917" s="1760"/>
      <c r="G917" s="1692"/>
      <c r="H917" s="1692"/>
      <c r="I917" s="1692"/>
      <c r="J917" s="1692"/>
      <c r="K917" s="1692"/>
      <c r="L917" s="1692"/>
      <c r="M917" s="1692"/>
      <c r="N917" s="1692"/>
      <c r="O917" s="1692"/>
      <c r="P917" s="1692"/>
      <c r="Q917" s="1692"/>
      <c r="R917" s="1692"/>
      <c r="S917" s="1692"/>
      <c r="T917" s="1693"/>
      <c r="U917" s="1760"/>
      <c r="V917" s="1692"/>
      <c r="W917" s="1692"/>
      <c r="X917" s="1692"/>
      <c r="Y917" s="1692"/>
      <c r="Z917" s="1692"/>
      <c r="AA917" s="108"/>
      <c r="AB917" s="1432" t="s">
        <v>391</v>
      </c>
      <c r="AC917" s="1432"/>
      <c r="AD917" s="1432"/>
      <c r="AE917" s="1432"/>
      <c r="AF917" s="109"/>
      <c r="AZ917" s="34"/>
      <c r="BA917" s="34"/>
      <c r="BB917" s="34"/>
      <c r="BC917" s="34"/>
    </row>
    <row r="918" spans="1:58" ht="13" customHeight="1">
      <c r="B918" s="2"/>
      <c r="F918" s="45" t="s">
        <v>756</v>
      </c>
      <c r="G918" s="48"/>
      <c r="H918" s="48"/>
      <c r="I918" s="48"/>
      <c r="J918" s="48"/>
      <c r="K918" s="48"/>
      <c r="L918" s="48"/>
      <c r="M918" s="48"/>
      <c r="N918" s="48"/>
      <c r="O918" s="48"/>
      <c r="P918" s="48"/>
      <c r="Q918" s="48"/>
      <c r="R918" s="48"/>
      <c r="S918" s="48"/>
      <c r="T918" s="49"/>
      <c r="U918" s="1633" t="s">
        <v>544</v>
      </c>
      <c r="V918" s="1428"/>
      <c r="W918" s="1428"/>
      <c r="X918" s="1428"/>
      <c r="Y918" s="1428"/>
      <c r="Z918" s="1429"/>
      <c r="AA918" s="1637">
        <v>16000000</v>
      </c>
      <c r="AB918" s="1526"/>
      <c r="AC918" s="1526"/>
      <c r="AD918" s="1526"/>
      <c r="AE918" s="1526"/>
      <c r="AF918" s="1638"/>
      <c r="AZ918" s="34"/>
      <c r="BA918" s="34"/>
      <c r="BB918" s="34"/>
      <c r="BC918" s="34"/>
    </row>
    <row r="919" spans="1:58" ht="13" customHeight="1">
      <c r="B919" s="2"/>
      <c r="F919" s="66" t="s">
        <v>673</v>
      </c>
      <c r="G919" s="48"/>
      <c r="H919" s="48"/>
      <c r="I919" s="48"/>
      <c r="J919" s="48"/>
      <c r="K919" s="48"/>
      <c r="L919" s="48"/>
      <c r="M919" s="48"/>
      <c r="N919" s="48"/>
      <c r="O919" s="48"/>
      <c r="P919" s="48"/>
      <c r="Q919" s="48"/>
      <c r="R919" s="48"/>
      <c r="S919" s="48"/>
      <c r="T919" s="49"/>
      <c r="U919" s="1633" t="s">
        <v>544</v>
      </c>
      <c r="V919" s="1428"/>
      <c r="W919" s="1428"/>
      <c r="X919" s="1428"/>
      <c r="Y919" s="1428"/>
      <c r="Z919" s="1429"/>
      <c r="AA919" s="1637">
        <v>19854148</v>
      </c>
      <c r="AB919" s="1526"/>
      <c r="AC919" s="1526"/>
      <c r="AD919" s="1526"/>
      <c r="AE919" s="1526"/>
      <c r="AF919" s="1638"/>
      <c r="AZ919" s="34"/>
      <c r="BA919" s="34"/>
      <c r="BB919" s="34"/>
      <c r="BC919" s="34"/>
    </row>
    <row r="920" spans="1:58" ht="13" customHeight="1">
      <c r="F920" s="45" t="s">
        <v>799</v>
      </c>
      <c r="G920" s="5"/>
      <c r="H920" s="5"/>
      <c r="I920" s="5"/>
      <c r="J920" s="5"/>
      <c r="K920" s="5"/>
      <c r="L920" s="5"/>
      <c r="M920" s="5"/>
      <c r="N920" s="5"/>
      <c r="O920" s="5"/>
      <c r="P920" s="5"/>
      <c r="Q920" s="5"/>
      <c r="R920" s="5"/>
      <c r="S920" s="5"/>
      <c r="T920" s="46"/>
      <c r="U920" s="1633" t="s">
        <v>590</v>
      </c>
      <c r="V920" s="1428"/>
      <c r="W920" s="1428"/>
      <c r="X920" s="1428"/>
      <c r="Y920" s="1428"/>
      <c r="Z920" s="1429"/>
      <c r="AA920" s="1637"/>
      <c r="AB920" s="1526"/>
      <c r="AC920" s="1526"/>
      <c r="AD920" s="1526"/>
      <c r="AE920" s="1526"/>
      <c r="AF920" s="1638"/>
      <c r="AZ920" s="34"/>
      <c r="BA920" s="34"/>
      <c r="BB920" s="34"/>
      <c r="BC920" s="34"/>
    </row>
    <row r="921" spans="1:58" ht="13" customHeight="1">
      <c r="F921" s="45" t="s">
        <v>676</v>
      </c>
      <c r="G921" s="5"/>
      <c r="H921" s="5"/>
      <c r="I921" s="5"/>
      <c r="J921" s="5"/>
      <c r="K921" s="5"/>
      <c r="L921" s="5"/>
      <c r="M921" s="5"/>
      <c r="N921" s="5"/>
      <c r="O921" s="5"/>
      <c r="P921" s="5"/>
      <c r="Q921" s="5"/>
      <c r="R921" s="5"/>
      <c r="S921" s="5"/>
      <c r="T921" s="46"/>
      <c r="U921" s="1633" t="s">
        <v>590</v>
      </c>
      <c r="V921" s="1428"/>
      <c r="W921" s="1428"/>
      <c r="X921" s="1428"/>
      <c r="Y921" s="1428"/>
      <c r="Z921" s="1429"/>
      <c r="AA921" s="1637"/>
      <c r="AB921" s="1526"/>
      <c r="AC921" s="1526"/>
      <c r="AD921" s="1526"/>
      <c r="AE921" s="1526"/>
      <c r="AF921" s="1638"/>
      <c r="AZ921" s="34"/>
      <c r="BA921" s="34"/>
      <c r="BB921" s="34"/>
      <c r="BC921" s="34"/>
    </row>
    <row r="922" spans="1:58" ht="13" customHeight="1">
      <c r="F922" s="66" t="s">
        <v>784</v>
      </c>
      <c r="G922" s="5"/>
      <c r="H922" s="5"/>
      <c r="I922" s="5"/>
      <c r="J922" s="5"/>
      <c r="K922" s="5"/>
      <c r="L922" s="5"/>
      <c r="M922" s="5"/>
      <c r="N922" s="5"/>
      <c r="O922" s="5"/>
      <c r="P922" s="5"/>
      <c r="Q922" s="5"/>
      <c r="R922" s="5"/>
      <c r="S922" s="5"/>
      <c r="T922" s="46"/>
      <c r="U922" s="1633" t="s">
        <v>590</v>
      </c>
      <c r="V922" s="1428"/>
      <c r="W922" s="1428"/>
      <c r="X922" s="1428"/>
      <c r="Y922" s="1428"/>
      <c r="Z922" s="1429"/>
      <c r="AA922" s="1637"/>
      <c r="AB922" s="1526"/>
      <c r="AC922" s="1526"/>
      <c r="AD922" s="1526"/>
      <c r="AE922" s="1526"/>
      <c r="AF922" s="1638"/>
      <c r="AZ922" s="34"/>
      <c r="BA922" s="34"/>
      <c r="BB922" s="34"/>
      <c r="BC922" s="34"/>
    </row>
    <row r="923" spans="1:58" ht="13" customHeight="1">
      <c r="F923" s="66" t="s">
        <v>785</v>
      </c>
      <c r="G923" s="5"/>
      <c r="H923" s="5"/>
      <c r="I923" s="5"/>
      <c r="J923" s="5"/>
      <c r="K923" s="5"/>
      <c r="L923" s="5"/>
      <c r="M923" s="5"/>
      <c r="N923" s="5"/>
      <c r="O923" s="5"/>
      <c r="P923" s="5"/>
      <c r="Q923" s="5"/>
      <c r="R923" s="5"/>
      <c r="S923" s="5"/>
      <c r="T923" s="46"/>
      <c r="U923" s="1633" t="s">
        <v>590</v>
      </c>
      <c r="V923" s="1428"/>
      <c r="W923" s="1428"/>
      <c r="X923" s="1428"/>
      <c r="Y923" s="1428"/>
      <c r="Z923" s="1429"/>
      <c r="AA923" s="1637"/>
      <c r="AB923" s="1526"/>
      <c r="AC923" s="1526"/>
      <c r="AD923" s="1526"/>
      <c r="AE923" s="1526"/>
      <c r="AF923" s="1638"/>
      <c r="AZ923" s="34"/>
      <c r="BA923" s="34"/>
      <c r="BB923" s="34"/>
      <c r="BC923" s="34"/>
    </row>
    <row r="924" spans="1:58" ht="13" customHeight="1">
      <c r="F924" s="66" t="s">
        <v>786</v>
      </c>
      <c r="G924" s="5"/>
      <c r="H924" s="5"/>
      <c r="I924" s="5"/>
      <c r="J924" s="5"/>
      <c r="K924" s="5"/>
      <c r="L924" s="5"/>
      <c r="M924" s="5"/>
      <c r="N924" s="5"/>
      <c r="O924" s="5"/>
      <c r="P924" s="5"/>
      <c r="Q924" s="5"/>
      <c r="R924" s="5"/>
      <c r="S924" s="5"/>
      <c r="T924" s="46"/>
      <c r="U924" s="1633" t="s">
        <v>590</v>
      </c>
      <c r="V924" s="1428"/>
      <c r="W924" s="1428"/>
      <c r="X924" s="1428"/>
      <c r="Y924" s="1428"/>
      <c r="Z924" s="1429"/>
      <c r="AA924" s="1637"/>
      <c r="AB924" s="1526"/>
      <c r="AC924" s="1526"/>
      <c r="AD924" s="1526"/>
      <c r="AE924" s="1526"/>
      <c r="AF924" s="1638"/>
      <c r="AZ924" s="34"/>
      <c r="BA924" s="34"/>
      <c r="BB924" s="34"/>
      <c r="BC924" s="34"/>
    </row>
    <row r="925" spans="1:58" ht="13" customHeight="1">
      <c r="F925" s="45" t="s">
        <v>675</v>
      </c>
      <c r="G925" s="5"/>
      <c r="H925" s="5"/>
      <c r="I925" s="5"/>
      <c r="J925" s="5"/>
      <c r="K925" s="5"/>
      <c r="L925" s="5"/>
      <c r="M925" s="5"/>
      <c r="N925" s="5"/>
      <c r="O925" s="5"/>
      <c r="P925" s="5"/>
      <c r="Q925" s="5"/>
      <c r="R925" s="5"/>
      <c r="S925" s="5"/>
      <c r="T925" s="46"/>
      <c r="U925" s="1633" t="s">
        <v>590</v>
      </c>
      <c r="V925" s="1428"/>
      <c r="W925" s="1428"/>
      <c r="X925" s="1428"/>
      <c r="Y925" s="1428"/>
      <c r="Z925" s="1429"/>
      <c r="AA925" s="1637"/>
      <c r="AB925" s="1526"/>
      <c r="AC925" s="1526"/>
      <c r="AD925" s="1526"/>
      <c r="AE925" s="1526"/>
      <c r="AF925" s="1638"/>
      <c r="AZ925" s="34"/>
      <c r="BA925" s="34"/>
      <c r="BB925" s="34"/>
      <c r="BC925" s="34"/>
    </row>
    <row r="926" spans="1:58" ht="13" customHeight="1">
      <c r="F926" s="1630" t="s">
        <v>2190</v>
      </c>
      <c r="G926" s="1631"/>
      <c r="H926" s="1631"/>
      <c r="I926" s="1631"/>
      <c r="J926" s="1631"/>
      <c r="K926" s="1631"/>
      <c r="L926" s="1631"/>
      <c r="M926" s="1631"/>
      <c r="N926" s="1631"/>
      <c r="O926" s="1631"/>
      <c r="P926" s="1631"/>
      <c r="Q926" s="1631"/>
      <c r="R926" s="1631"/>
      <c r="S926" s="1631"/>
      <c r="T926" s="1632"/>
      <c r="U926" s="1633" t="s">
        <v>590</v>
      </c>
      <c r="V926" s="1428"/>
      <c r="W926" s="1428"/>
      <c r="X926" s="1428"/>
      <c r="Y926" s="1428"/>
      <c r="Z926" s="1429"/>
      <c r="AA926" s="1637"/>
      <c r="AB926" s="1526"/>
      <c r="AC926" s="1526"/>
      <c r="AD926" s="1526"/>
      <c r="AE926" s="1526"/>
      <c r="AF926" s="1638"/>
      <c r="AZ926" s="34"/>
      <c r="BA926" s="34"/>
      <c r="BB926" s="34"/>
      <c r="BC926" s="34"/>
    </row>
    <row r="927" spans="1:58" ht="13" customHeight="1">
      <c r="F927" s="1630" t="s">
        <v>677</v>
      </c>
      <c r="G927" s="1631"/>
      <c r="H927" s="1631"/>
      <c r="I927" s="1631"/>
      <c r="J927" s="1631"/>
      <c r="K927" s="1631"/>
      <c r="L927" s="1631"/>
      <c r="M927" s="1631"/>
      <c r="N927" s="1631"/>
      <c r="O927" s="1631"/>
      <c r="P927" s="1631"/>
      <c r="Q927" s="1631"/>
      <c r="R927" s="1631"/>
      <c r="S927" s="1631"/>
      <c r="T927" s="1632"/>
      <c r="U927" s="1633" t="s">
        <v>590</v>
      </c>
      <c r="V927" s="1428"/>
      <c r="W927" s="1428"/>
      <c r="X927" s="1428"/>
      <c r="Y927" s="1428"/>
      <c r="Z927" s="1429"/>
      <c r="AA927" s="1637"/>
      <c r="AB927" s="1526"/>
      <c r="AC927" s="1526"/>
      <c r="AD927" s="1526"/>
      <c r="AE927" s="1526"/>
      <c r="AF927" s="1638"/>
      <c r="AU927" s="2"/>
      <c r="AZ927" s="34"/>
      <c r="BA927" s="34"/>
      <c r="BB927" s="34"/>
      <c r="BC927" s="34"/>
    </row>
    <row r="928" spans="1:58" ht="13" customHeight="1">
      <c r="F928" s="1630" t="s">
        <v>2191</v>
      </c>
      <c r="G928" s="1631"/>
      <c r="H928" s="1631"/>
      <c r="I928" s="1631"/>
      <c r="J928" s="1631"/>
      <c r="K928" s="1631"/>
      <c r="L928" s="1631"/>
      <c r="M928" s="1631"/>
      <c r="N928" s="1631"/>
      <c r="O928" s="1631"/>
      <c r="P928" s="1631"/>
      <c r="Q928" s="1631"/>
      <c r="R928" s="1631"/>
      <c r="S928" s="1631"/>
      <c r="T928" s="1632"/>
      <c r="U928" s="1633" t="s">
        <v>590</v>
      </c>
      <c r="V928" s="1428"/>
      <c r="W928" s="1428"/>
      <c r="X928" s="1428"/>
      <c r="Y928" s="1428"/>
      <c r="Z928" s="1429"/>
      <c r="AA928" s="1637"/>
      <c r="AB928" s="1526"/>
      <c r="AC928" s="1526"/>
      <c r="AD928" s="1526"/>
      <c r="AE928" s="1526"/>
      <c r="AF928" s="1638"/>
      <c r="AU928" s="2"/>
      <c r="AZ928" s="34"/>
      <c r="BA928" s="34"/>
      <c r="BB928" s="34"/>
      <c r="BC928" s="34"/>
    </row>
    <row r="929" spans="6:55" ht="13" customHeight="1">
      <c r="F929" s="1630" t="s">
        <v>2192</v>
      </c>
      <c r="G929" s="1631"/>
      <c r="H929" s="1631"/>
      <c r="I929" s="1631"/>
      <c r="J929" s="1631"/>
      <c r="K929" s="1631"/>
      <c r="L929" s="1631"/>
      <c r="M929" s="1631"/>
      <c r="N929" s="1631"/>
      <c r="O929" s="1631"/>
      <c r="P929" s="1631"/>
      <c r="Q929" s="1631"/>
      <c r="R929" s="1631"/>
      <c r="S929" s="1631"/>
      <c r="T929" s="1632"/>
      <c r="U929" s="1633" t="s">
        <v>590</v>
      </c>
      <c r="V929" s="1428"/>
      <c r="W929" s="1428"/>
      <c r="X929" s="1428"/>
      <c r="Y929" s="1428"/>
      <c r="Z929" s="1429"/>
      <c r="AA929" s="1637"/>
      <c r="AB929" s="1526"/>
      <c r="AC929" s="1526"/>
      <c r="AD929" s="1526"/>
      <c r="AE929" s="1526"/>
      <c r="AF929" s="1638"/>
      <c r="AU929" s="2"/>
      <c r="AZ929" s="34"/>
      <c r="BA929" s="34"/>
      <c r="BB929" s="34"/>
      <c r="BC929" s="34"/>
    </row>
    <row r="930" spans="6:55" ht="13" customHeight="1">
      <c r="F930" s="1630" t="s">
        <v>2193</v>
      </c>
      <c r="G930" s="1631"/>
      <c r="H930" s="1631"/>
      <c r="I930" s="1631"/>
      <c r="J930" s="1631"/>
      <c r="K930" s="1631"/>
      <c r="L930" s="1631"/>
      <c r="M930" s="1631"/>
      <c r="N930" s="1631"/>
      <c r="O930" s="1631"/>
      <c r="P930" s="1631"/>
      <c r="Q930" s="1631"/>
      <c r="R930" s="1631"/>
      <c r="S930" s="1631"/>
      <c r="T930" s="1632"/>
      <c r="U930" s="1633" t="s">
        <v>590</v>
      </c>
      <c r="V930" s="1428"/>
      <c r="W930" s="1428"/>
      <c r="X930" s="1428"/>
      <c r="Y930" s="1428"/>
      <c r="Z930" s="1429"/>
      <c r="AA930" s="1637"/>
      <c r="AB930" s="1526"/>
      <c r="AC930" s="1526"/>
      <c r="AD930" s="1526"/>
      <c r="AE930" s="1526"/>
      <c r="AF930" s="1638"/>
      <c r="AU930" s="2"/>
      <c r="AZ930" s="34"/>
      <c r="BA930" s="34"/>
      <c r="BB930" s="34"/>
      <c r="BC930" s="34"/>
    </row>
    <row r="931" spans="6:55" ht="13" customHeight="1">
      <c r="F931" s="1630" t="s">
        <v>2194</v>
      </c>
      <c r="G931" s="1631"/>
      <c r="H931" s="1631"/>
      <c r="I931" s="1631"/>
      <c r="J931" s="1631"/>
      <c r="K931" s="1631"/>
      <c r="L931" s="1631"/>
      <c r="M931" s="1631"/>
      <c r="N931" s="1631"/>
      <c r="O931" s="1631"/>
      <c r="P931" s="1631"/>
      <c r="Q931" s="1631"/>
      <c r="R931" s="1631"/>
      <c r="S931" s="1631"/>
      <c r="T931" s="1632"/>
      <c r="U931" s="1633" t="s">
        <v>590</v>
      </c>
      <c r="V931" s="1428"/>
      <c r="W931" s="1428"/>
      <c r="X931" s="1428"/>
      <c r="Y931" s="1428"/>
      <c r="Z931" s="1429"/>
      <c r="AA931" s="1637"/>
      <c r="AB931" s="1526"/>
      <c r="AC931" s="1526"/>
      <c r="AD931" s="1526"/>
      <c r="AE931" s="1526"/>
      <c r="AF931" s="1638"/>
      <c r="AU931" s="2"/>
      <c r="AZ931" s="34"/>
      <c r="BA931" s="34"/>
      <c r="BB931" s="34"/>
      <c r="BC931" s="34"/>
    </row>
    <row r="932" spans="6:55" ht="13" customHeight="1">
      <c r="F932" s="1630" t="s">
        <v>2195</v>
      </c>
      <c r="G932" s="1631"/>
      <c r="H932" s="1631"/>
      <c r="I932" s="1631"/>
      <c r="J932" s="1631"/>
      <c r="K932" s="1631"/>
      <c r="L932" s="1631"/>
      <c r="M932" s="1631"/>
      <c r="N932" s="1631"/>
      <c r="O932" s="1631"/>
      <c r="P932" s="1631"/>
      <c r="Q932" s="1631"/>
      <c r="R932" s="1631"/>
      <c r="S932" s="1631"/>
      <c r="T932" s="1632"/>
      <c r="U932" s="1633" t="s">
        <v>590</v>
      </c>
      <c r="V932" s="1428"/>
      <c r="W932" s="1428"/>
      <c r="X932" s="1428"/>
      <c r="Y932" s="1428"/>
      <c r="Z932" s="1429"/>
      <c r="AA932" s="1637"/>
      <c r="AB932" s="1526"/>
      <c r="AC932" s="1526"/>
      <c r="AD932" s="1526"/>
      <c r="AE932" s="1526"/>
      <c r="AF932" s="1638"/>
      <c r="AZ932" s="30"/>
      <c r="BA932" s="30"/>
    </row>
    <row r="933" spans="6:55" ht="13" customHeight="1">
      <c r="F933" s="178" t="s">
        <v>674</v>
      </c>
      <c r="G933" s="5"/>
      <c r="H933" s="5"/>
      <c r="I933" s="5"/>
      <c r="J933" s="5"/>
      <c r="K933" s="5"/>
      <c r="L933" s="5"/>
      <c r="M933" s="5"/>
      <c r="N933" s="5"/>
      <c r="O933" s="5"/>
      <c r="P933" s="5"/>
      <c r="Q933" s="5"/>
      <c r="R933" s="5"/>
      <c r="S933" s="5"/>
      <c r="T933" s="46"/>
      <c r="U933" s="1633" t="s">
        <v>590</v>
      </c>
      <c r="V933" s="1428"/>
      <c r="W933" s="1428"/>
      <c r="X933" s="1428"/>
      <c r="Y933" s="1428"/>
      <c r="Z933" s="1429"/>
      <c r="AA933" s="1637"/>
      <c r="AB933" s="1526"/>
      <c r="AC933" s="1526"/>
      <c r="AD933" s="1526"/>
      <c r="AE933" s="1526"/>
      <c r="AF933" s="1638"/>
    </row>
    <row r="934" spans="6:55" ht="13" customHeight="1">
      <c r="F934" s="121" t="s">
        <v>1275</v>
      </c>
      <c r="G934" s="5"/>
      <c r="H934" s="5"/>
      <c r="I934" s="5"/>
      <c r="J934" s="5"/>
      <c r="K934" s="5"/>
      <c r="L934" s="5"/>
      <c r="M934" s="5"/>
      <c r="N934" s="5"/>
      <c r="O934" s="5"/>
      <c r="P934" s="5"/>
      <c r="Q934" s="5"/>
      <c r="R934" s="5"/>
      <c r="S934" s="5"/>
      <c r="T934" s="46"/>
      <c r="U934" s="1633" t="s">
        <v>590</v>
      </c>
      <c r="V934" s="1428"/>
      <c r="W934" s="1428"/>
      <c r="X934" s="1428"/>
      <c r="Y934" s="1428"/>
      <c r="Z934" s="1429"/>
      <c r="AA934" s="1637"/>
      <c r="AB934" s="1526"/>
      <c r="AC934" s="1526"/>
      <c r="AD934" s="1526"/>
      <c r="AE934" s="1526"/>
      <c r="AF934" s="1638"/>
      <c r="AZ934" s="30"/>
      <c r="BA934" s="14"/>
    </row>
    <row r="935" spans="6:55" ht="13" customHeight="1">
      <c r="F935" s="66" t="s">
        <v>800</v>
      </c>
      <c r="G935" s="5"/>
      <c r="H935" s="5"/>
      <c r="I935" s="5"/>
      <c r="J935" s="5"/>
      <c r="K935" s="5"/>
      <c r="L935" s="5"/>
      <c r="M935" s="5"/>
      <c r="N935" s="5"/>
      <c r="O935" s="5"/>
      <c r="P935" s="5"/>
      <c r="Q935" s="5"/>
      <c r="R935" s="5"/>
      <c r="S935" s="5"/>
      <c r="T935" s="46"/>
      <c r="U935" s="1633" t="s">
        <v>590</v>
      </c>
      <c r="V935" s="1428"/>
      <c r="W935" s="1428"/>
      <c r="X935" s="1428"/>
      <c r="Y935" s="1428"/>
      <c r="Z935" s="1429"/>
      <c r="AA935" s="1637"/>
      <c r="AB935" s="1526"/>
      <c r="AC935" s="1526"/>
      <c r="AD935" s="1526"/>
      <c r="AE935" s="1526"/>
      <c r="AF935" s="1638"/>
      <c r="AZ935" s="30"/>
      <c r="BA935" s="14"/>
    </row>
    <row r="936" spans="6:55" ht="13" customHeight="1">
      <c r="F936" s="1634" t="s">
        <v>2199</v>
      </c>
      <c r="G936" s="1635"/>
      <c r="H936" s="1635"/>
      <c r="I936" s="1635"/>
      <c r="J936" s="1635"/>
      <c r="K936" s="1635"/>
      <c r="L936" s="1635"/>
      <c r="M936" s="1635"/>
      <c r="N936" s="1635"/>
      <c r="O936" s="1635"/>
      <c r="P936" s="1635"/>
      <c r="Q936" s="1635"/>
      <c r="R936" s="1635"/>
      <c r="S936" s="1635"/>
      <c r="T936" s="1636"/>
      <c r="U936" s="1633" t="s">
        <v>590</v>
      </c>
      <c r="V936" s="1428"/>
      <c r="W936" s="1428"/>
      <c r="X936" s="1428"/>
      <c r="Y936" s="1428"/>
      <c r="Z936" s="1429"/>
      <c r="AA936" s="1637"/>
      <c r="AB936" s="1526"/>
      <c r="AC936" s="1526"/>
      <c r="AD936" s="1526"/>
      <c r="AE936" s="1526"/>
      <c r="AF936" s="1638"/>
      <c r="AZ936" s="30"/>
      <c r="BA936" s="14"/>
    </row>
    <row r="937" spans="6:55" ht="13" customHeight="1">
      <c r="F937" s="1634" t="s">
        <v>2200</v>
      </c>
      <c r="G937" s="1635"/>
      <c r="H937" s="1635"/>
      <c r="I937" s="1635"/>
      <c r="J937" s="1635"/>
      <c r="K937" s="1635"/>
      <c r="L937" s="1635"/>
      <c r="M937" s="1635"/>
      <c r="N937" s="1635"/>
      <c r="O937" s="1635"/>
      <c r="P937" s="1635"/>
      <c r="Q937" s="1635"/>
      <c r="R937" s="1635"/>
      <c r="S937" s="1635"/>
      <c r="T937" s="1636"/>
      <c r="U937" s="1633" t="s">
        <v>590</v>
      </c>
      <c r="V937" s="1428"/>
      <c r="W937" s="1428"/>
      <c r="X937" s="1428"/>
      <c r="Y937" s="1428"/>
      <c r="Z937" s="1429"/>
      <c r="AA937" s="1637"/>
      <c r="AB937" s="1526"/>
      <c r="AC937" s="1526"/>
      <c r="AD937" s="1526"/>
      <c r="AE937" s="1526"/>
      <c r="AF937" s="1638"/>
      <c r="AZ937" s="30"/>
      <c r="BA937" s="30"/>
    </row>
    <row r="938" spans="6:55" ht="13" customHeight="1">
      <c r="F938" s="1630" t="s">
        <v>2196</v>
      </c>
      <c r="G938" s="1631"/>
      <c r="H938" s="1631"/>
      <c r="I938" s="1631"/>
      <c r="J938" s="1631"/>
      <c r="K938" s="1631"/>
      <c r="L938" s="1631"/>
      <c r="M938" s="1631"/>
      <c r="N938" s="1631"/>
      <c r="O938" s="1631"/>
      <c r="P938" s="1631"/>
      <c r="Q938" s="1631"/>
      <c r="R938" s="1631"/>
      <c r="S938" s="1631"/>
      <c r="T938" s="1632"/>
      <c r="U938" s="1633" t="s">
        <v>590</v>
      </c>
      <c r="V938" s="1428"/>
      <c r="W938" s="1428"/>
      <c r="X938" s="1428"/>
      <c r="Y938" s="1428"/>
      <c r="Z938" s="1429"/>
      <c r="AA938" s="1637"/>
      <c r="AB938" s="1526"/>
      <c r="AC938" s="1526"/>
      <c r="AD938" s="1526"/>
      <c r="AE938" s="1526"/>
      <c r="AF938" s="1638"/>
      <c r="AZ938" s="30"/>
      <c r="BA938" s="30"/>
    </row>
    <row r="939" spans="6:55" ht="13" customHeight="1">
      <c r="F939" s="1630" t="s">
        <v>2197</v>
      </c>
      <c r="G939" s="1631"/>
      <c r="H939" s="1631"/>
      <c r="I939" s="1631"/>
      <c r="J939" s="1631"/>
      <c r="K939" s="1631"/>
      <c r="L939" s="1631"/>
      <c r="M939" s="1631"/>
      <c r="N939" s="1631"/>
      <c r="O939" s="1631"/>
      <c r="P939" s="1631"/>
      <c r="Q939" s="1631"/>
      <c r="R939" s="1631"/>
      <c r="S939" s="1631"/>
      <c r="T939" s="1632"/>
      <c r="U939" s="1633" t="s">
        <v>590</v>
      </c>
      <c r="V939" s="1428"/>
      <c r="W939" s="1428"/>
      <c r="X939" s="1428"/>
      <c r="Y939" s="1428"/>
      <c r="Z939" s="1429"/>
      <c r="AA939" s="1637"/>
      <c r="AB939" s="1526"/>
      <c r="AC939" s="1526"/>
      <c r="AD939" s="1526"/>
      <c r="AE939" s="1526"/>
      <c r="AF939" s="1638"/>
      <c r="AZ939" s="30"/>
      <c r="BA939" s="30"/>
    </row>
    <row r="940" spans="6:55" ht="13" customHeight="1">
      <c r="F940" s="1630" t="s">
        <v>2198</v>
      </c>
      <c r="G940" s="1631"/>
      <c r="H940" s="1631"/>
      <c r="I940" s="1631"/>
      <c r="J940" s="1631"/>
      <c r="K940" s="1631"/>
      <c r="L940" s="1631"/>
      <c r="M940" s="1631"/>
      <c r="N940" s="1631"/>
      <c r="O940" s="1631"/>
      <c r="P940" s="1631"/>
      <c r="Q940" s="1631"/>
      <c r="R940" s="1631"/>
      <c r="S940" s="1631"/>
      <c r="T940" s="1632"/>
      <c r="U940" s="1633" t="s">
        <v>590</v>
      </c>
      <c r="V940" s="1428"/>
      <c r="W940" s="1428"/>
      <c r="X940" s="1428"/>
      <c r="Y940" s="1428"/>
      <c r="Z940" s="1429"/>
      <c r="AA940" s="1637"/>
      <c r="AB940" s="1526"/>
      <c r="AC940" s="1526"/>
      <c r="AD940" s="1526"/>
      <c r="AE940" s="1526"/>
      <c r="AF940" s="1638"/>
      <c r="AZ940" s="34"/>
      <c r="BA940" s="34"/>
      <c r="BB940" s="14"/>
      <c r="BC940" s="14"/>
    </row>
    <row r="941" spans="6:55" ht="13" customHeight="1">
      <c r="F941" s="121" t="s">
        <v>1259</v>
      </c>
      <c r="G941" s="5"/>
      <c r="H941" s="5"/>
      <c r="I941" s="5"/>
      <c r="J941" s="5"/>
      <c r="K941" s="5"/>
      <c r="L941" s="5"/>
      <c r="M941" s="5"/>
      <c r="N941" s="5"/>
      <c r="O941" s="5"/>
      <c r="P941" s="5"/>
      <c r="Q941" s="5"/>
      <c r="R941" s="5"/>
      <c r="S941" s="5"/>
      <c r="T941" s="46"/>
      <c r="U941" s="1633" t="s">
        <v>590</v>
      </c>
      <c r="V941" s="1428"/>
      <c r="W941" s="1428"/>
      <c r="X941" s="1428"/>
      <c r="Y941" s="1428"/>
      <c r="Z941" s="1429"/>
      <c r="AA941" s="1637"/>
      <c r="AB941" s="1526"/>
      <c r="AC941" s="1526"/>
      <c r="AD941" s="1526"/>
      <c r="AE941" s="1526"/>
      <c r="AF941" s="1638"/>
      <c r="AZ941" s="34"/>
      <c r="BA941" s="34"/>
      <c r="BB941" s="14"/>
      <c r="BC941" s="14"/>
    </row>
    <row r="942" spans="6:55" ht="13" customHeight="1">
      <c r="F942" s="1634" t="s">
        <v>2201</v>
      </c>
      <c r="G942" s="1635"/>
      <c r="H942" s="1635"/>
      <c r="I942" s="1635"/>
      <c r="J942" s="1635"/>
      <c r="K942" s="1635"/>
      <c r="L942" s="1635"/>
      <c r="M942" s="1635"/>
      <c r="N942" s="1635"/>
      <c r="O942" s="1635"/>
      <c r="P942" s="1635"/>
      <c r="Q942" s="1635"/>
      <c r="R942" s="1635"/>
      <c r="S942" s="1635"/>
      <c r="T942" s="1636"/>
      <c r="U942" s="1633" t="s">
        <v>590</v>
      </c>
      <c r="V942" s="1428"/>
      <c r="W942" s="1428"/>
      <c r="X942" s="1428"/>
      <c r="Y942" s="1428"/>
      <c r="Z942" s="1429"/>
      <c r="AA942" s="1637"/>
      <c r="AB942" s="1526"/>
      <c r="AC942" s="1526"/>
      <c r="AD942" s="1526"/>
      <c r="AE942" s="1526"/>
      <c r="AF942" s="1638"/>
      <c r="AZ942" s="34"/>
      <c r="BA942" s="34"/>
      <c r="BB942" s="34"/>
      <c r="BC942" s="34"/>
    </row>
    <row r="943" spans="6:55" ht="13" customHeight="1">
      <c r="F943" s="121" t="s">
        <v>1260</v>
      </c>
      <c r="G943" s="5"/>
      <c r="H943" s="5"/>
      <c r="I943" s="5"/>
      <c r="J943" s="5"/>
      <c r="K943" s="5"/>
      <c r="L943" s="5"/>
      <c r="M943" s="5"/>
      <c r="N943" s="5"/>
      <c r="O943" s="5"/>
      <c r="P943" s="5"/>
      <c r="Q943" s="5"/>
      <c r="R943" s="5"/>
      <c r="S943" s="5"/>
      <c r="T943" s="46"/>
      <c r="U943" s="1633" t="s">
        <v>590</v>
      </c>
      <c r="V943" s="1428"/>
      <c r="W943" s="1428"/>
      <c r="X943" s="1428"/>
      <c r="Y943" s="1428"/>
      <c r="Z943" s="1429"/>
      <c r="AA943" s="1637"/>
      <c r="AB943" s="1526"/>
      <c r="AC943" s="1526"/>
      <c r="AD943" s="1526"/>
      <c r="AE943" s="1526"/>
      <c r="AF943" s="1638"/>
      <c r="AZ943" s="34"/>
      <c r="BA943" s="34"/>
      <c r="BB943" s="34"/>
      <c r="BC943" s="34"/>
    </row>
    <row r="944" spans="6:55" ht="13" customHeight="1">
      <c r="F944" s="1634" t="s">
        <v>2202</v>
      </c>
      <c r="G944" s="1635"/>
      <c r="H944" s="1635"/>
      <c r="I944" s="1635"/>
      <c r="J944" s="1635"/>
      <c r="K944" s="1635"/>
      <c r="L944" s="1635"/>
      <c r="M944" s="1635"/>
      <c r="N944" s="1635"/>
      <c r="O944" s="1635"/>
      <c r="P944" s="1635"/>
      <c r="Q944" s="1635"/>
      <c r="R944" s="1635"/>
      <c r="S944" s="1635"/>
      <c r="T944" s="1636"/>
      <c r="U944" s="1633" t="s">
        <v>590</v>
      </c>
      <c r="V944" s="1428"/>
      <c r="W944" s="1428"/>
      <c r="X944" s="1428"/>
      <c r="Y944" s="1428"/>
      <c r="Z944" s="1429"/>
      <c r="AA944" s="1637"/>
      <c r="AB944" s="1526"/>
      <c r="AC944" s="1526"/>
      <c r="AD944" s="1526"/>
      <c r="AE944" s="1526"/>
      <c r="AF944" s="1638"/>
      <c r="AZ944" s="34"/>
      <c r="BA944" s="34"/>
      <c r="BB944" s="34"/>
      <c r="BC944" s="34"/>
    </row>
    <row r="945" spans="1:55" ht="13" customHeight="1">
      <c r="F945" s="45" t="s">
        <v>804</v>
      </c>
      <c r="G945" s="5"/>
      <c r="H945" s="5"/>
      <c r="I945" s="5"/>
      <c r="J945" s="5"/>
      <c r="K945" s="5"/>
      <c r="L945" s="5"/>
      <c r="M945" s="5"/>
      <c r="N945" s="5"/>
      <c r="O945" s="5"/>
      <c r="P945" s="1633" t="s">
        <v>667</v>
      </c>
      <c r="Q945" s="1428"/>
      <c r="R945" s="1428"/>
      <c r="S945" s="1428"/>
      <c r="T945" s="1429"/>
      <c r="U945" s="1633" t="s">
        <v>590</v>
      </c>
      <c r="V945" s="1428"/>
      <c r="W945" s="1428"/>
      <c r="X945" s="1428"/>
      <c r="Y945" s="1428"/>
      <c r="Z945" s="1429"/>
      <c r="AA945" s="1637"/>
      <c r="AB945" s="1526"/>
      <c r="AC945" s="1526"/>
      <c r="AD945" s="1526"/>
      <c r="AE945" s="1526"/>
      <c r="AF945" s="1638"/>
      <c r="AZ945" s="34"/>
      <c r="BA945" s="34"/>
      <c r="BB945" s="34"/>
      <c r="BC945" s="34"/>
    </row>
    <row r="946" spans="1:55" ht="13" customHeight="1">
      <c r="F946" s="1630" t="s">
        <v>2189</v>
      </c>
      <c r="G946" s="1631"/>
      <c r="H946" s="1632"/>
      <c r="I946" s="1647" t="s">
        <v>334</v>
      </c>
      <c r="J946" s="1648"/>
      <c r="K946" s="1648"/>
      <c r="L946" s="1648"/>
      <c r="M946" s="1648"/>
      <c r="N946" s="1648"/>
      <c r="O946" s="1648"/>
      <c r="P946" s="1648"/>
      <c r="Q946" s="1648"/>
      <c r="R946" s="1648"/>
      <c r="S946" s="1648"/>
      <c r="T946" s="1649"/>
      <c r="U946" s="1633" t="s">
        <v>590</v>
      </c>
      <c r="V946" s="1428"/>
      <c r="W946" s="1428"/>
      <c r="X946" s="1428"/>
      <c r="Y946" s="1428"/>
      <c r="Z946" s="1429"/>
      <c r="AA946" s="1637"/>
      <c r="AB946" s="1526"/>
      <c r="AC946" s="1526"/>
      <c r="AD946" s="1526"/>
      <c r="AE946" s="1526"/>
      <c r="AF946" s="1638"/>
      <c r="AZ946" s="34"/>
      <c r="BA946" s="34"/>
      <c r="BB946" s="34"/>
      <c r="BC946" s="34"/>
    </row>
    <row r="947" spans="1:55" ht="13" customHeight="1">
      <c r="F947" s="45" t="s">
        <v>86</v>
      </c>
      <c r="G947" s="48"/>
      <c r="H947" s="48"/>
      <c r="I947" s="1647" t="s">
        <v>2757</v>
      </c>
      <c r="J947" s="1648"/>
      <c r="K947" s="1648"/>
      <c r="L947" s="1648"/>
      <c r="M947" s="1648"/>
      <c r="N947" s="1648"/>
      <c r="O947" s="1648"/>
      <c r="P947" s="1648"/>
      <c r="Q947" s="1648"/>
      <c r="R947" s="1648"/>
      <c r="S947" s="1648"/>
      <c r="T947" s="1649"/>
      <c r="U947" s="1633" t="s">
        <v>544</v>
      </c>
      <c r="V947" s="1428"/>
      <c r="W947" s="1428"/>
      <c r="X947" s="1428"/>
      <c r="Y947" s="1428"/>
      <c r="Z947" s="1429"/>
      <c r="AA947" s="1637">
        <v>3600000</v>
      </c>
      <c r="AB947" s="1526"/>
      <c r="AC947" s="1526"/>
      <c r="AD947" s="1526"/>
      <c r="AE947" s="1526"/>
      <c r="AF947" s="1638"/>
      <c r="AZ947" s="34"/>
      <c r="BA947" s="34"/>
      <c r="BB947" s="34"/>
      <c r="BC947" s="34"/>
    </row>
    <row r="948" spans="1:55" ht="13" customHeight="1">
      <c r="F948" s="45" t="s">
        <v>10</v>
      </c>
      <c r="G948" s="48"/>
      <c r="H948" s="48"/>
      <c r="I948" s="1647" t="s">
        <v>2744</v>
      </c>
      <c r="J948" s="1702"/>
      <c r="K948" s="1702"/>
      <c r="L948" s="1702"/>
      <c r="M948" s="1702"/>
      <c r="N948" s="1702"/>
      <c r="O948" s="1702"/>
      <c r="P948" s="1702"/>
      <c r="Q948" s="1702"/>
      <c r="R948" s="1702"/>
      <c r="S948" s="1702"/>
      <c r="T948" s="1703"/>
      <c r="U948" s="1633" t="s">
        <v>667</v>
      </c>
      <c r="V948" s="1428"/>
      <c r="W948" s="1428"/>
      <c r="X948" s="1428"/>
      <c r="Y948" s="1428"/>
      <c r="Z948" s="1429"/>
      <c r="AA948" s="1637">
        <v>580000</v>
      </c>
      <c r="AB948" s="1526"/>
      <c r="AC948" s="1526"/>
      <c r="AD948" s="1526"/>
      <c r="AE948" s="1526"/>
      <c r="AF948" s="1638"/>
      <c r="AV948" s="2"/>
      <c r="AW948" s="2"/>
      <c r="AX948" s="2"/>
      <c r="AY948" s="2"/>
      <c r="AZ948" s="34"/>
      <c r="BA948" s="34"/>
      <c r="BB948" s="34"/>
      <c r="BC948" s="34"/>
    </row>
    <row r="949" spans="1:55" ht="13" customHeight="1">
      <c r="F949" s="47" t="s">
        <v>170</v>
      </c>
      <c r="G949" s="48"/>
      <c r="H949" s="48"/>
      <c r="I949" s="1647" t="s">
        <v>2745</v>
      </c>
      <c r="J949" s="1702"/>
      <c r="K949" s="1702"/>
      <c r="L949" s="1702"/>
      <c r="M949" s="1702"/>
      <c r="N949" s="1702"/>
      <c r="O949" s="1702"/>
      <c r="P949" s="1702"/>
      <c r="Q949" s="1702"/>
      <c r="R949" s="1702"/>
      <c r="S949" s="1702"/>
      <c r="T949" s="1703"/>
      <c r="U949" s="1633" t="s">
        <v>544</v>
      </c>
      <c r="V949" s="1428"/>
      <c r="W949" s="1428"/>
      <c r="X949" s="1428"/>
      <c r="Y949" s="1428"/>
      <c r="Z949" s="1429"/>
      <c r="AA949" s="1637">
        <v>230551</v>
      </c>
      <c r="AB949" s="1526"/>
      <c r="AC949" s="1526"/>
      <c r="AD949" s="1526"/>
      <c r="AE949" s="1526"/>
      <c r="AF949" s="1638"/>
      <c r="AU949" s="2"/>
      <c r="AZ949" s="34"/>
      <c r="BA949" s="34"/>
      <c r="BB949" s="34"/>
      <c r="BC949" s="34"/>
    </row>
    <row r="950" spans="1:55" ht="13" customHeight="1">
      <c r="F950" s="47" t="s">
        <v>170</v>
      </c>
      <c r="G950" s="48"/>
      <c r="H950" s="48"/>
      <c r="I950" s="1647" t="s">
        <v>2758</v>
      </c>
      <c r="J950" s="1702"/>
      <c r="K950" s="1702"/>
      <c r="L950" s="1702"/>
      <c r="M950" s="1702"/>
      <c r="N950" s="1702"/>
      <c r="O950" s="1702"/>
      <c r="P950" s="1702"/>
      <c r="Q950" s="1702"/>
      <c r="R950" s="1702"/>
      <c r="S950" s="1702"/>
      <c r="T950" s="1703"/>
      <c r="U950" s="1633" t="s">
        <v>544</v>
      </c>
      <c r="V950" s="1428"/>
      <c r="W950" s="1428"/>
      <c r="X950" s="1428"/>
      <c r="Y950" s="1428"/>
      <c r="Z950" s="1429"/>
      <c r="AA950" s="1637">
        <v>5000000</v>
      </c>
      <c r="AB950" s="1526"/>
      <c r="AC950" s="1526"/>
      <c r="AD950" s="1526"/>
      <c r="AE950" s="1526"/>
      <c r="AF950" s="1638"/>
      <c r="AU950" s="2"/>
      <c r="AZ950" s="34"/>
      <c r="BA950" s="34"/>
      <c r="BB950" s="34"/>
      <c r="BC950" s="34"/>
    </row>
    <row r="951" spans="1:55" ht="13" customHeight="1">
      <c r="AU951" s="2"/>
      <c r="AZ951" s="34"/>
      <c r="BA951" s="34"/>
      <c r="BB951" s="34"/>
      <c r="BC951" s="34"/>
    </row>
    <row r="952" spans="1:55" ht="13" customHeight="1">
      <c r="A952" s="2" t="s">
        <v>575</v>
      </c>
      <c r="C952" s="2" t="s">
        <v>749</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5"/>
      <c r="N955" s="1523"/>
      <c r="O955" s="1523"/>
      <c r="P955" s="1523"/>
      <c r="Q955" s="1523"/>
      <c r="R955" s="1523"/>
      <c r="S955" s="1628"/>
      <c r="U955" s="66" t="s">
        <v>11</v>
      </c>
      <c r="V955" s="5"/>
      <c r="W955" s="5"/>
      <c r="X955" s="5"/>
      <c r="Y955" s="5"/>
      <c r="Z955" s="5"/>
      <c r="AA955" s="5"/>
      <c r="AB955" s="5"/>
      <c r="AC955" s="5"/>
      <c r="AD955" s="46"/>
      <c r="AE955" s="1705"/>
      <c r="AF955" s="1523"/>
      <c r="AG955" s="1523"/>
      <c r="AH955" s="1523"/>
      <c r="AI955" s="1523"/>
      <c r="AJ955" s="1523"/>
      <c r="AK955" s="1628"/>
      <c r="AZ955" s="34"/>
      <c r="BA955" s="34"/>
      <c r="BB955" s="34"/>
      <c r="BC955" s="34"/>
    </row>
    <row r="956" spans="1:55" ht="13" customHeight="1">
      <c r="C956" s="66" t="s">
        <v>12</v>
      </c>
      <c r="D956" s="5"/>
      <c r="E956" s="5"/>
      <c r="F956" s="5"/>
      <c r="G956" s="5"/>
      <c r="H956" s="5"/>
      <c r="I956" s="5"/>
      <c r="J956" s="5"/>
      <c r="K956" s="5"/>
      <c r="L956" s="46"/>
      <c r="M956" s="1588"/>
      <c r="N956" s="1472"/>
      <c r="O956" s="1472"/>
      <c r="P956" s="1472"/>
      <c r="Q956" s="1472"/>
      <c r="R956" s="1472"/>
      <c r="S956" s="1666"/>
      <c r="U956" s="66" t="s">
        <v>12</v>
      </c>
      <c r="V956" s="5"/>
      <c r="W956" s="5"/>
      <c r="X956" s="5"/>
      <c r="Y956" s="5"/>
      <c r="Z956" s="5"/>
      <c r="AA956" s="5"/>
      <c r="AB956" s="5"/>
      <c r="AC956" s="5"/>
      <c r="AD956" s="46"/>
      <c r="AE956" s="1588"/>
      <c r="AF956" s="1472"/>
      <c r="AG956" s="1472"/>
      <c r="AH956" s="1472"/>
      <c r="AI956" s="1472"/>
      <c r="AJ956" s="1472"/>
      <c r="AK956" s="1666"/>
      <c r="AZ956" s="34"/>
      <c r="BA956" s="34"/>
      <c r="BB956" s="34"/>
      <c r="BC956" s="34"/>
    </row>
    <row r="957" spans="1:55" ht="13" customHeight="1">
      <c r="C957" s="66" t="s">
        <v>878</v>
      </c>
      <c r="D957" s="5"/>
      <c r="E957" s="5"/>
      <c r="J957" s="1809" t="s">
        <v>307</v>
      </c>
      <c r="K957" s="1810"/>
      <c r="L957" s="1810"/>
      <c r="M957" s="1810"/>
      <c r="N957" s="1810"/>
      <c r="O957" s="1810"/>
      <c r="P957" s="1810"/>
      <c r="Q957" s="1810"/>
      <c r="R957" s="1810"/>
      <c r="S957" s="1811"/>
      <c r="U957" s="66" t="s">
        <v>878</v>
      </c>
      <c r="V957" s="5"/>
      <c r="W957" s="5"/>
      <c r="AB957" s="1809" t="s">
        <v>307</v>
      </c>
      <c r="AC957" s="1810"/>
      <c r="AD957" s="1810"/>
      <c r="AE957" s="1810"/>
      <c r="AF957" s="1810"/>
      <c r="AG957" s="1810"/>
      <c r="AH957" s="1810"/>
      <c r="AI957" s="1810"/>
      <c r="AJ957" s="1810"/>
      <c r="AK957" s="1811"/>
      <c r="AZ957" s="34"/>
      <c r="BA957" s="34"/>
      <c r="BB957" s="34"/>
      <c r="BC957" s="34"/>
    </row>
    <row r="958" spans="1:55" ht="13"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3" customHeight="1">
      <c r="C959" s="66" t="s">
        <v>14</v>
      </c>
      <c r="D959" s="5"/>
      <c r="E959" s="5"/>
      <c r="F959" s="5"/>
      <c r="G959" s="5"/>
      <c r="H959" s="5"/>
      <c r="I959" s="5"/>
      <c r="J959" s="5"/>
      <c r="K959" s="5"/>
      <c r="L959" s="46"/>
      <c r="M959" s="1726"/>
      <c r="N959" s="1613"/>
      <c r="O959" s="1613"/>
      <c r="P959" s="1613"/>
      <c r="Q959" s="1613"/>
      <c r="R959" s="1613"/>
      <c r="S959" s="1614"/>
      <c r="U959" s="66" t="s">
        <v>14</v>
      </c>
      <c r="V959" s="5"/>
      <c r="W959" s="5"/>
      <c r="X959" s="5"/>
      <c r="Y959" s="5"/>
      <c r="Z959" s="5"/>
      <c r="AA959" s="5"/>
      <c r="AB959" s="5"/>
      <c r="AC959" s="5"/>
      <c r="AD959" s="46"/>
      <c r="AE959" s="1726"/>
      <c r="AF959" s="1613"/>
      <c r="AG959" s="1613"/>
      <c r="AH959" s="1613"/>
      <c r="AI959" s="1613"/>
      <c r="AJ959" s="1613"/>
      <c r="AK959" s="1614"/>
      <c r="AV959" s="2"/>
      <c r="AW959" s="2"/>
      <c r="AX959" s="2"/>
      <c r="AY959" s="2"/>
      <c r="AZ959" s="34"/>
      <c r="BA959" s="34"/>
      <c r="BB959" s="34"/>
      <c r="BC959" s="34"/>
    </row>
    <row r="960" spans="1:55" ht="13" customHeight="1">
      <c r="C960" s="66" t="s">
        <v>15</v>
      </c>
      <c r="D960" s="5"/>
      <c r="E960" s="5"/>
      <c r="F960" s="5"/>
      <c r="G960" s="5"/>
      <c r="H960" s="5"/>
      <c r="I960" s="5"/>
      <c r="J960" s="5"/>
      <c r="K960" s="5"/>
      <c r="L960" s="46"/>
      <c r="M960" s="1637"/>
      <c r="N960" s="1526"/>
      <c r="O960" s="1526"/>
      <c r="P960" s="1526"/>
      <c r="Q960" s="1526"/>
      <c r="R960" s="1526"/>
      <c r="S960" s="1638"/>
      <c r="U960" s="66" t="s">
        <v>15</v>
      </c>
      <c r="V960" s="5"/>
      <c r="W960" s="5"/>
      <c r="X960" s="5"/>
      <c r="Y960" s="5"/>
      <c r="Z960" s="5"/>
      <c r="AA960" s="5"/>
      <c r="AB960" s="5"/>
      <c r="AC960" s="5"/>
      <c r="AD960" s="46"/>
      <c r="AE960" s="1637"/>
      <c r="AF960" s="1526"/>
      <c r="AG960" s="1526"/>
      <c r="AH960" s="1526"/>
      <c r="AI960" s="1526"/>
      <c r="AJ960" s="1526"/>
      <c r="AK960" s="1638"/>
      <c r="AV960" s="2"/>
      <c r="AW960" s="2"/>
      <c r="AX960" s="2"/>
      <c r="AY960" s="2"/>
      <c r="AZ960" s="34"/>
      <c r="BA960" s="34"/>
      <c r="BB960" s="34"/>
      <c r="BC960" s="34"/>
    </row>
    <row r="961" spans="1:64" ht="13" customHeight="1">
      <c r="C961" s="66" t="s">
        <v>16</v>
      </c>
      <c r="D961" s="5"/>
      <c r="E961" s="5"/>
      <c r="F961" s="5"/>
      <c r="G961" s="5"/>
      <c r="H961" s="5"/>
      <c r="I961" s="5"/>
      <c r="J961" s="5"/>
      <c r="K961" s="5"/>
      <c r="L961" s="46"/>
      <c r="M961" s="1637"/>
      <c r="N961" s="1526"/>
      <c r="O961" s="1526"/>
      <c r="P961" s="1526"/>
      <c r="Q961" s="1526"/>
      <c r="R961" s="1526"/>
      <c r="S961" s="1638"/>
      <c r="U961" s="66" t="s">
        <v>16</v>
      </c>
      <c r="V961" s="5"/>
      <c r="W961" s="5"/>
      <c r="X961" s="5"/>
      <c r="Y961" s="5"/>
      <c r="Z961" s="5"/>
      <c r="AA961" s="5"/>
      <c r="AB961" s="5"/>
      <c r="AC961" s="5"/>
      <c r="AD961" s="46"/>
      <c r="AE961" s="1637"/>
      <c r="AF961" s="1526"/>
      <c r="AG961" s="1526"/>
      <c r="AH961" s="1526"/>
      <c r="AI961" s="1526"/>
      <c r="AJ961" s="1526"/>
      <c r="AK961" s="1638"/>
      <c r="AV961" s="2"/>
      <c r="AW961" s="2"/>
      <c r="AX961" s="2"/>
      <c r="AY961" s="2"/>
      <c r="AZ961" s="34"/>
      <c r="BB961" s="34"/>
      <c r="BC961" s="34"/>
    </row>
    <row r="962" spans="1:64" ht="13" customHeight="1">
      <c r="C962" s="121" t="s">
        <v>1659</v>
      </c>
      <c r="D962" s="5"/>
      <c r="E962" s="5"/>
      <c r="F962" s="5"/>
      <c r="G962" s="5"/>
      <c r="H962" s="5"/>
      <c r="I962" s="5"/>
      <c r="J962" s="5"/>
      <c r="K962" s="5"/>
      <c r="L962" s="46"/>
      <c r="M962" s="1777"/>
      <c r="N962" s="1778"/>
      <c r="O962" s="1778"/>
      <c r="P962" s="1778"/>
      <c r="Q962" s="1778"/>
      <c r="R962" s="1778"/>
      <c r="S962" s="1779"/>
      <c r="U962" s="121" t="s">
        <v>1659</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585</v>
      </c>
      <c r="C964" s="2" t="s">
        <v>648</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570</v>
      </c>
      <c r="G967" s="5"/>
      <c r="H967" s="5"/>
      <c r="I967" s="5"/>
      <c r="J967" s="5"/>
      <c r="K967" s="5"/>
      <c r="L967" s="46"/>
      <c r="M967" s="1663"/>
      <c r="N967" s="1664"/>
      <c r="O967" s="1664"/>
      <c r="P967" s="1664"/>
      <c r="Q967" s="1664"/>
      <c r="R967" s="1664"/>
      <c r="S967" s="1665"/>
      <c r="T967" s="66" t="s">
        <v>788</v>
      </c>
      <c r="U967" s="5"/>
      <c r="V967" s="5"/>
      <c r="W967" s="5"/>
      <c r="X967" s="5"/>
      <c r="Y967" s="5"/>
      <c r="Z967" s="46"/>
      <c r="AA967" s="1663"/>
      <c r="AB967" s="1664"/>
      <c r="AC967" s="1664"/>
      <c r="AD967" s="1664"/>
      <c r="AE967" s="1664"/>
      <c r="AF967" s="1664"/>
      <c r="AG967" s="166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571</v>
      </c>
      <c r="G968" s="5"/>
      <c r="H968" s="5"/>
      <c r="I968" s="5"/>
      <c r="J968" s="5"/>
      <c r="K968" s="5"/>
      <c r="L968" s="46"/>
      <c r="M968" s="1663"/>
      <c r="N968" s="1664"/>
      <c r="O968" s="1664"/>
      <c r="P968" s="1664"/>
      <c r="Q968" s="1664"/>
      <c r="R968" s="1664"/>
      <c r="S968" s="1665"/>
      <c r="T968" s="66" t="s">
        <v>787</v>
      </c>
      <c r="U968" s="5"/>
      <c r="V968" s="5"/>
      <c r="W968" s="5"/>
      <c r="X968" s="5"/>
      <c r="Y968" s="5"/>
      <c r="Z968" s="46"/>
      <c r="AA968" s="1663"/>
      <c r="AB968" s="1664"/>
      <c r="AC968" s="1664"/>
      <c r="AD968" s="1664"/>
      <c r="AE968" s="1664"/>
      <c r="AF968" s="1664"/>
      <c r="AG968" s="166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899</v>
      </c>
      <c r="G969" s="5"/>
      <c r="H969" s="5"/>
      <c r="I969" s="5"/>
      <c r="J969" s="5"/>
      <c r="K969" s="5"/>
      <c r="L969" s="46"/>
      <c r="M969" s="1709" t="s">
        <v>590</v>
      </c>
      <c r="N969" s="1710"/>
      <c r="O969" s="1710"/>
      <c r="P969" s="1710"/>
      <c r="Q969" s="1710"/>
      <c r="R969" s="1710"/>
      <c r="S969" s="1711"/>
      <c r="T969" s="45" t="s">
        <v>337</v>
      </c>
      <c r="U969" s="5"/>
      <c r="V969" s="5"/>
      <c r="W969" s="5"/>
      <c r="X969" s="5"/>
      <c r="Y969" s="5"/>
      <c r="Z969" s="46"/>
      <c r="AA969" s="1663"/>
      <c r="AB969" s="1664"/>
      <c r="AC969" s="1664"/>
      <c r="AD969" s="1664"/>
      <c r="AE969" s="1664"/>
      <c r="AF969" s="1664"/>
      <c r="AG969" s="166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572</v>
      </c>
      <c r="G970" s="5"/>
      <c r="H970" s="5"/>
      <c r="I970" s="5"/>
      <c r="J970" s="5"/>
      <c r="K970" s="5"/>
      <c r="L970" s="46"/>
      <c r="M970" s="1663"/>
      <c r="N970" s="1664"/>
      <c r="O970" s="1664"/>
      <c r="P970" s="1664"/>
      <c r="Q970" s="1664"/>
      <c r="R970" s="1664"/>
      <c r="S970" s="1665"/>
      <c r="T970" s="45" t="s">
        <v>338</v>
      </c>
      <c r="U970" s="5"/>
      <c r="V970" s="5"/>
      <c r="W970" s="5"/>
      <c r="X970" s="5"/>
      <c r="Y970" s="5"/>
      <c r="Z970" s="46"/>
      <c r="AA970" s="1663"/>
      <c r="AB970" s="1664"/>
      <c r="AC970" s="1664"/>
      <c r="AD970" s="1664"/>
      <c r="AE970" s="1664"/>
      <c r="AF970" s="1664"/>
      <c r="AG970" s="166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463</v>
      </c>
      <c r="G971" s="5"/>
      <c r="H971" s="5"/>
      <c r="I971" s="5"/>
      <c r="J971" s="5"/>
      <c r="K971" s="5"/>
      <c r="L971" s="46"/>
      <c r="M971" s="1663"/>
      <c r="N971" s="1664"/>
      <c r="O971" s="1664"/>
      <c r="P971" s="1664"/>
      <c r="Q971" s="1664"/>
      <c r="R971" s="1664"/>
      <c r="S971" s="1665"/>
      <c r="T971" s="45" t="s">
        <v>376</v>
      </c>
      <c r="U971" s="5"/>
      <c r="V971" s="5"/>
      <c r="W971" s="5"/>
      <c r="X971" s="5"/>
      <c r="Y971" s="5"/>
      <c r="Z971" s="46"/>
      <c r="AA971" s="1663"/>
      <c r="AB971" s="1664"/>
      <c r="AC971" s="1664"/>
      <c r="AD971" s="1664"/>
      <c r="AE971" s="1664"/>
      <c r="AF971" s="1664"/>
      <c r="AG971" s="166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878</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63"/>
      <c r="AB972" s="1664"/>
      <c r="AC972" s="1664"/>
      <c r="AD972" s="1664"/>
      <c r="AE972" s="1664"/>
      <c r="AF972" s="1664"/>
      <c r="AG972" s="166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464</v>
      </c>
      <c r="G973" s="42"/>
      <c r="H973" s="42"/>
      <c r="I973" s="42"/>
      <c r="J973" s="42"/>
      <c r="K973" s="42"/>
      <c r="L973" s="58"/>
      <c r="M973" s="1663"/>
      <c r="N973" s="1664"/>
      <c r="O973" s="1664"/>
      <c r="P973" s="1664"/>
      <c r="Q973" s="1664"/>
      <c r="R973" s="1664"/>
      <c r="S973" s="1665"/>
      <c r="T973" s="1764"/>
      <c r="U973" s="1765"/>
      <c r="V973" s="1765"/>
      <c r="W973" s="1765"/>
      <c r="X973" s="1765"/>
      <c r="Y973" s="1765"/>
      <c r="Z973" s="1766"/>
      <c r="AA973" s="1663"/>
      <c r="AB973" s="1664"/>
      <c r="AC973" s="1664"/>
      <c r="AD973" s="1664"/>
      <c r="AE973" s="1664"/>
      <c r="AF973" s="1664"/>
      <c r="AG973" s="166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667</v>
      </c>
      <c r="P974" s="1372"/>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3" customHeight="1">
      <c r="F975" s="1608" t="s">
        <v>33</v>
      </c>
      <c r="G975" s="1485"/>
      <c r="H975" s="1485"/>
      <c r="I975" s="1485"/>
      <c r="J975" s="1485"/>
      <c r="K975" s="1485"/>
      <c r="L975" s="1485"/>
      <c r="M975" s="1663"/>
      <c r="N975" s="1664"/>
      <c r="O975" s="1664"/>
      <c r="P975" s="1664"/>
      <c r="Q975" s="1664"/>
      <c r="R975" s="1664"/>
      <c r="S975" s="1665"/>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9"/>
      <c r="BH976" s="1639"/>
      <c r="BI976" s="1639"/>
      <c r="BJ976" s="1639"/>
      <c r="BK976" s="1639"/>
      <c r="BL976" s="163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7" t="s">
        <v>547</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3"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3"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2" t="s">
        <v>636</v>
      </c>
      <c r="E985" s="1793"/>
      <c r="F985" s="1793"/>
      <c r="G985" s="1793"/>
      <c r="H985" s="1793"/>
      <c r="I985" s="1793"/>
      <c r="J985" s="1793"/>
      <c r="K985" s="1793"/>
      <c r="L985" s="1793"/>
      <c r="M985" s="1793"/>
      <c r="N985" s="1793"/>
      <c r="O985" s="1793"/>
      <c r="P985" s="1793"/>
      <c r="Q985" s="1794"/>
      <c r="R985" s="1792" t="s">
        <v>637</v>
      </c>
      <c r="S985" s="1793"/>
      <c r="T985" s="1793"/>
      <c r="U985" s="1793"/>
      <c r="V985" s="1793"/>
      <c r="W985" s="1793"/>
      <c r="X985" s="1793"/>
      <c r="Y985" s="1793"/>
      <c r="Z985" s="1793"/>
      <c r="AA985" s="1794"/>
      <c r="AB985" s="1792" t="s">
        <v>638</v>
      </c>
      <c r="AC985" s="1793"/>
      <c r="AD985" s="1793"/>
      <c r="AE985" s="1793"/>
      <c r="AF985" s="1793"/>
      <c r="AG985" s="1793"/>
      <c r="AH985" s="1793"/>
      <c r="AI985" s="1794"/>
      <c r="AJ985" s="1792" t="s">
        <v>639</v>
      </c>
      <c r="AK985" s="1793"/>
      <c r="AL985" s="1793"/>
      <c r="AM985" s="1793"/>
      <c r="AN985" s="1793"/>
      <c r="AO985" s="1793"/>
      <c r="AP985" s="1793"/>
      <c r="AQ985" s="1794"/>
      <c r="AR985" s="68"/>
      <c r="AS985" s="68"/>
      <c r="AT985" s="68"/>
      <c r="AU985" s="68"/>
      <c r="AV985" s="68"/>
      <c r="AW985" s="68"/>
      <c r="AX985" s="68"/>
      <c r="AY985" s="68"/>
      <c r="AZ985" s="30"/>
      <c r="BB985" s="14"/>
      <c r="BC985" s="14"/>
    </row>
    <row r="986" spans="1:64" ht="13" customHeight="1">
      <c r="A986" s="14"/>
      <c r="B986" s="73"/>
      <c r="C986" s="929"/>
      <c r="D986" s="1798" t="s">
        <v>631</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352022</v>
      </c>
      <c r="S986" s="1785"/>
      <c r="T986" s="1785"/>
      <c r="U986" s="1785"/>
      <c r="V986" s="1785"/>
      <c r="W986" s="1785"/>
      <c r="X986" s="1785"/>
      <c r="Y986" s="1785"/>
      <c r="Z986" s="1785"/>
      <c r="AA986" s="1785"/>
      <c r="AB986" s="1782">
        <f>CP802</f>
        <v>15</v>
      </c>
      <c r="AC986" s="1783"/>
      <c r="AD986" s="1783"/>
      <c r="AE986" s="1783"/>
      <c r="AF986" s="1783"/>
      <c r="AG986" s="1783"/>
      <c r="AH986" s="1783"/>
      <c r="AI986" s="1784"/>
      <c r="AJ986" s="1718">
        <f>IF(ISERROR((R986*AB986)),0,(R986*AB986))</f>
        <v>5280330</v>
      </c>
      <c r="AK986" s="1719"/>
      <c r="AL986" s="1719"/>
      <c r="AM986" s="1719"/>
      <c r="AN986" s="1719"/>
      <c r="AO986" s="1719"/>
      <c r="AP986" s="1719"/>
      <c r="AQ986" s="1720"/>
      <c r="AR986" s="68"/>
      <c r="AS986" s="68"/>
      <c r="AT986" s="68"/>
      <c r="AU986" s="68"/>
      <c r="AV986" s="68"/>
      <c r="AW986" s="68"/>
      <c r="AX986" s="68"/>
      <c r="AY986" s="68"/>
      <c r="AZ986" s="30"/>
      <c r="BB986" s="14"/>
      <c r="BC986" s="14"/>
    </row>
    <row r="987" spans="1:64" ht="13"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405878</v>
      </c>
      <c r="S987" s="1785"/>
      <c r="T987" s="1785"/>
      <c r="U987" s="1785"/>
      <c r="V987" s="1785"/>
      <c r="W987" s="1785"/>
      <c r="X987" s="1785"/>
      <c r="Y987" s="1785"/>
      <c r="Z987" s="1785"/>
      <c r="AA987" s="1785"/>
      <c r="AB987" s="1782">
        <f>CU802</f>
        <v>12</v>
      </c>
      <c r="AC987" s="1783"/>
      <c r="AD987" s="1783"/>
      <c r="AE987" s="1783"/>
      <c r="AF987" s="1783"/>
      <c r="AG987" s="1783"/>
      <c r="AH987" s="1783"/>
      <c r="AI987" s="1784"/>
      <c r="AJ987" s="1718">
        <f>IF(ISERROR((R987*AB987)),0,(R987*AB987))</f>
        <v>4870536</v>
      </c>
      <c r="AK987" s="1719"/>
      <c r="AL987" s="1719"/>
      <c r="AM987" s="1719"/>
      <c r="AN987" s="1719"/>
      <c r="AO987" s="1719"/>
      <c r="AP987" s="1719"/>
      <c r="AQ987" s="1720"/>
      <c r="AR987" s="68"/>
      <c r="AS987" s="68"/>
      <c r="AT987" s="68"/>
      <c r="AU987" s="68"/>
      <c r="AV987" s="68"/>
      <c r="AW987" s="68"/>
      <c r="AX987" s="68"/>
      <c r="AY987" s="68"/>
      <c r="AZ987" s="30"/>
      <c r="BB987" s="14"/>
      <c r="BC987" s="14"/>
    </row>
    <row r="988" spans="1:64" ht="13"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489600</v>
      </c>
      <c r="S988" s="1785"/>
      <c r="T988" s="1785"/>
      <c r="U988" s="1785"/>
      <c r="V988" s="1785"/>
      <c r="W988" s="1785"/>
      <c r="X988" s="1785"/>
      <c r="Y988" s="1785"/>
      <c r="Z988" s="1785"/>
      <c r="AA988" s="1785"/>
      <c r="AB988" s="1782">
        <f>CZ802</f>
        <v>27</v>
      </c>
      <c r="AC988" s="1783"/>
      <c r="AD988" s="1783"/>
      <c r="AE988" s="1783"/>
      <c r="AF988" s="1783"/>
      <c r="AG988" s="1783"/>
      <c r="AH988" s="1783"/>
      <c r="AI988" s="1784"/>
      <c r="AJ988" s="1718">
        <f>IF(ISERROR((R988*AB988)),0,(R988*AB988))</f>
        <v>13219200</v>
      </c>
      <c r="AK988" s="1719"/>
      <c r="AL988" s="1719"/>
      <c r="AM988" s="1719"/>
      <c r="AN988" s="1719"/>
      <c r="AO988" s="1719"/>
      <c r="AP988" s="1719"/>
      <c r="AQ988" s="1720"/>
      <c r="AR988" s="68"/>
      <c r="AS988" s="68"/>
      <c r="AT988" s="68"/>
      <c r="AU988" s="68"/>
      <c r="AV988" s="68"/>
      <c r="AW988" s="68"/>
      <c r="AX988" s="68"/>
      <c r="AY988" s="68"/>
      <c r="AZ988" s="30"/>
      <c r="BB988" s="14"/>
      <c r="BC988" s="14"/>
    </row>
    <row r="989" spans="1:64" ht="13"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626688</v>
      </c>
      <c r="S989" s="1785"/>
      <c r="T989" s="1785"/>
      <c r="U989" s="1785"/>
      <c r="V989" s="1785"/>
      <c r="W989" s="1785"/>
      <c r="X989" s="1785"/>
      <c r="Y989" s="1785"/>
      <c r="Z989" s="1785"/>
      <c r="AA989" s="1785"/>
      <c r="AB989" s="1782">
        <f>DE802</f>
        <v>18</v>
      </c>
      <c r="AC989" s="1783"/>
      <c r="AD989" s="1783"/>
      <c r="AE989" s="1783"/>
      <c r="AF989" s="1783"/>
      <c r="AG989" s="1783"/>
      <c r="AH989" s="1783"/>
      <c r="AI989" s="1784"/>
      <c r="AJ989" s="1718">
        <f>IF(ISERROR((R989*AB989)),0,(R989*AB989))</f>
        <v>11280384</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3" customHeight="1">
      <c r="A990" s="14"/>
      <c r="B990" s="47"/>
      <c r="C990" s="78"/>
      <c r="D990" s="1798" t="s">
        <v>459</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698170</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3" customHeight="1">
      <c r="A991" s="14"/>
      <c r="B991" s="1739" t="s">
        <v>789</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72</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3" customHeight="1">
      <c r="A992" s="14"/>
      <c r="B992" s="1795" t="s">
        <v>511</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34650450</v>
      </c>
      <c r="AK992" s="1719"/>
      <c r="AL992" s="1719"/>
      <c r="AM992" s="1719"/>
      <c r="AN992" s="1719"/>
      <c r="AO992" s="1719"/>
      <c r="AP992" s="1719"/>
      <c r="AQ992" s="1720"/>
      <c r="AR992" s="68"/>
      <c r="AS992" s="68"/>
      <c r="AT992" s="68"/>
      <c r="AU992" s="68"/>
      <c r="AV992" s="68"/>
      <c r="AW992" s="68"/>
      <c r="AX992" s="68"/>
      <c r="AY992" s="68"/>
      <c r="AZ992" s="34"/>
      <c r="BB992" s="34"/>
      <c r="BC992" s="34"/>
    </row>
    <row r="993" spans="1:55" ht="13"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664</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3" customHeight="1">
      <c r="A994" s="14"/>
      <c r="B994" s="73"/>
      <c r="C994" s="927" t="s">
        <v>666</v>
      </c>
      <c r="D994" s="1736" t="s">
        <v>1218</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544</v>
      </c>
      <c r="AH994" s="1831"/>
      <c r="AI994" s="87"/>
      <c r="AJ994" s="1727">
        <f>ROUND(IF(AND(AG994="yes",D1000&gt;0),AJ992*0.2,0),0)</f>
        <v>6930090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3" customHeight="1">
      <c r="A995" s="14"/>
      <c r="B995" s="257"/>
      <c r="C995" s="256"/>
      <c r="D995" s="1770" t="s">
        <v>2232</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3"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3"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3"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3" customHeight="1">
      <c r="A999" s="14"/>
      <c r="B999" s="257"/>
      <c r="C999" s="256"/>
      <c r="D999" s="1773" t="s">
        <v>2203</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3" customHeight="1">
      <c r="A1000" s="14"/>
      <c r="B1000" s="257"/>
      <c r="C1000" s="256"/>
      <c r="D1000" s="1742" t="s">
        <v>2759</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3" customHeight="1">
      <c r="A1001" s="14"/>
      <c r="B1001" s="255"/>
      <c r="C1001" s="318"/>
      <c r="D1001" s="1767" t="s">
        <v>1284</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667</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3" customHeight="1">
      <c r="A1002" s="14"/>
      <c r="B1002" s="257"/>
      <c r="C1002" s="82"/>
      <c r="D1002" s="1770" t="s">
        <v>1282</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3"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72</v>
      </c>
      <c r="AZ1003" s="34"/>
      <c r="BB1003" s="34"/>
    </row>
    <row r="1004" spans="1:55" ht="13"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3"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0.09</v>
      </c>
      <c r="AZ1005" s="34"/>
      <c r="BB1005" s="34"/>
    </row>
    <row r="1006" spans="1:55" ht="13"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0.3</v>
      </c>
      <c r="AZ1006" s="34"/>
      <c r="BB1006" s="34"/>
    </row>
    <row r="1007" spans="1:55" ht="13" customHeight="1">
      <c r="A1007" s="14"/>
      <c r="B1007" s="255"/>
      <c r="C1007" s="80" t="s">
        <v>670</v>
      </c>
      <c r="D1007" s="1767" t="s">
        <v>1681</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544</v>
      </c>
      <c r="AH1007" s="1754"/>
      <c r="AI1007" s="87"/>
      <c r="AJ1007" s="1727">
        <f>ROUND(IF(AG1007="yes",AJ992*0.1,0),0)</f>
        <v>3465045</v>
      </c>
      <c r="AK1007" s="1728"/>
      <c r="AL1007" s="1728"/>
      <c r="AM1007" s="1728"/>
      <c r="AN1007" s="1728"/>
      <c r="AO1007" s="1728"/>
      <c r="AP1007" s="1728"/>
      <c r="AQ1007" s="1729"/>
      <c r="AR1007" s="68"/>
      <c r="AS1007" s="68"/>
      <c r="AT1007" s="68"/>
      <c r="AU1007" s="68"/>
      <c r="AV1007" s="68"/>
      <c r="AW1007" s="68"/>
      <c r="AX1007" s="68"/>
      <c r="BB1007" s="34"/>
    </row>
    <row r="1008" spans="1:55" ht="13" customHeight="1">
      <c r="A1008" s="14"/>
      <c r="B1008" s="73"/>
      <c r="C1008" s="74"/>
      <c r="D1008" s="1699" t="s">
        <v>1283</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1"/>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3" customHeight="1">
      <c r="A1009" s="14"/>
      <c r="B1009" s="73"/>
      <c r="C1009" s="74"/>
      <c r="D1009" s="1699"/>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1"/>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3"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3" customHeight="1">
      <c r="A1011" s="14"/>
      <c r="B1011" s="79"/>
      <c r="C1011" s="80" t="s">
        <v>212</v>
      </c>
      <c r="D1011" s="1767" t="s">
        <v>1285</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667</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1286</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1839</v>
      </c>
      <c r="AZ1012" s="3" t="s">
        <v>2604</v>
      </c>
    </row>
    <row r="1013" spans="1:52" ht="13" customHeight="1">
      <c r="A1013" s="14"/>
      <c r="B1013" s="79"/>
      <c r="C1013" s="80" t="s">
        <v>215</v>
      </c>
      <c r="D1013" s="1767" t="s">
        <v>1287</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667</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9" t="s">
        <v>1288</v>
      </c>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1"/>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3" customHeight="1">
      <c r="A1016" s="14"/>
      <c r="B1016" s="79"/>
      <c r="C1016" s="80" t="s">
        <v>218</v>
      </c>
      <c r="D1016" s="1736" t="s">
        <v>2233</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667</v>
      </c>
      <c r="AH1016" s="1754"/>
      <c r="AI1016" s="87"/>
      <c r="AJ1016" s="1727">
        <f>IF(AG1016="yes",AJ992*AY1024,0)</f>
        <v>0</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3" customHeight="1">
      <c r="A1017" s="14"/>
      <c r="B1017" s="73"/>
      <c r="C1017" s="74"/>
      <c r="D1017" s="1699" t="s">
        <v>1289</v>
      </c>
      <c r="E1017" s="1700"/>
      <c r="F1017" s="1700"/>
      <c r="G1017" s="1700"/>
      <c r="H1017" s="1700"/>
      <c r="I1017" s="1700"/>
      <c r="J1017" s="1700"/>
      <c r="K1017" s="1700"/>
      <c r="L1017" s="1700"/>
      <c r="M1017" s="1700"/>
      <c r="N1017" s="1700"/>
      <c r="O1017" s="1700"/>
      <c r="P1017" s="1700"/>
      <c r="Q1017" s="1700"/>
      <c r="R1017" s="1700"/>
      <c r="S1017" s="1700"/>
      <c r="T1017" s="1700"/>
      <c r="U1017" s="1700"/>
      <c r="V1017" s="1700"/>
      <c r="W1017" s="1700"/>
      <c r="X1017" s="1700"/>
      <c r="Y1017" s="1700"/>
      <c r="Z1017" s="1700"/>
      <c r="AA1017" s="1700"/>
      <c r="AB1017" s="1700"/>
      <c r="AC1017" s="1700"/>
      <c r="AD1017" s="1700"/>
      <c r="AE1017" s="1701"/>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3" customHeight="1">
      <c r="A1018" s="14"/>
      <c r="B1018" s="73"/>
      <c r="C1018" s="74"/>
      <c r="D1018" s="1699"/>
      <c r="E1018" s="1700"/>
      <c r="F1018" s="1700"/>
      <c r="G1018" s="1700"/>
      <c r="H1018" s="1700"/>
      <c r="I1018" s="1700"/>
      <c r="J1018" s="1700"/>
      <c r="K1018" s="1700"/>
      <c r="L1018" s="1700"/>
      <c r="M1018" s="1700"/>
      <c r="N1018" s="1700"/>
      <c r="O1018" s="1700"/>
      <c r="P1018" s="1700"/>
      <c r="Q1018" s="1700"/>
      <c r="R1018" s="1700"/>
      <c r="S1018" s="1700"/>
      <c r="T1018" s="1700"/>
      <c r="U1018" s="1700"/>
      <c r="V1018" s="1700"/>
      <c r="W1018" s="1700"/>
      <c r="X1018" s="1700"/>
      <c r="Y1018" s="1700"/>
      <c r="Z1018" s="1700"/>
      <c r="AA1018" s="1700"/>
      <c r="AB1018" s="1700"/>
      <c r="AC1018" s="1700"/>
      <c r="AD1018" s="1700"/>
      <c r="AE1018" s="1701"/>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3"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3" customHeight="1">
      <c r="A1020" s="14"/>
      <c r="B1020" s="79"/>
      <c r="C1020" s="80" t="s">
        <v>223</v>
      </c>
      <c r="D1020" s="1815" t="s">
        <v>1290</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667</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3"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3" customHeight="1">
      <c r="A1022" s="14"/>
      <c r="B1022" s="81"/>
      <c r="C1022" s="84"/>
      <c r="D1022" s="1699" t="s">
        <v>1291</v>
      </c>
      <c r="E1022" s="1700"/>
      <c r="F1022" s="1700"/>
      <c r="G1022" s="1700"/>
      <c r="H1022" s="1700"/>
      <c r="I1022" s="1700"/>
      <c r="J1022" s="1700"/>
      <c r="K1022" s="1700"/>
      <c r="L1022" s="1700"/>
      <c r="M1022" s="1700"/>
      <c r="N1022" s="1700"/>
      <c r="O1022" s="1700"/>
      <c r="P1022" s="1700"/>
      <c r="Q1022" s="1700"/>
      <c r="R1022" s="1700"/>
      <c r="S1022" s="1700"/>
      <c r="T1022" s="1700"/>
      <c r="U1022" s="1700"/>
      <c r="V1022" s="1700"/>
      <c r="W1022" s="1700"/>
      <c r="X1022" s="1700"/>
      <c r="Y1022" s="1700"/>
      <c r="Z1022" s="1700"/>
      <c r="AA1022" s="1700"/>
      <c r="AB1022" s="1700"/>
      <c r="AC1022" s="1700"/>
      <c r="AD1022" s="1700"/>
      <c r="AE1022" s="1701"/>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3" customHeight="1">
      <c r="A1023" s="14"/>
      <c r="B1023" s="81"/>
      <c r="C1023" s="84"/>
      <c r="D1023" s="1699"/>
      <c r="E1023" s="1700"/>
      <c r="F1023" s="1700"/>
      <c r="G1023" s="1700"/>
      <c r="H1023" s="1700"/>
      <c r="I1023" s="1700"/>
      <c r="J1023" s="1700"/>
      <c r="K1023" s="1700"/>
      <c r="L1023" s="1700"/>
      <c r="M1023" s="1700"/>
      <c r="N1023" s="1700"/>
      <c r="O1023" s="1700"/>
      <c r="P1023" s="1700"/>
      <c r="Q1023" s="1700"/>
      <c r="R1023" s="1700"/>
      <c r="S1023" s="1700"/>
      <c r="T1023" s="1700"/>
      <c r="U1023" s="1700"/>
      <c r="V1023" s="1700"/>
      <c r="W1023" s="1700"/>
      <c r="X1023" s="1700"/>
      <c r="Y1023" s="1700"/>
      <c r="Z1023" s="1700"/>
      <c r="AA1023" s="1700"/>
      <c r="AB1023" s="1700"/>
      <c r="AC1023" s="1700"/>
      <c r="AD1023" s="1700"/>
      <c r="AE1023" s="1701"/>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824" t="s">
        <v>590</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2603</v>
      </c>
      <c r="AY1024" s="201">
        <f>IF(SUM(AY1013:AY1023)&lt;=0.2,SUM(AY1013:AY1023),0.2)</f>
        <v>0</v>
      </c>
    </row>
    <row r="1025" spans="1:57" ht="13" customHeight="1">
      <c r="A1025" s="14"/>
      <c r="B1025" s="79"/>
      <c r="C1025" s="80" t="s">
        <v>229</v>
      </c>
      <c r="D1025" s="1767" t="s">
        <v>1292</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544</v>
      </c>
      <c r="AH1025" s="1754"/>
      <c r="AI1025" s="87"/>
      <c r="AJ1025" s="1727">
        <f>ROUND(IF(AG1025="Yes",AF1027,0),0)</f>
        <v>1081929</v>
      </c>
      <c r="AK1025" s="1728"/>
      <c r="AL1025" s="1728"/>
      <c r="AM1025" s="1728"/>
      <c r="AN1025" s="1728"/>
      <c r="AO1025" s="1728"/>
      <c r="AP1025" s="1728"/>
      <c r="AQ1025" s="1729"/>
      <c r="AR1025" s="68"/>
      <c r="AS1025" s="68"/>
      <c r="AT1025" s="68"/>
      <c r="AU1025" s="68"/>
      <c r="AV1025" s="68"/>
      <c r="AW1025" s="68"/>
      <c r="AX1025" s="68"/>
      <c r="AY1025" s="68"/>
    </row>
    <row r="1026" spans="1:57" ht="13" customHeight="1">
      <c r="A1026" s="14"/>
      <c r="B1026" s="73"/>
      <c r="C1026" s="74"/>
      <c r="D1026" s="1699" t="s">
        <v>1688</v>
      </c>
      <c r="E1026" s="1700"/>
      <c r="F1026" s="1700"/>
      <c r="G1026" s="1700"/>
      <c r="H1026" s="1700"/>
      <c r="I1026" s="1700"/>
      <c r="J1026" s="1700"/>
      <c r="K1026" s="1700"/>
      <c r="L1026" s="1700"/>
      <c r="M1026" s="1700"/>
      <c r="N1026" s="1700"/>
      <c r="O1026" s="1700"/>
      <c r="P1026" s="1700"/>
      <c r="Q1026" s="1700"/>
      <c r="R1026" s="1700"/>
      <c r="S1026" s="1700"/>
      <c r="T1026" s="1700"/>
      <c r="U1026" s="1700"/>
      <c r="V1026" s="1700"/>
      <c r="W1026" s="1700"/>
      <c r="X1026" s="1700"/>
      <c r="Y1026" s="1700"/>
      <c r="Z1026" s="1700"/>
      <c r="AA1026" s="1700"/>
      <c r="AB1026" s="1700"/>
      <c r="AC1026" s="1700"/>
      <c r="AD1026" s="1700"/>
      <c r="AE1026" s="1701"/>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3" customHeight="1">
      <c r="A1027" s="14"/>
      <c r="B1027" s="73"/>
      <c r="C1027" s="74"/>
      <c r="D1027" s="1699"/>
      <c r="E1027" s="1700"/>
      <c r="F1027" s="1700"/>
      <c r="G1027" s="1700"/>
      <c r="H1027" s="1700"/>
      <c r="I1027" s="1700"/>
      <c r="J1027" s="1700"/>
      <c r="K1027" s="1700"/>
      <c r="L1027" s="1700"/>
      <c r="M1027" s="1700"/>
      <c r="N1027" s="1700"/>
      <c r="O1027" s="1700"/>
      <c r="P1027" s="1700"/>
      <c r="Q1027" s="1700"/>
      <c r="R1027" s="1700"/>
      <c r="S1027" s="1700"/>
      <c r="T1027" s="1700"/>
      <c r="U1027" s="1700"/>
      <c r="V1027" s="1700"/>
      <c r="W1027" s="1700"/>
      <c r="X1027" s="1700"/>
      <c r="Y1027" s="1700"/>
      <c r="Z1027" s="1700"/>
      <c r="AA1027" s="1700"/>
      <c r="AB1027" s="1700"/>
      <c r="AC1027" s="1700"/>
      <c r="AD1027" s="1700"/>
      <c r="AE1027" s="1701"/>
      <c r="AF1027" s="1776">
        <v>1081929</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3" customHeight="1">
      <c r="A1029" s="14"/>
      <c r="B1029" s="79"/>
      <c r="C1029" s="80" t="s">
        <v>234</v>
      </c>
      <c r="D1029" s="1736" t="s">
        <v>1293</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544</v>
      </c>
      <c r="AH1029" s="1754"/>
      <c r="AI1029" s="87"/>
      <c r="AJ1029" s="1727">
        <f>ROUND(IF(AG1029="yes",(AJ992*0.1),0),0)</f>
        <v>3465045</v>
      </c>
      <c r="AK1029" s="1728"/>
      <c r="AL1029" s="1728"/>
      <c r="AM1029" s="1728"/>
      <c r="AN1029" s="1728"/>
      <c r="AO1029" s="1728"/>
      <c r="AP1029" s="1728"/>
      <c r="AQ1029" s="1729"/>
      <c r="AR1029" s="68"/>
      <c r="AS1029" s="68"/>
      <c r="AT1029" s="68"/>
      <c r="AU1029" s="68"/>
      <c r="AV1029" s="68"/>
      <c r="AW1029" s="68"/>
      <c r="AX1029" s="68"/>
      <c r="AY1029" s="68"/>
    </row>
    <row r="1030" spans="1:57" ht="13" customHeight="1">
      <c r="A1030" s="14"/>
      <c r="B1030" s="73"/>
      <c r="C1030" s="74"/>
      <c r="D1030" s="1699" t="s">
        <v>1294</v>
      </c>
      <c r="E1030" s="1700"/>
      <c r="F1030" s="1700"/>
      <c r="G1030" s="1700"/>
      <c r="H1030" s="1700"/>
      <c r="I1030" s="1700"/>
      <c r="J1030" s="1700"/>
      <c r="K1030" s="1700"/>
      <c r="L1030" s="1700"/>
      <c r="M1030" s="1700"/>
      <c r="N1030" s="1700"/>
      <c r="O1030" s="1700"/>
      <c r="P1030" s="1700"/>
      <c r="Q1030" s="1700"/>
      <c r="R1030" s="1700"/>
      <c r="S1030" s="1700"/>
      <c r="T1030" s="1700"/>
      <c r="U1030" s="1700"/>
      <c r="V1030" s="1700"/>
      <c r="W1030" s="1700"/>
      <c r="X1030" s="1700"/>
      <c r="Y1030" s="1700"/>
      <c r="Z1030" s="1700"/>
      <c r="AA1030" s="1700"/>
      <c r="AB1030" s="1700"/>
      <c r="AC1030" s="1700"/>
      <c r="AD1030" s="1700"/>
      <c r="AE1030" s="1701"/>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3"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3" customHeight="1">
      <c r="A1032" s="14"/>
      <c r="B1032" s="73"/>
      <c r="C1032" s="339" t="s">
        <v>685</v>
      </c>
      <c r="D1032" s="1767" t="s">
        <v>1684</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667</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3" customHeight="1">
      <c r="A1033" s="14"/>
      <c r="B1033" s="73"/>
      <c r="C1033" s="74"/>
      <c r="D1033" s="1804" t="s">
        <v>1685</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3"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3"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3" customHeight="1">
      <c r="A1036" s="14"/>
      <c r="B1036" s="73"/>
      <c r="C1036" s="339" t="s">
        <v>685</v>
      </c>
      <c r="D1036" s="1736" t="s">
        <v>1686</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667</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3" customHeight="1">
      <c r="A1037" s="14"/>
      <c r="B1037" s="73"/>
      <c r="C1037" s="74"/>
      <c r="D1037" s="1804" t="s">
        <v>1687</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3"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3"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0.40277777777777779</v>
      </c>
      <c r="BB1039" s="3" t="s">
        <v>2490</v>
      </c>
    </row>
    <row r="1040" spans="1:57" ht="13"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2487</v>
      </c>
    </row>
    <row r="1041" spans="1:56" ht="13" customHeight="1">
      <c r="A1041" s="14"/>
      <c r="B1041" s="79"/>
      <c r="C1041" s="131" t="s">
        <v>1008</v>
      </c>
      <c r="D1041" s="1767" t="s">
        <v>1295</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544</v>
      </c>
      <c r="AH1041" s="1754"/>
      <c r="AI1041" s="87"/>
      <c r="AJ1041" s="1727">
        <f>ROUND(IF(AG1041="yes",(AJ992*0.1),0),0)</f>
        <v>3465045</v>
      </c>
      <c r="AK1041" s="1728"/>
      <c r="AL1041" s="1728"/>
      <c r="AM1041" s="1728"/>
      <c r="AN1041" s="1728"/>
      <c r="AO1041" s="1728"/>
      <c r="AP1041" s="1728"/>
      <c r="AQ1041" s="1729"/>
      <c r="AR1041" s="68"/>
      <c r="AS1041" s="68"/>
      <c r="AT1041" s="68"/>
      <c r="AU1041" s="68"/>
      <c r="AV1041" s="68"/>
      <c r="AW1041" s="68"/>
      <c r="AX1041" s="68"/>
      <c r="AY1041" s="68"/>
      <c r="BA1041">
        <f>Q212</f>
        <v>0</v>
      </c>
      <c r="BB1041" s="3" t="s">
        <v>2488</v>
      </c>
    </row>
    <row r="1042" spans="1:56" ht="13" customHeight="1">
      <c r="A1042" s="14"/>
      <c r="B1042" s="73"/>
      <c r="C1042" s="74"/>
      <c r="D1042" s="1699" t="s">
        <v>2142</v>
      </c>
      <c r="E1042" s="1700"/>
      <c r="F1042" s="1700"/>
      <c r="G1042" s="1700"/>
      <c r="H1042" s="1700"/>
      <c r="I1042" s="1700"/>
      <c r="J1042" s="1700"/>
      <c r="K1042" s="1700"/>
      <c r="L1042" s="1700"/>
      <c r="M1042" s="1700"/>
      <c r="N1042" s="1700"/>
      <c r="O1042" s="1700"/>
      <c r="P1042" s="1700"/>
      <c r="Q1042" s="1700"/>
      <c r="R1042" s="1700"/>
      <c r="S1042" s="1700"/>
      <c r="T1042" s="1700"/>
      <c r="U1042" s="1700"/>
      <c r="V1042" s="1700"/>
      <c r="W1042" s="1700"/>
      <c r="X1042" s="1700"/>
      <c r="Y1042" s="1700"/>
      <c r="Z1042" s="1700"/>
      <c r="AA1042" s="1700"/>
      <c r="AB1042" s="1700"/>
      <c r="AC1042" s="1700"/>
      <c r="AD1042" s="1700"/>
      <c r="AE1042" s="1701"/>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v>
      </c>
      <c r="BB1042" s="3" t="s">
        <v>2489</v>
      </c>
    </row>
    <row r="1043" spans="1:56" ht="13" customHeight="1">
      <c r="A1043" s="14"/>
      <c r="B1043" s="73"/>
      <c r="C1043" s="74"/>
      <c r="D1043" s="1699"/>
      <c r="E1043" s="1700"/>
      <c r="F1043" s="1700"/>
      <c r="G1043" s="1700"/>
      <c r="H1043" s="1700"/>
      <c r="I1043" s="1700"/>
      <c r="J1043" s="1700"/>
      <c r="K1043" s="1700"/>
      <c r="L1043" s="1700"/>
      <c r="M1043" s="1700"/>
      <c r="N1043" s="1700"/>
      <c r="O1043" s="1700"/>
      <c r="P1043" s="1700"/>
      <c r="Q1043" s="1700"/>
      <c r="R1043" s="1700"/>
      <c r="S1043" s="1700"/>
      <c r="T1043" s="1700"/>
      <c r="U1043" s="1700"/>
      <c r="V1043" s="1700"/>
      <c r="W1043" s="1700"/>
      <c r="X1043" s="1700"/>
      <c r="Y1043" s="1700"/>
      <c r="Z1043" s="1700"/>
      <c r="AA1043" s="1700"/>
      <c r="AB1043" s="1700"/>
      <c r="AC1043" s="1700"/>
      <c r="AD1043" s="1700"/>
      <c r="AE1043" s="1701"/>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3"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3" customHeight="1">
      <c r="A1045" s="14"/>
      <c r="B1045" s="79"/>
      <c r="C1045" s="131" t="s">
        <v>1682</v>
      </c>
      <c r="D1045" s="1736" t="s">
        <v>1862</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3118540.5</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3" customHeight="1">
      <c r="A1046" s="14"/>
      <c r="B1046" s="73"/>
      <c r="C1046" s="442"/>
      <c r="D1046" s="1699" t="s">
        <v>1297</v>
      </c>
      <c r="E1046" s="1700"/>
      <c r="F1046" s="1700"/>
      <c r="G1046" s="1700"/>
      <c r="H1046" s="1700"/>
      <c r="I1046" s="1700"/>
      <c r="J1046" s="1700"/>
      <c r="K1046" s="1700"/>
      <c r="L1046" s="1700"/>
      <c r="M1046" s="1700"/>
      <c r="N1046" s="1700"/>
      <c r="O1046" s="1700"/>
      <c r="P1046" s="1700"/>
      <c r="Q1046" s="1700"/>
      <c r="R1046" s="1700"/>
      <c r="S1046" s="1700"/>
      <c r="T1046" s="1700"/>
      <c r="U1046" s="1700"/>
      <c r="V1046" s="1700"/>
      <c r="W1046" s="1700"/>
      <c r="X1046" s="1700"/>
      <c r="Y1046" s="1700"/>
      <c r="Z1046" s="1700"/>
      <c r="AA1046" s="1700"/>
      <c r="AB1046" s="1700"/>
      <c r="AC1046" s="1700"/>
      <c r="AD1046" s="1700"/>
      <c r="AE1046" s="1701"/>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7194198.75</v>
      </c>
      <c r="BA1046" s="1182">
        <f>IF(BA1040,20%,15%)</f>
        <v>0.15</v>
      </c>
      <c r="BB1046" s="3" t="s">
        <v>2476</v>
      </c>
      <c r="BC1046" s="3" t="s">
        <v>2477</v>
      </c>
      <c r="BD1046" s="3"/>
    </row>
    <row r="1047" spans="1:56" ht="13" customHeight="1">
      <c r="A1047" s="14"/>
      <c r="B1047" s="73"/>
      <c r="C1047" s="442"/>
      <c r="D1047" s="1699"/>
      <c r="E1047" s="1700"/>
      <c r="F1047" s="1700"/>
      <c r="G1047" s="1700"/>
      <c r="H1047" s="1700"/>
      <c r="I1047" s="1700"/>
      <c r="J1047" s="1700"/>
      <c r="K1047" s="1700"/>
      <c r="L1047" s="1700"/>
      <c r="M1047" s="1700"/>
      <c r="N1047" s="1700"/>
      <c r="O1047" s="1700"/>
      <c r="P1047" s="1700"/>
      <c r="Q1047" s="1700"/>
      <c r="R1047" s="1700"/>
      <c r="S1047" s="1700"/>
      <c r="T1047" s="1700"/>
      <c r="U1047" s="1700"/>
      <c r="V1047" s="1700"/>
      <c r="W1047" s="1700"/>
      <c r="X1047" s="1700"/>
      <c r="Y1047" s="1700"/>
      <c r="Z1047" s="1700"/>
      <c r="AA1047" s="1700"/>
      <c r="AB1047" s="1700"/>
      <c r="AC1047" s="1700"/>
      <c r="AD1047" s="1700"/>
      <c r="AE1047" s="1701"/>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3" customHeight="1">
      <c r="A1048" s="14"/>
      <c r="B1048" s="77"/>
      <c r="C1048" s="78"/>
      <c r="D1048" s="132" t="s">
        <v>970</v>
      </c>
      <c r="E1048" s="133"/>
      <c r="F1048" s="133"/>
      <c r="G1048" s="133"/>
      <c r="H1048" s="133"/>
      <c r="I1048" s="1790">
        <f>AY1003</f>
        <v>72</v>
      </c>
      <c r="J1048" s="1791"/>
      <c r="K1048" s="7"/>
      <c r="L1048" s="133"/>
      <c r="M1048" s="133"/>
      <c r="N1048" s="133"/>
      <c r="O1048" s="133"/>
      <c r="P1048" s="133"/>
      <c r="Q1048" s="133"/>
      <c r="R1048" s="133"/>
      <c r="S1048" s="133"/>
      <c r="T1048" s="133"/>
      <c r="U1048" s="133"/>
      <c r="V1048" s="134" t="s">
        <v>971</v>
      </c>
      <c r="W1048" s="48"/>
      <c r="X1048" s="1788">
        <f>CI753</f>
        <v>7</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2476</v>
      </c>
      <c r="BC1048" s="3" t="s">
        <v>2479</v>
      </c>
      <c r="BD1048" s="3"/>
    </row>
    <row r="1049" spans="1:56" ht="13" customHeight="1">
      <c r="A1049" s="14"/>
      <c r="B1049" s="79"/>
      <c r="C1049" s="131" t="s">
        <v>1683</v>
      </c>
      <c r="D1049" s="1767" t="s">
        <v>2168</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20790270</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2476</v>
      </c>
      <c r="BC1049" s="3" t="s">
        <v>2480</v>
      </c>
      <c r="BD1049" s="3"/>
    </row>
    <row r="1050" spans="1:56" ht="13" customHeight="1">
      <c r="A1050" s="14"/>
      <c r="B1050" s="73"/>
      <c r="C1050" s="442"/>
      <c r="D1050" s="1699" t="s">
        <v>1296</v>
      </c>
      <c r="E1050" s="1700"/>
      <c r="F1050" s="1700"/>
      <c r="G1050" s="1700"/>
      <c r="H1050" s="1700"/>
      <c r="I1050" s="1700"/>
      <c r="J1050" s="1700"/>
      <c r="K1050" s="1700"/>
      <c r="L1050" s="1700"/>
      <c r="M1050" s="1700"/>
      <c r="N1050" s="1700"/>
      <c r="O1050" s="1700"/>
      <c r="P1050" s="1700"/>
      <c r="Q1050" s="1700"/>
      <c r="R1050" s="1700"/>
      <c r="S1050" s="1700"/>
      <c r="T1050" s="1700"/>
      <c r="U1050" s="1700"/>
      <c r="V1050" s="1700"/>
      <c r="W1050" s="1700"/>
      <c r="X1050" s="1700"/>
      <c r="Y1050" s="1700"/>
      <c r="Z1050" s="1700"/>
      <c r="AA1050" s="1700"/>
      <c r="AB1050" s="1700"/>
      <c r="AC1050" s="1700"/>
      <c r="AD1050" s="1700"/>
      <c r="AE1050" s="1701"/>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3" customHeight="1">
      <c r="A1051" s="14"/>
      <c r="B1051" s="73"/>
      <c r="C1051" s="83"/>
      <c r="D1051" s="1699"/>
      <c r="E1051" s="1700"/>
      <c r="F1051" s="1700"/>
      <c r="G1051" s="1700"/>
      <c r="H1051" s="1700"/>
      <c r="I1051" s="1700"/>
      <c r="J1051" s="1700"/>
      <c r="K1051" s="1700"/>
      <c r="L1051" s="1700"/>
      <c r="M1051" s="1700"/>
      <c r="N1051" s="1700"/>
      <c r="O1051" s="1700"/>
      <c r="P1051" s="1700"/>
      <c r="Q1051" s="1700"/>
      <c r="R1051" s="1700"/>
      <c r="S1051" s="1700"/>
      <c r="T1051" s="1700"/>
      <c r="U1051" s="1700"/>
      <c r="V1051" s="1700"/>
      <c r="W1051" s="1700"/>
      <c r="X1051" s="1700"/>
      <c r="Y1051" s="1700"/>
      <c r="Z1051" s="1700"/>
      <c r="AA1051" s="1700"/>
      <c r="AB1051" s="1700"/>
      <c r="AC1051" s="1700"/>
      <c r="AD1051" s="1700"/>
      <c r="AE1051" s="1701"/>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3" customHeight="1">
      <c r="A1052" s="14"/>
      <c r="B1052" s="77"/>
      <c r="C1052" s="78"/>
      <c r="D1052" s="132" t="s">
        <v>970</v>
      </c>
      <c r="E1052" s="133"/>
      <c r="F1052" s="133"/>
      <c r="G1052" s="133"/>
      <c r="H1052" s="133"/>
      <c r="I1052" s="1790">
        <f>AY1003</f>
        <v>72</v>
      </c>
      <c r="J1052" s="1791"/>
      <c r="K1052" s="14"/>
      <c r="L1052" s="133"/>
      <c r="M1052" s="133"/>
      <c r="N1052" s="133"/>
      <c r="O1052" s="133"/>
      <c r="P1052" s="133"/>
      <c r="Q1052" s="133"/>
      <c r="R1052" s="133"/>
      <c r="S1052" s="133"/>
      <c r="T1052" s="133"/>
      <c r="U1052" s="133"/>
      <c r="V1052" s="134" t="s">
        <v>972</v>
      </c>
      <c r="X1052" s="1788">
        <f>CM753</f>
        <v>22</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3" customHeight="1">
      <c r="A1053" s="14"/>
      <c r="B1053" s="102"/>
      <c r="C1053" s="103"/>
      <c r="D1053" s="1786" t="s">
        <v>512</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76966414.5</v>
      </c>
      <c r="AK1053" s="1802"/>
      <c r="AL1053" s="1802"/>
      <c r="AM1053" s="1802"/>
      <c r="AN1053" s="1802"/>
      <c r="AO1053" s="1802"/>
      <c r="AP1053" s="1802"/>
      <c r="AQ1053" s="1803"/>
      <c r="AR1053" s="68"/>
      <c r="AS1053" s="68"/>
      <c r="AT1053" s="68"/>
      <c r="AU1053" s="68"/>
      <c r="AV1053" s="68"/>
      <c r="AW1053" s="68"/>
      <c r="AX1053" s="68"/>
      <c r="AY1053" s="68"/>
      <c r="AZ1053" s="1181">
        <v>6000000</v>
      </c>
      <c r="BA1053" s="3" t="s">
        <v>2483</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3"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55155523</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7194198.75</v>
      </c>
      <c r="BB1056" s="3" t="s">
        <v>2485</v>
      </c>
      <c r="BC1056" s="3"/>
      <c r="BD1056" s="3"/>
    </row>
    <row r="1057" spans="1:54" ht="13"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0.95106678771246433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7194198</v>
      </c>
      <c r="BB1058" s="3" t="s">
        <v>2491</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4694198</v>
      </c>
      <c r="BB1059" s="3" t="s">
        <v>2492</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39" t="s">
        <v>792</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793</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794</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6" t="s">
        <v>590</v>
      </c>
      <c r="B1065" s="1416"/>
      <c r="C1065" s="1858">
        <v>1</v>
      </c>
      <c r="D1065" s="1858"/>
      <c r="E1065" s="14" t="s">
        <v>2234</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6" t="s">
        <v>590</v>
      </c>
      <c r="B1067" s="1416"/>
      <c r="C1067" s="1858">
        <v>2</v>
      </c>
      <c r="D1067" s="1858"/>
      <c r="E1067" s="1860" t="s">
        <v>2235</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3"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3"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6" t="s">
        <v>590</v>
      </c>
      <c r="B1070" s="1416"/>
      <c r="C1070" s="1405">
        <v>3</v>
      </c>
      <c r="D1070" s="1405"/>
      <c r="E1070" s="1328" t="s">
        <v>1078</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6" t="s">
        <v>590</v>
      </c>
      <c r="B1075" s="1416"/>
      <c r="C1075" s="1405">
        <v>4</v>
      </c>
      <c r="D1075" s="1405"/>
      <c r="E1075" s="1328" t="s">
        <v>1077</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6" t="s">
        <v>590</v>
      </c>
      <c r="B1081" s="1416"/>
      <c r="C1081" s="1405">
        <v>5</v>
      </c>
      <c r="D1081" s="1405"/>
      <c r="E1081" s="1328" t="s">
        <v>2239</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6" t="s">
        <v>590</v>
      </c>
      <c r="B1085" s="1416"/>
      <c r="C1085" s="1405">
        <v>6</v>
      </c>
      <c r="D1085" s="1405"/>
      <c r="E1085" s="1328" t="s">
        <v>2240</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6" t="s">
        <v>590</v>
      </c>
      <c r="B1089" s="1416"/>
      <c r="C1089" s="1405">
        <v>7</v>
      </c>
      <c r="D1089" s="1405"/>
      <c r="E1089" s="1328" t="s">
        <v>2136</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6" t="s">
        <v>590</v>
      </c>
      <c r="B1094" s="1416"/>
      <c r="C1094" s="1405">
        <v>8</v>
      </c>
      <c r="D1094" s="1405"/>
      <c r="E1094" s="1328" t="s">
        <v>1071</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6" t="s">
        <v>590</v>
      </c>
      <c r="B1097" s="1416"/>
      <c r="C1097" s="1858">
        <v>9</v>
      </c>
      <c r="D1097" s="1858"/>
      <c r="E1097" s="1328" t="s">
        <v>1073</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8"/>
      <c r="D1098" s="1858"/>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6" t="s">
        <v>590</v>
      </c>
      <c r="B1100" s="1416"/>
      <c r="C1100" s="1858">
        <v>10</v>
      </c>
      <c r="D1100" s="1858"/>
      <c r="E1100" s="1859" t="s">
        <v>2236</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3"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6" t="s">
        <v>590</v>
      </c>
      <c r="B1103" s="1416"/>
      <c r="C1103" s="1858">
        <v>11</v>
      </c>
      <c r="D1103" s="1858"/>
      <c r="E1103" s="1859" t="s">
        <v>2238</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3"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590</v>
      </c>
      <c r="B1125" s="1416"/>
      <c r="C1125" s="199">
        <v>9</v>
      </c>
      <c r="D1125" s="1260" t="s">
        <v>1072</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75" zeroHeight="1"/>
  <cols>
    <col min="1" max="1" width="35.7265625" style="187" customWidth="1"/>
    <col min="2" max="12" width="12.08984375" style="158" customWidth="1"/>
    <col min="13" max="17" width="11.26953125" style="158" customWidth="1"/>
    <col min="18" max="18" width="12.7265625" style="158" customWidth="1"/>
    <col min="19" max="20" width="12.08984375" style="158" customWidth="1"/>
    <col min="21" max="21" width="0.26953125" style="161" customWidth="1"/>
    <col min="22" max="16383" width="8.81640625" style="158" hidden="1"/>
    <col min="16384" max="16384" width="8.984375E-2" style="158" customWidth="1"/>
  </cols>
  <sheetData>
    <row r="1" spans="1:21" s="110" customFormat="1" ht="13.25">
      <c r="A1" s="168" t="s">
        <v>548</v>
      </c>
      <c r="B1" s="125"/>
      <c r="C1" s="125"/>
      <c r="D1" s="125"/>
      <c r="E1" s="126"/>
      <c r="F1" s="1867" t="s">
        <v>620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3)HCD</v>
      </c>
      <c r="I2" s="139" t="str">
        <f>Application!B630&amp;Application!C630</f>
        <v>4)Town of Mammoth Lakes - Land Loan</v>
      </c>
      <c r="J2" s="139" t="str">
        <f>Application!B631&amp;Application!C631</f>
        <v>5)Town of Mammoth Lakes - Fee Deferral Loan</v>
      </c>
      <c r="K2" s="139" t="str">
        <f>Application!B632&amp;Application!C632</f>
        <v>6)Pacific West Communities, Inc.</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580000</v>
      </c>
      <c r="C4" s="147">
        <v>580000</v>
      </c>
      <c r="D4" s="147"/>
      <c r="E4" s="147"/>
      <c r="F4" s="147"/>
      <c r="G4" s="147"/>
      <c r="H4" s="147"/>
      <c r="I4" s="147">
        <v>580000</v>
      </c>
      <c r="J4" s="147"/>
      <c r="K4" s="147"/>
      <c r="L4" s="147"/>
      <c r="M4" s="147"/>
      <c r="N4" s="147"/>
      <c r="O4" s="147"/>
      <c r="P4" s="147"/>
      <c r="Q4" s="147"/>
      <c r="R4" s="516">
        <f>SUM(E4:Q4)</f>
        <v>580000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592</v>
      </c>
      <c r="B8" s="146">
        <f>SUM(C8:D8)</f>
        <v>580000</v>
      </c>
      <c r="C8" s="146">
        <f t="shared" ref="C8:Q8" si="0">SUM(C4:C7)</f>
        <v>580000</v>
      </c>
      <c r="D8" s="146">
        <f t="shared" si="0"/>
        <v>0</v>
      </c>
      <c r="E8" s="146">
        <f t="shared" si="0"/>
        <v>0</v>
      </c>
      <c r="F8" s="146">
        <f t="shared" si="0"/>
        <v>0</v>
      </c>
      <c r="G8" s="146">
        <f t="shared" si="0"/>
        <v>0</v>
      </c>
      <c r="H8" s="146">
        <f t="shared" si="0"/>
        <v>0</v>
      </c>
      <c r="I8" s="146">
        <f t="shared" si="0"/>
        <v>580000</v>
      </c>
      <c r="J8" s="146">
        <f t="shared" si="0"/>
        <v>0</v>
      </c>
      <c r="K8" s="146">
        <f t="shared" si="0"/>
        <v>0</v>
      </c>
      <c r="L8" s="146">
        <f t="shared" si="0"/>
        <v>0</v>
      </c>
      <c r="M8" s="146">
        <f t="shared" si="0"/>
        <v>0</v>
      </c>
      <c r="N8" s="146">
        <f t="shared" si="0"/>
        <v>0</v>
      </c>
      <c r="O8" s="146">
        <f t="shared" si="0"/>
        <v>0</v>
      </c>
      <c r="P8" s="146"/>
      <c r="Q8" s="146">
        <f t="shared" si="0"/>
        <v>0</v>
      </c>
      <c r="R8" s="342">
        <f>SUM(R4:R7)</f>
        <v>580000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580000</v>
      </c>
      <c r="C12" s="146">
        <f t="shared" si="2"/>
        <v>580000</v>
      </c>
      <c r="D12" s="146">
        <f t="shared" si="2"/>
        <v>0</v>
      </c>
      <c r="E12" s="146">
        <f t="shared" si="2"/>
        <v>0</v>
      </c>
      <c r="F12" s="146">
        <f t="shared" si="2"/>
        <v>0</v>
      </c>
      <c r="G12" s="146">
        <f t="shared" si="2"/>
        <v>0</v>
      </c>
      <c r="H12" s="146">
        <f t="shared" si="2"/>
        <v>0</v>
      </c>
      <c r="I12" s="146">
        <f t="shared" si="2"/>
        <v>580000</v>
      </c>
      <c r="J12" s="146">
        <f t="shared" si="2"/>
        <v>0</v>
      </c>
      <c r="K12" s="146">
        <f t="shared" si="2"/>
        <v>0</v>
      </c>
      <c r="L12" s="146">
        <f t="shared" si="2"/>
        <v>0</v>
      </c>
      <c r="M12" s="146">
        <f t="shared" si="2"/>
        <v>0</v>
      </c>
      <c r="N12" s="146">
        <f t="shared" si="2"/>
        <v>0</v>
      </c>
      <c r="O12" s="146">
        <f t="shared" si="2"/>
        <v>0</v>
      </c>
      <c r="P12" s="146"/>
      <c r="Q12" s="146">
        <f t="shared" si="2"/>
        <v>0</v>
      </c>
      <c r="R12" s="342">
        <f>SUM(R8+R11)</f>
        <v>580000</v>
      </c>
      <c r="S12" s="148"/>
      <c r="T12" s="148"/>
      <c r="U12" s="143"/>
    </row>
    <row r="13" spans="1:21" s="144" customFormat="1">
      <c r="A13" s="287" t="s">
        <v>900</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5">
      <c r="A14" s="288" t="s">
        <v>1641</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1159</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1638</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2520000</v>
      </c>
      <c r="C29" s="147">
        <v>2520000</v>
      </c>
      <c r="D29" s="147"/>
      <c r="E29" s="147">
        <v>2520000</v>
      </c>
      <c r="F29" s="147"/>
      <c r="G29" s="147"/>
      <c r="H29" s="147"/>
      <c r="I29" s="147"/>
      <c r="J29" s="147"/>
      <c r="K29" s="147"/>
      <c r="L29" s="147"/>
      <c r="M29" s="147"/>
      <c r="N29" s="147"/>
      <c r="O29" s="147"/>
      <c r="P29" s="147"/>
      <c r="Q29" s="147"/>
      <c r="R29" s="516">
        <f t="shared" ref="R29:R37" si="7">SUM(E29:Q29)</f>
        <v>2520000</v>
      </c>
      <c r="S29" s="147">
        <f>R29</f>
        <v>2520000</v>
      </c>
      <c r="T29" s="147"/>
      <c r="U29" s="143"/>
    </row>
    <row r="30" spans="1:21" s="144" customFormat="1">
      <c r="A30" s="145" t="s">
        <v>598</v>
      </c>
      <c r="B30" s="146">
        <f t="shared" si="6"/>
        <v>31448200</v>
      </c>
      <c r="C30" s="147">
        <v>31448200</v>
      </c>
      <c r="D30" s="147"/>
      <c r="E30" s="147">
        <v>16783705</v>
      </c>
      <c r="F30" s="147">
        <v>6064495</v>
      </c>
      <c r="G30" s="147">
        <v>5000000</v>
      </c>
      <c r="H30" s="147">
        <v>3600000</v>
      </c>
      <c r="I30" s="147"/>
      <c r="J30" s="147"/>
      <c r="K30" s="147"/>
      <c r="L30" s="147"/>
      <c r="M30" s="147"/>
      <c r="N30" s="147"/>
      <c r="O30" s="147"/>
      <c r="P30" s="147"/>
      <c r="Q30" s="147"/>
      <c r="R30" s="516">
        <f t="shared" si="7"/>
        <v>31448200</v>
      </c>
      <c r="S30" s="147">
        <f>R30</f>
        <v>31448200</v>
      </c>
      <c r="T30" s="147"/>
      <c r="U30" s="143"/>
    </row>
    <row r="31" spans="1:21" s="144" customFormat="1">
      <c r="A31" s="145" t="s">
        <v>599</v>
      </c>
      <c r="B31" s="146">
        <f t="shared" si="6"/>
        <v>2038092</v>
      </c>
      <c r="C31" s="147">
        <v>2038092</v>
      </c>
      <c r="D31" s="147"/>
      <c r="E31" s="147">
        <v>2038092</v>
      </c>
      <c r="F31" s="147"/>
      <c r="G31" s="147"/>
      <c r="H31" s="147"/>
      <c r="I31" s="147"/>
      <c r="J31" s="147"/>
      <c r="K31" s="147"/>
      <c r="L31" s="147"/>
      <c r="M31" s="147"/>
      <c r="N31" s="147"/>
      <c r="O31" s="147"/>
      <c r="P31" s="147"/>
      <c r="Q31" s="147"/>
      <c r="R31" s="516">
        <f t="shared" si="7"/>
        <v>2038092</v>
      </c>
      <c r="S31" s="147">
        <f>R31</f>
        <v>2038092</v>
      </c>
      <c r="T31" s="147"/>
      <c r="U31" s="143"/>
    </row>
    <row r="32" spans="1:21" s="144" customFormat="1">
      <c r="A32" s="145" t="s">
        <v>137</v>
      </c>
      <c r="B32" s="146">
        <f t="shared" si="6"/>
        <v>720126</v>
      </c>
      <c r="C32" s="147">
        <v>720126</v>
      </c>
      <c r="D32" s="147"/>
      <c r="E32" s="147">
        <v>720126</v>
      </c>
      <c r="F32" s="147"/>
      <c r="G32" s="147"/>
      <c r="H32" s="147"/>
      <c r="I32" s="147"/>
      <c r="J32" s="147"/>
      <c r="K32" s="147"/>
      <c r="L32" s="147"/>
      <c r="M32" s="147"/>
      <c r="N32" s="147"/>
      <c r="O32" s="147"/>
      <c r="P32" s="147"/>
      <c r="Q32" s="147"/>
      <c r="R32" s="516">
        <f t="shared" si="7"/>
        <v>720126</v>
      </c>
      <c r="S32" s="147">
        <f>R32</f>
        <v>720126</v>
      </c>
      <c r="T32" s="147"/>
      <c r="U32" s="143"/>
    </row>
    <row r="33" spans="1:21" s="144" customFormat="1">
      <c r="A33" s="145" t="s">
        <v>138</v>
      </c>
      <c r="B33" s="146">
        <f t="shared" si="6"/>
        <v>2160378</v>
      </c>
      <c r="C33" s="147">
        <v>2160378</v>
      </c>
      <c r="D33" s="147"/>
      <c r="E33" s="147">
        <v>2160378</v>
      </c>
      <c r="F33" s="147"/>
      <c r="G33" s="147"/>
      <c r="H33" s="147"/>
      <c r="I33" s="147"/>
      <c r="J33" s="147"/>
      <c r="K33" s="147"/>
      <c r="L33" s="147"/>
      <c r="M33" s="147"/>
      <c r="N33" s="147"/>
      <c r="O33" s="147"/>
      <c r="P33" s="147"/>
      <c r="Q33" s="147"/>
      <c r="R33" s="516">
        <f t="shared" si="7"/>
        <v>2160378</v>
      </c>
      <c r="S33" s="147">
        <f>R33</f>
        <v>2160378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375000</v>
      </c>
      <c r="C35" s="147">
        <v>375000</v>
      </c>
      <c r="D35" s="147"/>
      <c r="E35" s="147">
        <v>375000</v>
      </c>
      <c r="F35" s="147"/>
      <c r="G35" s="147"/>
      <c r="H35" s="147"/>
      <c r="I35" s="147"/>
      <c r="J35" s="147"/>
      <c r="K35" s="147"/>
      <c r="L35" s="147"/>
      <c r="M35" s="147"/>
      <c r="N35" s="147"/>
      <c r="O35" s="147"/>
      <c r="P35" s="147"/>
      <c r="Q35" s="147"/>
      <c r="R35" s="516">
        <f t="shared" si="7"/>
        <v>375000</v>
      </c>
      <c r="S35" s="147">
        <f>R35</f>
        <v>375000</v>
      </c>
      <c r="T35" s="147"/>
      <c r="U35" s="143"/>
    </row>
    <row r="36" spans="1:21" s="144" customFormat="1">
      <c r="A36" s="283" t="s">
        <v>1638</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39261796</v>
      </c>
      <c r="C38" s="146">
        <f>SUM(C29:C37)</f>
        <v>39261796</v>
      </c>
      <c r="D38" s="146">
        <f t="shared" ref="D38:Q38" si="8">SUM(D29:D37)</f>
        <v>0</v>
      </c>
      <c r="E38" s="146">
        <f t="shared" si="8"/>
        <v>24597301</v>
      </c>
      <c r="F38" s="146">
        <f t="shared" si="8"/>
        <v>6064495</v>
      </c>
      <c r="G38" s="146">
        <f t="shared" si="8"/>
        <v>5000000</v>
      </c>
      <c r="H38" s="146">
        <f t="shared" si="8"/>
        <v>3600000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39261796</v>
      </c>
      <c r="S38" s="150">
        <f>SUM(S29:S37)</f>
        <v>39261796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500000</v>
      </c>
      <c r="C40" s="147">
        <v>500000</v>
      </c>
      <c r="D40" s="147"/>
      <c r="E40" s="147">
        <v>500000</v>
      </c>
      <c r="F40" s="147"/>
      <c r="G40" s="147"/>
      <c r="H40" s="147"/>
      <c r="I40" s="147"/>
      <c r="J40" s="147"/>
      <c r="K40" s="147"/>
      <c r="L40" s="147"/>
      <c r="M40" s="147"/>
      <c r="N40" s="147"/>
      <c r="O40" s="147"/>
      <c r="P40" s="147"/>
      <c r="Q40" s="147"/>
      <c r="R40" s="516">
        <f>SUM(E40:Q40)</f>
        <v>500000</v>
      </c>
      <c r="S40" s="147">
        <f>R40</f>
        <v>500000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16">
        <f>SUM(E41:Q41)</f>
        <v>100000</v>
      </c>
      <c r="S41" s="147">
        <f>R41</f>
        <v>100000</v>
      </c>
      <c r="T41" s="147"/>
      <c r="U41" s="143"/>
    </row>
    <row r="42" spans="1:21" s="144" customFormat="1" ht="12">
      <c r="A42" s="149" t="s">
        <v>147</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600000</v>
      </c>
      <c r="S42" s="150">
        <f t="shared" si="9"/>
        <v>600000</v>
      </c>
      <c r="T42" s="150">
        <f t="shared" si="9"/>
        <v>0</v>
      </c>
      <c r="U42" s="143"/>
    </row>
    <row r="43" spans="1:21" s="144" customFormat="1" ht="12">
      <c r="A43" s="149" t="s">
        <v>148</v>
      </c>
      <c r="B43" s="146">
        <f>SUM(C43:D43)</f>
        <v>190000</v>
      </c>
      <c r="C43" s="147">
        <v>190000</v>
      </c>
      <c r="D43" s="147"/>
      <c r="E43" s="147">
        <v>190000</v>
      </c>
      <c r="F43" s="147"/>
      <c r="G43" s="147"/>
      <c r="H43" s="147"/>
      <c r="I43" s="147"/>
      <c r="J43" s="147"/>
      <c r="K43" s="147"/>
      <c r="L43" s="147"/>
      <c r="M43" s="147"/>
      <c r="N43" s="147"/>
      <c r="O43" s="147"/>
      <c r="P43" s="147"/>
      <c r="Q43" s="147"/>
      <c r="R43" s="516">
        <f>SUM(E43:Q43)</f>
        <v>190000</v>
      </c>
      <c r="S43" s="147">
        <f>R43</f>
        <v>190000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2760000</v>
      </c>
      <c r="C45" s="147">
        <v>2760000</v>
      </c>
      <c r="D45" s="147"/>
      <c r="E45" s="147">
        <v>2760000</v>
      </c>
      <c r="F45" s="147"/>
      <c r="G45" s="147"/>
      <c r="H45" s="147"/>
      <c r="I45" s="147"/>
      <c r="J45" s="147"/>
      <c r="K45" s="147"/>
      <c r="L45" s="147"/>
      <c r="M45" s="147"/>
      <c r="N45" s="147"/>
      <c r="O45" s="147"/>
      <c r="P45" s="147"/>
      <c r="Q45" s="147"/>
      <c r="R45" s="516">
        <f t="shared" ref="R45:R53" si="11">SUM(E45:Q45)</f>
        <v>2760000</v>
      </c>
      <c r="S45" s="147">
        <f>R45</f>
        <v>2760000</v>
      </c>
      <c r="T45" s="147"/>
      <c r="U45" s="143"/>
    </row>
    <row r="46" spans="1:21" s="144" customFormat="1">
      <c r="A46" s="145" t="s">
        <v>151</v>
      </c>
      <c r="B46" s="146">
        <f t="shared" si="10"/>
        <v>360000</v>
      </c>
      <c r="C46" s="147">
        <v>360000</v>
      </c>
      <c r="D46" s="147"/>
      <c r="E46" s="147">
        <v>360000</v>
      </c>
      <c r="F46" s="147"/>
      <c r="G46" s="147"/>
      <c r="H46" s="147"/>
      <c r="I46" s="147"/>
      <c r="J46" s="147"/>
      <c r="K46" s="147"/>
      <c r="L46" s="147"/>
      <c r="M46" s="147"/>
      <c r="N46" s="147"/>
      <c r="O46" s="147"/>
      <c r="P46" s="147"/>
      <c r="Q46" s="147"/>
      <c r="R46" s="516">
        <f t="shared" si="11"/>
        <v>360000</v>
      </c>
      <c r="S46" s="147">
        <f>R46</f>
        <v>360000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16">
        <f t="shared" si="11"/>
        <v>80000</v>
      </c>
      <c r="S49" s="147">
        <f>R49</f>
        <v>80000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3"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237600</v>
      </c>
      <c r="C52" s="147">
        <v>237600</v>
      </c>
      <c r="D52" s="147"/>
      <c r="E52" s="147">
        <v>237600</v>
      </c>
      <c r="F52" s="147"/>
      <c r="G52" s="147"/>
      <c r="H52" s="147"/>
      <c r="I52" s="147"/>
      <c r="J52" s="147"/>
      <c r="K52" s="147"/>
      <c r="L52" s="147"/>
      <c r="M52" s="147"/>
      <c r="N52" s="147"/>
      <c r="O52" s="147"/>
      <c r="P52" s="147"/>
      <c r="Q52" s="147"/>
      <c r="R52" s="516">
        <f t="shared" si="11"/>
        <v>237600</v>
      </c>
      <c r="S52" s="147">
        <f>R52</f>
        <v>237600</v>
      </c>
      <c r="T52" s="147"/>
      <c r="U52" s="143"/>
    </row>
    <row r="53" spans="1:21" s="144" customFormat="1">
      <c r="A53" s="1149" t="s">
        <v>2699</v>
      </c>
      <c r="B53" s="146">
        <f t="shared" si="10"/>
        <v>100000</v>
      </c>
      <c r="C53" s="147">
        <v>100000</v>
      </c>
      <c r="D53" s="147"/>
      <c r="E53" s="147">
        <v>100000</v>
      </c>
      <c r="F53" s="147"/>
      <c r="G53" s="147"/>
      <c r="H53" s="147"/>
      <c r="I53" s="147"/>
      <c r="J53" s="147"/>
      <c r="K53" s="147"/>
      <c r="L53" s="147"/>
      <c r="M53" s="147"/>
      <c r="N53" s="147"/>
      <c r="O53" s="147"/>
      <c r="P53" s="147"/>
      <c r="Q53" s="147"/>
      <c r="R53" s="516">
        <f t="shared" si="11"/>
        <v>100000</v>
      </c>
      <c r="S53" s="147">
        <f>R53</f>
        <v>100000</v>
      </c>
      <c r="T53" s="147"/>
      <c r="U53" s="143"/>
    </row>
    <row r="54" spans="1:21" s="153" customFormat="1" ht="12">
      <c r="A54" s="149" t="s">
        <v>157</v>
      </c>
      <c r="B54" s="150">
        <f>SUM(C54:D54)</f>
        <v>3717600</v>
      </c>
      <c r="C54" s="150">
        <f t="shared" ref="C54:T54" si="12">SUM(C45:C53)</f>
        <v>3717600</v>
      </c>
      <c r="D54" s="150">
        <f t="shared" si="12"/>
        <v>0</v>
      </c>
      <c r="E54" s="150">
        <f t="shared" si="12"/>
        <v>3717600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3717600</v>
      </c>
      <c r="S54" s="150">
        <f t="shared" si="12"/>
        <v>3717600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64000</v>
      </c>
      <c r="C56" s="147">
        <v>64000</v>
      </c>
      <c r="D56" s="147"/>
      <c r="E56" s="147"/>
      <c r="F56" s="147">
        <v>64000</v>
      </c>
      <c r="G56" s="147"/>
      <c r="H56" s="147"/>
      <c r="I56" s="147"/>
      <c r="J56" s="147"/>
      <c r="K56" s="147"/>
      <c r="L56" s="147"/>
      <c r="M56" s="147"/>
      <c r="N56" s="147"/>
      <c r="O56" s="147"/>
      <c r="P56" s="147"/>
      <c r="Q56" s="147"/>
      <c r="R56" s="516">
        <f t="shared" ref="R56:R61" si="14">SUM(E56:Q56)</f>
        <v>64000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301</v>
      </c>
      <c r="B62" s="146">
        <f>SUM(C62:D62)</f>
        <v>114000</v>
      </c>
      <c r="C62" s="146">
        <f t="shared" ref="C62:R62" si="15">SUM(C56:C61)</f>
        <v>114000</v>
      </c>
      <c r="D62" s="146">
        <f t="shared" si="15"/>
        <v>0</v>
      </c>
      <c r="E62" s="146">
        <f t="shared" si="15"/>
        <v>0</v>
      </c>
      <c r="F62" s="146">
        <f t="shared" si="15"/>
        <v>114000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114000</v>
      </c>
      <c r="S62" s="148"/>
      <c r="T62" s="148"/>
      <c r="U62" s="143"/>
    </row>
    <row r="63" spans="1:21" s="144" customFormat="1">
      <c r="A63" s="154" t="s">
        <v>302</v>
      </c>
      <c r="B63" s="146">
        <f t="shared" ref="B63:R63" si="16">SUM(B8+B11+B13+B14+B15+B26+B27+B38+B42+B43+B54+B62)</f>
        <v>44463396</v>
      </c>
      <c r="C63" s="146">
        <f t="shared" si="16"/>
        <v>44463396</v>
      </c>
      <c r="D63" s="146">
        <f t="shared" si="16"/>
        <v>0</v>
      </c>
      <c r="E63" s="146">
        <f t="shared" si="16"/>
        <v>29104901</v>
      </c>
      <c r="F63" s="146">
        <f t="shared" si="16"/>
        <v>6178495</v>
      </c>
      <c r="G63" s="146">
        <f t="shared" si="16"/>
        <v>5000000</v>
      </c>
      <c r="H63" s="146">
        <f t="shared" si="16"/>
        <v>3600000</v>
      </c>
      <c r="I63" s="146">
        <f t="shared" si="16"/>
        <v>580000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44463396</v>
      </c>
      <c r="S63" s="146">
        <f>SUM(S10+S13+S14+S15+S26+S27+S38+S42+S43+S54)</f>
        <v>43769396</v>
      </c>
      <c r="T63" s="146">
        <f>SUM(T11+T13+T14+T15+T26+T27+T38+T42+T43+T54)</f>
        <v>0</v>
      </c>
      <c r="U63" s="143"/>
    </row>
    <row r="64" spans="1:21" s="144" customFormat="1" ht="23.5">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1639</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1640</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1646</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2700</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ht="12">
      <c r="A70" s="149" t="s">
        <v>1643</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180000</v>
      </c>
      <c r="S70" s="150">
        <f t="shared" si="17"/>
        <v>100000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984</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221505</v>
      </c>
      <c r="C75" s="147">
        <v>221505</v>
      </c>
      <c r="D75" s="147"/>
      <c r="E75" s="147"/>
      <c r="F75" s="147">
        <v>221505</v>
      </c>
      <c r="G75" s="147"/>
      <c r="H75" s="147"/>
      <c r="I75" s="147"/>
      <c r="J75" s="147"/>
      <c r="K75" s="147"/>
      <c r="L75" s="147"/>
      <c r="M75" s="147"/>
      <c r="N75" s="147"/>
      <c r="O75" s="147"/>
      <c r="P75" s="147"/>
      <c r="Q75" s="147"/>
      <c r="R75" s="516">
        <f>SUM(E75:Q75)</f>
        <v>221505</v>
      </c>
      <c r="S75" s="148"/>
      <c r="T75" s="148"/>
      <c r="U75" s="143"/>
    </row>
    <row r="76" spans="1:21" s="144" customFormat="1">
      <c r="A76" s="1149" t="s">
        <v>2701</v>
      </c>
      <c r="B76" s="146">
        <f>SUM(C76+D76)</f>
        <v>150000</v>
      </c>
      <c r="C76" s="147">
        <v>150000</v>
      </c>
      <c r="D76" s="147"/>
      <c r="E76" s="147">
        <v>150000</v>
      </c>
      <c r="F76" s="147"/>
      <c r="G76" s="147"/>
      <c r="H76" s="147"/>
      <c r="I76" s="147"/>
      <c r="J76" s="147"/>
      <c r="K76" s="147"/>
      <c r="L76" s="147"/>
      <c r="M76" s="147"/>
      <c r="N76" s="147"/>
      <c r="O76" s="147"/>
      <c r="P76" s="147"/>
      <c r="Q76" s="147"/>
      <c r="R76" s="516">
        <f>SUM(E76:Q76)</f>
        <v>150000</v>
      </c>
      <c r="S76" s="148"/>
      <c r="T76" s="148"/>
      <c r="U76" s="143"/>
    </row>
    <row r="77" spans="1:21" s="144" customFormat="1" ht="12">
      <c r="A77" s="149" t="s">
        <v>605</v>
      </c>
      <c r="B77" s="146">
        <f>SUM(C77:D77)</f>
        <v>371505</v>
      </c>
      <c r="C77" s="146">
        <f>SUM(C72:C76)</f>
        <v>371505</v>
      </c>
      <c r="D77" s="146">
        <f>SUM(D72:D76)</f>
        <v>0</v>
      </c>
      <c r="E77" s="146">
        <f t="shared" ref="E77:Q77" si="18">SUM(E72:E76)</f>
        <v>150000</v>
      </c>
      <c r="F77" s="146">
        <f t="shared" si="18"/>
        <v>221505</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371505</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1210</v>
      </c>
      <c r="B79" s="146">
        <f>SUM(C79:D79)</f>
        <v>1950000</v>
      </c>
      <c r="C79" s="147">
        <v>1950000</v>
      </c>
      <c r="D79" s="147"/>
      <c r="E79" s="147">
        <v>1950000</v>
      </c>
      <c r="F79" s="147"/>
      <c r="G79" s="147"/>
      <c r="H79" s="147"/>
      <c r="I79" s="147"/>
      <c r="J79" s="147"/>
      <c r="K79" s="147"/>
      <c r="L79" s="147"/>
      <c r="M79" s="147"/>
      <c r="N79" s="147"/>
      <c r="O79" s="147"/>
      <c r="P79" s="147"/>
      <c r="Q79" s="147"/>
      <c r="R79" s="516">
        <f>SUM(E79:Q79)</f>
        <v>1950000</v>
      </c>
      <c r="S79" s="147">
        <f>R79</f>
        <v>1950000</v>
      </c>
      <c r="T79" s="147"/>
      <c r="U79" s="143"/>
    </row>
    <row r="80" spans="1:21" s="144" customFormat="1">
      <c r="A80" s="283" t="s">
        <v>58</v>
      </c>
      <c r="B80" s="146">
        <f>SUM(C80:D80)</f>
        <v>500000</v>
      </c>
      <c r="C80" s="147">
        <v>500000</v>
      </c>
      <c r="D80" s="147"/>
      <c r="E80" s="147">
        <v>500000</v>
      </c>
      <c r="F80" s="147"/>
      <c r="G80" s="147"/>
      <c r="H80" s="147"/>
      <c r="I80" s="147"/>
      <c r="J80" s="147"/>
      <c r="K80" s="147"/>
      <c r="L80" s="147"/>
      <c r="M80" s="147"/>
      <c r="N80" s="147"/>
      <c r="O80" s="147"/>
      <c r="P80" s="147"/>
      <c r="Q80" s="147"/>
      <c r="R80" s="516">
        <f>SUM(E80:Q80)</f>
        <v>500000</v>
      </c>
      <c r="S80" s="147">
        <f>R80</f>
        <v>500000</v>
      </c>
      <c r="T80" s="147"/>
      <c r="U80" s="143"/>
    </row>
    <row r="81" spans="1:21" s="144" customFormat="1" ht="12">
      <c r="A81" s="149" t="s">
        <v>1207</v>
      </c>
      <c r="B81" s="146">
        <f>SUM(C81:D81)</f>
        <v>2450000</v>
      </c>
      <c r="C81" s="509">
        <f>SUM(C79:C80)</f>
        <v>2450000</v>
      </c>
      <c r="D81" s="509">
        <f t="shared" ref="D81:T81" si="19">SUM(D79:D80)</f>
        <v>0</v>
      </c>
      <c r="E81" s="509">
        <f t="shared" si="19"/>
        <v>2450000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2450000</v>
      </c>
      <c r="S81" s="509">
        <f t="shared" si="19"/>
        <v>2450000</v>
      </c>
      <c r="T81" s="509">
        <f t="shared" si="19"/>
        <v>0</v>
      </c>
      <c r="U81" s="143"/>
    </row>
    <row r="82" spans="1:21" s="144" customFormat="1">
      <c r="A82" s="141" t="s">
        <v>763</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2092</v>
      </c>
      <c r="B83" s="146">
        <f t="shared" ref="B83:B95" si="20">SUM(C83+D83)</f>
        <v>60201</v>
      </c>
      <c r="C83" s="147">
        <v>60201</v>
      </c>
      <c r="D83" s="147"/>
      <c r="E83" s="147">
        <v>60201</v>
      </c>
      <c r="F83" s="147"/>
      <c r="G83" s="147"/>
      <c r="H83" s="147"/>
      <c r="I83" s="147"/>
      <c r="J83" s="147"/>
      <c r="K83" s="147"/>
      <c r="L83" s="147"/>
      <c r="M83" s="147"/>
      <c r="N83" s="147"/>
      <c r="O83" s="147"/>
      <c r="P83" s="147"/>
      <c r="Q83" s="147"/>
      <c r="R83" s="516">
        <f t="shared" ref="R83:R95" si="21">SUM(E83:Q83)</f>
        <v>60201</v>
      </c>
      <c r="S83" s="148"/>
      <c r="T83" s="148"/>
      <c r="U83" s="143"/>
    </row>
    <row r="84" spans="1:21" s="144" customFormat="1">
      <c r="A84" s="145" t="s">
        <v>765</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766</v>
      </c>
      <c r="B85" s="146">
        <f t="shared" si="20"/>
        <v>1081929</v>
      </c>
      <c r="C85" s="147">
        <v>1081929</v>
      </c>
      <c r="D85" s="147"/>
      <c r="E85" s="147">
        <v>851378</v>
      </c>
      <c r="F85" s="147"/>
      <c r="G85" s="147"/>
      <c r="H85" s="147"/>
      <c r="I85" s="147"/>
      <c r="J85" s="147">
        <v>230551</v>
      </c>
      <c r="K85" s="147"/>
      <c r="L85" s="147"/>
      <c r="M85" s="147"/>
      <c r="N85" s="147"/>
      <c r="O85" s="147"/>
      <c r="P85" s="147"/>
      <c r="Q85" s="147"/>
      <c r="R85" s="516">
        <f t="shared" si="21"/>
        <v>1081929</v>
      </c>
      <c r="S85" s="147">
        <f>R85</f>
        <v>1081929</v>
      </c>
      <c r="T85" s="147"/>
      <c r="U85" s="143"/>
    </row>
    <row r="86" spans="1:21" s="144" customFormat="1">
      <c r="A86" s="145" t="s">
        <v>767</v>
      </c>
      <c r="B86" s="146">
        <f t="shared" si="20"/>
        <v>470000</v>
      </c>
      <c r="C86" s="147">
        <v>470000</v>
      </c>
      <c r="D86" s="147"/>
      <c r="E86" s="147">
        <v>470000</v>
      </c>
      <c r="F86" s="147"/>
      <c r="G86" s="147"/>
      <c r="H86" s="147"/>
      <c r="I86" s="147"/>
      <c r="J86" s="147"/>
      <c r="K86" s="147"/>
      <c r="L86" s="147"/>
      <c r="M86" s="147"/>
      <c r="N86" s="147"/>
      <c r="O86" s="147"/>
      <c r="P86" s="147"/>
      <c r="Q86" s="147"/>
      <c r="R86" s="516">
        <f t="shared" si="21"/>
        <v>470000</v>
      </c>
      <c r="S86" s="147">
        <f>R86</f>
        <v>470000</v>
      </c>
      <c r="T86" s="147"/>
      <c r="U86" s="143"/>
    </row>
    <row r="87" spans="1:21" s="144" customFormat="1">
      <c r="A87" s="145" t="s">
        <v>768</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769</v>
      </c>
      <c r="B88" s="146">
        <f t="shared" si="20"/>
        <v>59045</v>
      </c>
      <c r="C88" s="147">
        <v>59045</v>
      </c>
      <c r="D88" s="147"/>
      <c r="E88" s="147">
        <v>59045</v>
      </c>
      <c r="F88" s="147"/>
      <c r="G88" s="147"/>
      <c r="H88" s="147"/>
      <c r="I88" s="147"/>
      <c r="J88" s="147"/>
      <c r="K88" s="147"/>
      <c r="L88" s="147"/>
      <c r="M88" s="147"/>
      <c r="N88" s="147"/>
      <c r="O88" s="147"/>
      <c r="P88" s="147"/>
      <c r="Q88" s="147"/>
      <c r="R88" s="516">
        <f t="shared" si="21"/>
        <v>59045</v>
      </c>
      <c r="S88" s="148"/>
      <c r="T88" s="148"/>
      <c r="U88" s="143"/>
    </row>
    <row r="89" spans="1:21" s="144" customFormat="1">
      <c r="A89" s="145" t="s">
        <v>770</v>
      </c>
      <c r="B89" s="146">
        <f t="shared" si="20"/>
        <v>40000</v>
      </c>
      <c r="C89" s="147">
        <v>40000</v>
      </c>
      <c r="D89" s="147"/>
      <c r="E89" s="147">
        <v>40000</v>
      </c>
      <c r="F89" s="147"/>
      <c r="G89" s="147"/>
      <c r="H89" s="147"/>
      <c r="I89" s="147"/>
      <c r="J89" s="147"/>
      <c r="K89" s="147"/>
      <c r="L89" s="147"/>
      <c r="M89" s="147"/>
      <c r="N89" s="147"/>
      <c r="O89" s="147"/>
      <c r="P89" s="147"/>
      <c r="Q89" s="147"/>
      <c r="R89" s="516">
        <f t="shared" si="21"/>
        <v>40000</v>
      </c>
      <c r="S89" s="147">
        <f>R89</f>
        <v>40000</v>
      </c>
      <c r="T89" s="147"/>
      <c r="U89" s="143"/>
    </row>
    <row r="90" spans="1:21" s="144" customFormat="1">
      <c r="A90" s="145" t="s">
        <v>771</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16">
        <f t="shared" si="21"/>
        <v>15000</v>
      </c>
      <c r="S91" s="147">
        <f>R91</f>
        <v>15000</v>
      </c>
      <c r="T91" s="147"/>
      <c r="U91" s="143"/>
    </row>
    <row r="92" spans="1:21" s="144" customFormat="1">
      <c r="A92" s="283" t="s">
        <v>1209</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f>R92</f>
        <v>15000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772</v>
      </c>
      <c r="B96" s="146">
        <f>SUM(C96:D96)</f>
        <v>1761175</v>
      </c>
      <c r="C96" s="146">
        <f t="shared" ref="C96:R96" si="22">SUM(C83:C95)</f>
        <v>1761175</v>
      </c>
      <c r="D96" s="146">
        <f t="shared" si="22"/>
        <v>0</v>
      </c>
      <c r="E96" s="146">
        <f t="shared" si="22"/>
        <v>1530624</v>
      </c>
      <c r="F96" s="146">
        <f t="shared" si="22"/>
        <v>0</v>
      </c>
      <c r="G96" s="146">
        <f t="shared" si="22"/>
        <v>0</v>
      </c>
      <c r="H96" s="146">
        <f t="shared" si="22"/>
        <v>0</v>
      </c>
      <c r="I96" s="146">
        <f t="shared" si="22"/>
        <v>0</v>
      </c>
      <c r="J96" s="146">
        <f t="shared" si="22"/>
        <v>230551</v>
      </c>
      <c r="K96" s="146">
        <f t="shared" si="22"/>
        <v>0</v>
      </c>
      <c r="L96" s="146">
        <f t="shared" si="22"/>
        <v>0</v>
      </c>
      <c r="M96" s="146">
        <f t="shared" si="22"/>
        <v>0</v>
      </c>
      <c r="N96" s="146">
        <f t="shared" si="22"/>
        <v>0</v>
      </c>
      <c r="O96" s="146">
        <f t="shared" si="22"/>
        <v>0</v>
      </c>
      <c r="P96" s="146">
        <f t="shared" si="22"/>
        <v>0</v>
      </c>
      <c r="Q96" s="146">
        <f t="shared" si="22"/>
        <v>0</v>
      </c>
      <c r="R96" s="342">
        <f t="shared" si="22"/>
        <v>1761175</v>
      </c>
      <c r="S96" s="150">
        <f>SUM(S84:S87,S89:S95)</f>
        <v>1641929</v>
      </c>
      <c r="T96" s="146">
        <f>SUM(T84:T87,T89:T95)</f>
        <v>0</v>
      </c>
      <c r="U96" s="143"/>
    </row>
    <row r="97" spans="1:21" s="144" customFormat="1" ht="12">
      <c r="A97" s="149" t="s">
        <v>773</v>
      </c>
      <c r="B97" s="146">
        <f>SUM(C97:D97)</f>
        <v>49226076</v>
      </c>
      <c r="C97" s="146">
        <f t="shared" ref="C97:R97" si="23">SUM(C63+C70+C77+C81+C96)</f>
        <v>49226076</v>
      </c>
      <c r="D97" s="146">
        <f t="shared" si="23"/>
        <v>0</v>
      </c>
      <c r="E97" s="146">
        <f t="shared" si="23"/>
        <v>33415525</v>
      </c>
      <c r="F97" s="146">
        <f t="shared" si="23"/>
        <v>6400000</v>
      </c>
      <c r="G97" s="146">
        <f t="shared" si="23"/>
        <v>5000000</v>
      </c>
      <c r="H97" s="146">
        <f t="shared" si="23"/>
        <v>3600000</v>
      </c>
      <c r="I97" s="146">
        <f t="shared" si="23"/>
        <v>580000</v>
      </c>
      <c r="J97" s="146">
        <f t="shared" si="23"/>
        <v>230551</v>
      </c>
      <c r="K97" s="146">
        <f t="shared" si="23"/>
        <v>0</v>
      </c>
      <c r="L97" s="146">
        <f t="shared" si="23"/>
        <v>0</v>
      </c>
      <c r="M97" s="146">
        <f t="shared" si="23"/>
        <v>0</v>
      </c>
      <c r="N97" s="146">
        <f t="shared" si="23"/>
        <v>0</v>
      </c>
      <c r="O97" s="146">
        <f t="shared" si="23"/>
        <v>0</v>
      </c>
      <c r="P97" s="146">
        <f t="shared" si="23"/>
        <v>0</v>
      </c>
      <c r="Q97" s="146">
        <f t="shared" si="23"/>
        <v>0</v>
      </c>
      <c r="R97" s="146">
        <f t="shared" si="23"/>
        <v>49226076</v>
      </c>
      <c r="S97" s="146">
        <f>SUM(S63+S70+S81+S96)</f>
        <v>47961325</v>
      </c>
      <c r="T97" s="146">
        <f>SUM(T63+T70+T81+T96)</f>
        <v>0</v>
      </c>
      <c r="U97" s="143"/>
    </row>
    <row r="98" spans="1:21" s="144" customFormat="1">
      <c r="A98" s="141" t="s">
        <v>774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775</v>
      </c>
      <c r="B99" s="146">
        <f>SUM(C99+D99)</f>
        <v>7194198</v>
      </c>
      <c r="C99" s="979">
        <v>7194198</v>
      </c>
      <c r="D99" s="979"/>
      <c r="E99" s="979">
        <v>2483198</v>
      </c>
      <c r="F99" s="147"/>
      <c r="G99" s="147"/>
      <c r="H99" s="147"/>
      <c r="I99" s="147"/>
      <c r="J99" s="147"/>
      <c r="K99" s="147">
        <v>4711000</v>
      </c>
      <c r="L99" s="147"/>
      <c r="M99" s="147"/>
      <c r="N99" s="147"/>
      <c r="O99" s="147"/>
      <c r="P99" s="147"/>
      <c r="Q99" s="147"/>
      <c r="R99" s="516">
        <f>SUM(E99:Q99)</f>
        <v>7194198</v>
      </c>
      <c r="S99" s="147">
        <f>R99</f>
        <v>7194198</v>
      </c>
      <c r="T99" s="147"/>
      <c r="U99" s="143"/>
    </row>
    <row r="100" spans="1:21" s="144" customFormat="1">
      <c r="A100" s="283" t="s">
        <v>1644</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776</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1645</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777</v>
      </c>
      <c r="B104" s="146">
        <f>SUM(C104:D104)</f>
        <v>7194198</v>
      </c>
      <c r="C104" s="146">
        <f>SUM(C99:C103)</f>
        <v>7194198</v>
      </c>
      <c r="D104" s="146">
        <f t="shared" ref="D104:T104" si="24">SUM(D99:D103)</f>
        <v>0</v>
      </c>
      <c r="E104" s="146">
        <f t="shared" si="24"/>
        <v>2483198</v>
      </c>
      <c r="F104" s="146">
        <f t="shared" si="24"/>
        <v>0</v>
      </c>
      <c r="G104" s="146">
        <f t="shared" si="24"/>
        <v>0</v>
      </c>
      <c r="H104" s="146">
        <f t="shared" si="24"/>
        <v>0</v>
      </c>
      <c r="I104" s="146">
        <f t="shared" si="24"/>
        <v>0</v>
      </c>
      <c r="J104" s="146">
        <f t="shared" si="24"/>
        <v>0</v>
      </c>
      <c r="K104" s="146">
        <f t="shared" si="24"/>
        <v>4711000</v>
      </c>
      <c r="L104" s="146">
        <f t="shared" si="24"/>
        <v>0</v>
      </c>
      <c r="M104" s="146">
        <f t="shared" si="24"/>
        <v>0</v>
      </c>
      <c r="N104" s="146">
        <f t="shared" si="24"/>
        <v>0</v>
      </c>
      <c r="O104" s="146">
        <f t="shared" si="24"/>
        <v>0</v>
      </c>
      <c r="P104" s="146">
        <f t="shared" si="24"/>
        <v>0</v>
      </c>
      <c r="Q104" s="146">
        <f t="shared" si="24"/>
        <v>0</v>
      </c>
      <c r="R104" s="342">
        <f t="shared" si="24"/>
        <v>7194198</v>
      </c>
      <c r="S104" s="150">
        <f t="shared" si="24"/>
        <v>7194198</v>
      </c>
      <c r="T104" s="150">
        <f t="shared" si="24"/>
        <v>0</v>
      </c>
      <c r="U104" s="143"/>
    </row>
    <row r="105" spans="1:21" s="144" customFormat="1" ht="12">
      <c r="A105" s="149" t="s">
        <v>778</v>
      </c>
      <c r="B105" s="150">
        <f>SUM(C105:D105)</f>
        <v>56420274</v>
      </c>
      <c r="C105" s="150">
        <f t="shared" ref="C105:R105" si="25">SUM(C97+C104)</f>
        <v>56420274</v>
      </c>
      <c r="D105" s="150">
        <f t="shared" si="25"/>
        <v>0</v>
      </c>
      <c r="E105" s="150">
        <f t="shared" si="25"/>
        <v>35898723</v>
      </c>
      <c r="F105" s="150">
        <f t="shared" si="25"/>
        <v>6400000</v>
      </c>
      <c r="G105" s="150">
        <f t="shared" si="25"/>
        <v>5000000</v>
      </c>
      <c r="H105" s="150">
        <f t="shared" si="25"/>
        <v>3600000</v>
      </c>
      <c r="I105" s="150">
        <f t="shared" si="25"/>
        <v>580000</v>
      </c>
      <c r="J105" s="150">
        <f t="shared" si="25"/>
        <v>230551</v>
      </c>
      <c r="K105" s="150">
        <f t="shared" si="25"/>
        <v>4711000</v>
      </c>
      <c r="L105" s="150">
        <f t="shared" si="25"/>
        <v>0</v>
      </c>
      <c r="M105" s="150">
        <f t="shared" si="25"/>
        <v>0</v>
      </c>
      <c r="N105" s="150">
        <f t="shared" si="25"/>
        <v>0</v>
      </c>
      <c r="O105" s="150">
        <f t="shared" si="25"/>
        <v>0</v>
      </c>
      <c r="P105" s="150">
        <f t="shared" si="25"/>
        <v>0</v>
      </c>
      <c r="Q105" s="150">
        <f t="shared" si="25"/>
        <v>0</v>
      </c>
      <c r="R105" s="342">
        <f t="shared" si="25"/>
        <v>56420274</v>
      </c>
      <c r="S105" s="150">
        <f>S97+S104</f>
        <v>55155523</v>
      </c>
      <c r="T105" s="150">
        <f>T97+T104</f>
        <v>0</v>
      </c>
      <c r="U105" s="143"/>
    </row>
    <row r="106" spans="1:21" ht="12">
      <c r="A106" s="514" t="s">
        <v>1018</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55155523</v>
      </c>
      <c r="T107" s="150">
        <f>T105+T106</f>
        <v>0</v>
      </c>
    </row>
    <row r="108" spans="1:21" s="189" customFormat="1" ht="12">
      <c r="A108" s="162" t="s">
        <v>877</v>
      </c>
      <c r="B108" s="157"/>
      <c r="C108" s="157"/>
      <c r="D108" s="157"/>
      <c r="E108" s="301">
        <f>Application!AO640</f>
        <v>35898723</v>
      </c>
      <c r="F108" s="301">
        <f>Application!AO627</f>
        <v>6400000</v>
      </c>
      <c r="G108" s="301">
        <f>Application!AO628</f>
        <v>5000000</v>
      </c>
      <c r="H108" s="301">
        <f>Application!AO629</f>
        <v>3600000</v>
      </c>
      <c r="I108" s="301">
        <f>Application!AO630</f>
        <v>580000</v>
      </c>
      <c r="J108" s="301">
        <f>Application!AO631</f>
        <v>230551</v>
      </c>
      <c r="K108" s="301">
        <f>Application!AO632</f>
        <v>4711000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ht="12">
      <c r="A110" s="162" t="s">
        <v>956</v>
      </c>
      <c r="B110" s="157"/>
      <c r="C110" s="157"/>
      <c r="D110" s="157"/>
    </row>
    <row r="111" spans="1:21" ht="12">
      <c r="A111" s="156" t="s">
        <v>957</v>
      </c>
      <c r="B111" s="157"/>
      <c r="C111" s="157"/>
      <c r="D111" s="157"/>
    </row>
    <row r="112" spans="1:21" ht="12" customHeight="1">
      <c r="A112" s="312"/>
      <c r="B112" s="157"/>
      <c r="C112" s="157"/>
      <c r="D112" s="157"/>
    </row>
    <row r="113" spans="1:21" ht="12">
      <c r="A113" s="156" t="s">
        <v>1017</v>
      </c>
      <c r="B113" s="157"/>
      <c r="C113" s="157"/>
      <c r="D113" s="157"/>
    </row>
    <row r="114" spans="1:21" ht="12">
      <c r="A114" s="156" t="s">
        <v>2093</v>
      </c>
      <c r="B114" s="157"/>
      <c r="C114" s="157"/>
      <c r="D114" s="157"/>
    </row>
    <row r="115" spans="1:21" ht="12" customHeight="1">
      <c r="A115" s="312"/>
      <c r="B115" s="157"/>
      <c r="C115" s="157"/>
      <c r="D115" s="157"/>
    </row>
    <row r="116" spans="1:21" ht="12">
      <c r="A116" s="345" t="s">
        <v>1020</v>
      </c>
      <c r="B116" s="157"/>
      <c r="C116" s="157"/>
      <c r="D116" s="157"/>
    </row>
    <row r="117" spans="1:21" ht="12">
      <c r="A117" s="345" t="s">
        <v>1221</v>
      </c>
      <c r="B117" s="157"/>
      <c r="C117" s="157"/>
      <c r="D117" s="157"/>
    </row>
    <row r="118" spans="1:21" ht="12">
      <c r="A118" s="345" t="s">
        <v>1019</v>
      </c>
      <c r="B118" s="157"/>
      <c r="C118" s="157"/>
      <c r="D118" s="157"/>
    </row>
    <row r="119" spans="1:21" ht="12">
      <c r="A119" s="345" t="s">
        <v>1021</v>
      </c>
      <c r="B119" s="157"/>
      <c r="C119" s="157"/>
      <c r="D119" s="157"/>
    </row>
    <row r="120" spans="1:21" ht="12" customHeight="1">
      <c r="A120" s="344"/>
      <c r="B120" s="157"/>
      <c r="C120" s="157"/>
      <c r="D120" s="157"/>
    </row>
    <row r="121" spans="1:21" ht="15.5">
      <c r="A121" s="338" t="s">
        <v>1003</v>
      </c>
      <c r="B121" s="157"/>
      <c r="C121" s="157"/>
      <c r="D121" s="157"/>
    </row>
    <row r="122" spans="1:21">
      <c r="A122" s="325" t="s">
        <v>987</v>
      </c>
      <c r="B122" s="324"/>
      <c r="C122" s="324"/>
      <c r="D122" s="1871" t="s">
        <v>988</v>
      </c>
      <c r="E122" s="1871"/>
      <c r="F122" s="1871"/>
      <c r="G122" s="324"/>
      <c r="H122" s="324"/>
      <c r="I122" s="324"/>
      <c r="J122" s="324"/>
      <c r="K122" s="324"/>
      <c r="L122" s="324"/>
      <c r="M122" s="324"/>
      <c r="N122" s="324"/>
      <c r="O122" s="324"/>
      <c r="P122" s="324"/>
      <c r="Q122" s="324"/>
      <c r="R122" s="324"/>
      <c r="S122" s="324"/>
      <c r="T122" s="324"/>
      <c r="U122" s="326"/>
    </row>
    <row r="123" spans="1:21">
      <c r="A123" s="324" t="s">
        <v>989</v>
      </c>
      <c r="B123" s="333"/>
      <c r="C123" s="324"/>
      <c r="D123" s="1863" t="s">
        <v>1222</v>
      </c>
      <c r="E123" s="1557"/>
      <c r="F123" s="1557"/>
      <c r="G123" s="1557"/>
      <c r="H123" s="1557"/>
      <c r="I123" s="1557"/>
      <c r="J123" s="1557"/>
      <c r="K123" s="1557"/>
      <c r="L123" s="1557"/>
      <c r="M123" s="1557"/>
      <c r="N123" s="1557"/>
      <c r="O123" s="1557"/>
      <c r="P123" s="1557"/>
      <c r="Q123" s="1557"/>
      <c r="R123" s="1557"/>
      <c r="S123" s="1557"/>
      <c r="T123" s="324"/>
      <c r="U123" s="326"/>
    </row>
    <row r="124" spans="1:21" ht="13">
      <c r="A124" s="117" t="s">
        <v>990</v>
      </c>
      <c r="B124" s="333"/>
      <c r="C124" s="117"/>
      <c r="D124" s="1557"/>
      <c r="E124" s="1557"/>
      <c r="F124" s="1557"/>
      <c r="G124" s="1557"/>
      <c r="H124" s="1557"/>
      <c r="I124" s="1557"/>
      <c r="J124" s="1557"/>
      <c r="K124" s="1557"/>
      <c r="L124" s="1557"/>
      <c r="M124" s="1557"/>
      <c r="N124" s="1557"/>
      <c r="O124" s="1557"/>
      <c r="P124" s="1557"/>
      <c r="Q124" s="1557"/>
      <c r="R124" s="1557"/>
      <c r="S124" s="1557"/>
      <c r="T124" s="324"/>
      <c r="U124" s="326"/>
    </row>
    <row r="125" spans="1:21" ht="13">
      <c r="A125" s="117" t="s">
        <v>991</v>
      </c>
      <c r="B125" s="333"/>
      <c r="C125" s="117"/>
      <c r="D125" s="1557"/>
      <c r="E125" s="1557"/>
      <c r="F125" s="1557"/>
      <c r="G125" s="1557"/>
      <c r="H125" s="1557"/>
      <c r="I125" s="1557"/>
      <c r="J125" s="1557"/>
      <c r="K125" s="1557"/>
      <c r="L125" s="1557"/>
      <c r="M125" s="1557"/>
      <c r="N125" s="1557"/>
      <c r="O125" s="1557"/>
      <c r="P125" s="1557"/>
      <c r="Q125" s="1557"/>
      <c r="R125" s="1557"/>
      <c r="S125" s="1557"/>
      <c r="T125" s="324"/>
      <c r="U125" s="326"/>
    </row>
    <row r="126" spans="1:21" ht="13">
      <c r="A126" s="117" t="s">
        <v>992</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
      <c r="A127" s="117" t="s">
        <v>993</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
      <c r="A128" s="117" t="s">
        <v>994</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3">
      <c r="A129" s="117" t="s">
        <v>300</v>
      </c>
      <c r="B129" s="333"/>
      <c r="C129" s="117"/>
      <c r="D129" s="1870" t="s">
        <v>995</v>
      </c>
      <c r="E129" s="1870"/>
      <c r="F129" s="1870"/>
      <c r="G129" s="1870"/>
      <c r="H129" s="1870"/>
      <c r="I129" s="117"/>
      <c r="J129" s="117" t="s">
        <v>996</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997</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4" t="s">
        <v>998</v>
      </c>
      <c r="E132" s="1864"/>
      <c r="F132" s="1864"/>
      <c r="G132" s="1864"/>
      <c r="H132" s="1864"/>
      <c r="I132" s="117"/>
      <c r="J132" s="1864" t="s">
        <v>999</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1000</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1001</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25">
      <c r="A139" s="1861" t="s">
        <v>1002</v>
      </c>
      <c r="B139" s="1861"/>
      <c r="C139" s="1861"/>
      <c r="D139" s="328"/>
      <c r="E139" s="117" t="s">
        <v>996</v>
      </c>
      <c r="F139" s="117"/>
      <c r="G139" s="117"/>
      <c r="H139" s="117"/>
      <c r="I139" s="117"/>
      <c r="J139" s="117"/>
      <c r="K139" s="117"/>
      <c r="L139" s="117"/>
      <c r="M139" s="117"/>
      <c r="N139" s="117"/>
      <c r="O139" s="117"/>
      <c r="P139" s="117"/>
      <c r="Q139" s="117"/>
      <c r="R139" s="117"/>
      <c r="S139" s="117"/>
      <c r="T139" s="330"/>
      <c r="U139" s="331"/>
    </row>
    <row r="140" spans="1:21" ht="13.2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265625" style="397" customWidth="1"/>
    <col min="2" max="3" width="12.08984375" style="393" customWidth="1"/>
    <col min="4" max="6" width="12.81640625" style="393" customWidth="1"/>
    <col min="7" max="9" width="12.08984375" style="393" customWidth="1"/>
    <col min="10" max="10" width="12.089843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08984375" style="393" hidden="1" customWidth="1"/>
    <col min="260" max="260" width="12.81640625" style="393" hidden="1" customWidth="1"/>
    <col min="261" max="266" width="12.08984375" style="393" hidden="1" customWidth="1"/>
    <col min="267" max="277" width="8.81640625" style="393" hidden="1" customWidth="1"/>
    <col min="278" max="512" width="8.81640625" style="393" hidden="1"/>
    <col min="513" max="513" width="32.7265625" style="393" hidden="1" customWidth="1"/>
    <col min="514" max="515" width="12.08984375" style="393" hidden="1" customWidth="1"/>
    <col min="516" max="516" width="12.81640625" style="393" hidden="1" customWidth="1"/>
    <col min="517" max="522" width="12.08984375" style="393" hidden="1" customWidth="1"/>
    <col min="523" max="533" width="8.81640625" style="393" hidden="1" customWidth="1"/>
    <col min="534" max="768" width="8.81640625" style="393" hidden="1"/>
    <col min="769" max="769" width="32.7265625" style="393" hidden="1" customWidth="1"/>
    <col min="770" max="771" width="12.08984375" style="393" hidden="1" customWidth="1"/>
    <col min="772" max="772" width="12.81640625" style="393" hidden="1" customWidth="1"/>
    <col min="773" max="778" width="12.08984375" style="393" hidden="1" customWidth="1"/>
    <col min="779" max="789" width="8.81640625" style="393" hidden="1" customWidth="1"/>
    <col min="790" max="1024" width="8.81640625" style="393" hidden="1"/>
    <col min="1025" max="1025" width="32.7265625" style="393" hidden="1" customWidth="1"/>
    <col min="1026" max="1027" width="12.08984375" style="393" hidden="1" customWidth="1"/>
    <col min="1028" max="1028" width="12.81640625" style="393" hidden="1" customWidth="1"/>
    <col min="1029" max="1034" width="12.08984375" style="393" hidden="1" customWidth="1"/>
    <col min="1035" max="1045" width="8.81640625" style="393" hidden="1" customWidth="1"/>
    <col min="1046" max="1280" width="8.81640625" style="393" hidden="1"/>
    <col min="1281" max="1281" width="32.7265625" style="393" hidden="1" customWidth="1"/>
    <col min="1282" max="1283" width="12.08984375" style="393" hidden="1" customWidth="1"/>
    <col min="1284" max="1284" width="12.81640625" style="393" hidden="1" customWidth="1"/>
    <col min="1285" max="1290" width="12.08984375" style="393" hidden="1" customWidth="1"/>
    <col min="1291" max="1301" width="8.81640625" style="393" hidden="1" customWidth="1"/>
    <col min="1302" max="1536" width="8.81640625" style="393" hidden="1"/>
    <col min="1537" max="1537" width="32.7265625" style="393" hidden="1" customWidth="1"/>
    <col min="1538" max="1539" width="12.08984375" style="393" hidden="1" customWidth="1"/>
    <col min="1540" max="1540" width="12.81640625" style="393" hidden="1" customWidth="1"/>
    <col min="1541" max="1546" width="12.08984375" style="393" hidden="1" customWidth="1"/>
    <col min="1547" max="1557" width="8.81640625" style="393" hidden="1" customWidth="1"/>
    <col min="1558" max="1792" width="8.81640625" style="393" hidden="1"/>
    <col min="1793" max="1793" width="32.7265625" style="393" hidden="1" customWidth="1"/>
    <col min="1794" max="1795" width="12.08984375" style="393" hidden="1" customWidth="1"/>
    <col min="1796" max="1796" width="12.81640625" style="393" hidden="1" customWidth="1"/>
    <col min="1797" max="1802" width="12.08984375" style="393" hidden="1" customWidth="1"/>
    <col min="1803" max="1813" width="8.81640625" style="393" hidden="1" customWidth="1"/>
    <col min="1814" max="2048" width="8.81640625" style="393" hidden="1"/>
    <col min="2049" max="2049" width="32.7265625" style="393" hidden="1" customWidth="1"/>
    <col min="2050" max="2051" width="12.08984375" style="393" hidden="1" customWidth="1"/>
    <col min="2052" max="2052" width="12.81640625" style="393" hidden="1" customWidth="1"/>
    <col min="2053" max="2058" width="12.08984375" style="393" hidden="1" customWidth="1"/>
    <col min="2059" max="2069" width="8.81640625" style="393" hidden="1" customWidth="1"/>
    <col min="2070" max="2304" width="8.81640625" style="393" hidden="1"/>
    <col min="2305" max="2305" width="32.7265625" style="393" hidden="1" customWidth="1"/>
    <col min="2306" max="2307" width="12.08984375" style="393" hidden="1" customWidth="1"/>
    <col min="2308" max="2308" width="12.81640625" style="393" hidden="1" customWidth="1"/>
    <col min="2309" max="2314" width="12.08984375" style="393" hidden="1" customWidth="1"/>
    <col min="2315" max="2325" width="8.81640625" style="393" hidden="1" customWidth="1"/>
    <col min="2326" max="2560" width="8.81640625" style="393" hidden="1"/>
    <col min="2561" max="2561" width="32.7265625" style="393" hidden="1" customWidth="1"/>
    <col min="2562" max="2563" width="12.08984375" style="393" hidden="1" customWidth="1"/>
    <col min="2564" max="2564" width="12.81640625" style="393" hidden="1" customWidth="1"/>
    <col min="2565" max="2570" width="12.08984375" style="393" hidden="1" customWidth="1"/>
    <col min="2571" max="2581" width="8.81640625" style="393" hidden="1" customWidth="1"/>
    <col min="2582" max="2816" width="8.81640625" style="393" hidden="1"/>
    <col min="2817" max="2817" width="32.7265625" style="393" hidden="1" customWidth="1"/>
    <col min="2818" max="2819" width="12.08984375" style="393" hidden="1" customWidth="1"/>
    <col min="2820" max="2820" width="12.81640625" style="393" hidden="1" customWidth="1"/>
    <col min="2821" max="2826" width="12.08984375" style="393" hidden="1" customWidth="1"/>
    <col min="2827" max="2837" width="8.81640625" style="393" hidden="1" customWidth="1"/>
    <col min="2838" max="3072" width="8.81640625" style="393" hidden="1"/>
    <col min="3073" max="3073" width="32.7265625" style="393" hidden="1" customWidth="1"/>
    <col min="3074" max="3075" width="12.08984375" style="393" hidden="1" customWidth="1"/>
    <col min="3076" max="3076" width="12.81640625" style="393" hidden="1" customWidth="1"/>
    <col min="3077" max="3082" width="12.08984375" style="393" hidden="1" customWidth="1"/>
    <col min="3083" max="3093" width="8.81640625" style="393" hidden="1" customWidth="1"/>
    <col min="3094" max="3328" width="8.81640625" style="393" hidden="1"/>
    <col min="3329" max="3329" width="32.7265625" style="393" hidden="1" customWidth="1"/>
    <col min="3330" max="3331" width="12.08984375" style="393" hidden="1" customWidth="1"/>
    <col min="3332" max="3332" width="12.81640625" style="393" hidden="1" customWidth="1"/>
    <col min="3333" max="3338" width="12.08984375" style="393" hidden="1" customWidth="1"/>
    <col min="3339" max="3349" width="8.81640625" style="393" hidden="1" customWidth="1"/>
    <col min="3350" max="3584" width="8.81640625" style="393" hidden="1"/>
    <col min="3585" max="3585" width="32.7265625" style="393" hidden="1" customWidth="1"/>
    <col min="3586" max="3587" width="12.08984375" style="393" hidden="1" customWidth="1"/>
    <col min="3588" max="3588" width="12.81640625" style="393" hidden="1" customWidth="1"/>
    <col min="3589" max="3594" width="12.08984375" style="393" hidden="1" customWidth="1"/>
    <col min="3595" max="3605" width="8.81640625" style="393" hidden="1" customWidth="1"/>
    <col min="3606" max="3840" width="8.81640625" style="393" hidden="1"/>
    <col min="3841" max="3841" width="32.7265625" style="393" hidden="1" customWidth="1"/>
    <col min="3842" max="3843" width="12.08984375" style="393" hidden="1" customWidth="1"/>
    <col min="3844" max="3844" width="12.81640625" style="393" hidden="1" customWidth="1"/>
    <col min="3845" max="3850" width="12.08984375" style="393" hidden="1" customWidth="1"/>
    <col min="3851" max="3861" width="8.81640625" style="393" hidden="1" customWidth="1"/>
    <col min="3862" max="4096" width="8.81640625" style="393" hidden="1"/>
    <col min="4097" max="4097" width="32.7265625" style="393" hidden="1" customWidth="1"/>
    <col min="4098" max="4099" width="12.08984375" style="393" hidden="1" customWidth="1"/>
    <col min="4100" max="4100" width="12.81640625" style="393" hidden="1" customWidth="1"/>
    <col min="4101" max="4106" width="12.08984375" style="393" hidden="1" customWidth="1"/>
    <col min="4107" max="4117" width="8.81640625" style="393" hidden="1" customWidth="1"/>
    <col min="4118" max="4352" width="8.81640625" style="393" hidden="1"/>
    <col min="4353" max="4353" width="32.7265625" style="393" hidden="1" customWidth="1"/>
    <col min="4354" max="4355" width="12.08984375" style="393" hidden="1" customWidth="1"/>
    <col min="4356" max="4356" width="12.81640625" style="393" hidden="1" customWidth="1"/>
    <col min="4357" max="4362" width="12.08984375" style="393" hidden="1" customWidth="1"/>
    <col min="4363" max="4373" width="8.81640625" style="393" hidden="1" customWidth="1"/>
    <col min="4374" max="4608" width="8.81640625" style="393" hidden="1"/>
    <col min="4609" max="4609" width="32.7265625" style="393" hidden="1" customWidth="1"/>
    <col min="4610" max="4611" width="12.08984375" style="393" hidden="1" customWidth="1"/>
    <col min="4612" max="4612" width="12.81640625" style="393" hidden="1" customWidth="1"/>
    <col min="4613" max="4618" width="12.08984375" style="393" hidden="1" customWidth="1"/>
    <col min="4619" max="4629" width="8.81640625" style="393" hidden="1" customWidth="1"/>
    <col min="4630" max="4864" width="8.81640625" style="393" hidden="1"/>
    <col min="4865" max="4865" width="32.7265625" style="393" hidden="1" customWidth="1"/>
    <col min="4866" max="4867" width="12.08984375" style="393" hidden="1" customWidth="1"/>
    <col min="4868" max="4868" width="12.81640625" style="393" hidden="1" customWidth="1"/>
    <col min="4869" max="4874" width="12.08984375" style="393" hidden="1" customWidth="1"/>
    <col min="4875" max="4885" width="8.81640625" style="393" hidden="1" customWidth="1"/>
    <col min="4886" max="5120" width="8.81640625" style="393" hidden="1"/>
    <col min="5121" max="5121" width="32.7265625" style="393" hidden="1" customWidth="1"/>
    <col min="5122" max="5123" width="12.08984375" style="393" hidden="1" customWidth="1"/>
    <col min="5124" max="5124" width="12.81640625" style="393" hidden="1" customWidth="1"/>
    <col min="5125" max="5130" width="12.08984375" style="393" hidden="1" customWidth="1"/>
    <col min="5131" max="5141" width="8.81640625" style="393" hidden="1" customWidth="1"/>
    <col min="5142" max="5376" width="8.81640625" style="393" hidden="1"/>
    <col min="5377" max="5377" width="32.7265625" style="393" hidden="1" customWidth="1"/>
    <col min="5378" max="5379" width="12.08984375" style="393" hidden="1" customWidth="1"/>
    <col min="5380" max="5380" width="12.81640625" style="393" hidden="1" customWidth="1"/>
    <col min="5381" max="5386" width="12.08984375" style="393" hidden="1" customWidth="1"/>
    <col min="5387" max="5397" width="8.81640625" style="393" hidden="1" customWidth="1"/>
    <col min="5398" max="5632" width="8.81640625" style="393" hidden="1"/>
    <col min="5633" max="5633" width="32.7265625" style="393" hidden="1" customWidth="1"/>
    <col min="5634" max="5635" width="12.08984375" style="393" hidden="1" customWidth="1"/>
    <col min="5636" max="5636" width="12.81640625" style="393" hidden="1" customWidth="1"/>
    <col min="5637" max="5642" width="12.08984375" style="393" hidden="1" customWidth="1"/>
    <col min="5643" max="5653" width="8.81640625" style="393" hidden="1" customWidth="1"/>
    <col min="5654" max="5888" width="8.81640625" style="393" hidden="1"/>
    <col min="5889" max="5889" width="32.7265625" style="393" hidden="1" customWidth="1"/>
    <col min="5890" max="5891" width="12.08984375" style="393" hidden="1" customWidth="1"/>
    <col min="5892" max="5892" width="12.81640625" style="393" hidden="1" customWidth="1"/>
    <col min="5893" max="5898" width="12.08984375" style="393" hidden="1" customWidth="1"/>
    <col min="5899" max="5909" width="8.81640625" style="393" hidden="1" customWidth="1"/>
    <col min="5910" max="6144" width="8.81640625" style="393" hidden="1"/>
    <col min="6145" max="6145" width="32.7265625" style="393" hidden="1" customWidth="1"/>
    <col min="6146" max="6147" width="12.08984375" style="393" hidden="1" customWidth="1"/>
    <col min="6148" max="6148" width="12.81640625" style="393" hidden="1" customWidth="1"/>
    <col min="6149" max="6154" width="12.08984375" style="393" hidden="1" customWidth="1"/>
    <col min="6155" max="6165" width="8.81640625" style="393" hidden="1" customWidth="1"/>
    <col min="6166" max="6400" width="8.81640625" style="393" hidden="1"/>
    <col min="6401" max="6401" width="32.7265625" style="393" hidden="1" customWidth="1"/>
    <col min="6402" max="6403" width="12.08984375" style="393" hidden="1" customWidth="1"/>
    <col min="6404" max="6404" width="12.81640625" style="393" hidden="1" customWidth="1"/>
    <col min="6405" max="6410" width="12.08984375" style="393" hidden="1" customWidth="1"/>
    <col min="6411" max="6421" width="8.81640625" style="393" hidden="1" customWidth="1"/>
    <col min="6422" max="6656" width="8.81640625" style="393" hidden="1"/>
    <col min="6657" max="6657" width="32.7265625" style="393" hidden="1" customWidth="1"/>
    <col min="6658" max="6659" width="12.08984375" style="393" hidden="1" customWidth="1"/>
    <col min="6660" max="6660" width="12.81640625" style="393" hidden="1" customWidth="1"/>
    <col min="6661" max="6666" width="12.08984375" style="393" hidden="1" customWidth="1"/>
    <col min="6667" max="6677" width="8.81640625" style="393" hidden="1" customWidth="1"/>
    <col min="6678" max="6912" width="8.81640625" style="393" hidden="1"/>
    <col min="6913" max="6913" width="32.7265625" style="393" hidden="1" customWidth="1"/>
    <col min="6914" max="6915" width="12.08984375" style="393" hidden="1" customWidth="1"/>
    <col min="6916" max="6916" width="12.81640625" style="393" hidden="1" customWidth="1"/>
    <col min="6917" max="6922" width="12.08984375" style="393" hidden="1" customWidth="1"/>
    <col min="6923" max="6933" width="8.81640625" style="393" hidden="1" customWidth="1"/>
    <col min="6934" max="7168" width="8.81640625" style="393" hidden="1"/>
    <col min="7169" max="7169" width="32.7265625" style="393" hidden="1" customWidth="1"/>
    <col min="7170" max="7171" width="12.08984375" style="393" hidden="1" customWidth="1"/>
    <col min="7172" max="7172" width="12.81640625" style="393" hidden="1" customWidth="1"/>
    <col min="7173" max="7178" width="12.08984375" style="393" hidden="1" customWidth="1"/>
    <col min="7179" max="7189" width="8.81640625" style="393" hidden="1" customWidth="1"/>
    <col min="7190" max="7424" width="8.81640625" style="393" hidden="1"/>
    <col min="7425" max="7425" width="32.7265625" style="393" hidden="1" customWidth="1"/>
    <col min="7426" max="7427" width="12.08984375" style="393" hidden="1" customWidth="1"/>
    <col min="7428" max="7428" width="12.81640625" style="393" hidden="1" customWidth="1"/>
    <col min="7429" max="7434" width="12.08984375" style="393" hidden="1" customWidth="1"/>
    <col min="7435" max="7445" width="8.81640625" style="393" hidden="1" customWidth="1"/>
    <col min="7446" max="7680" width="8.81640625" style="393" hidden="1"/>
    <col min="7681" max="7681" width="32.7265625" style="393" hidden="1" customWidth="1"/>
    <col min="7682" max="7683" width="12.08984375" style="393" hidden="1" customWidth="1"/>
    <col min="7684" max="7684" width="12.81640625" style="393" hidden="1" customWidth="1"/>
    <col min="7685" max="7690" width="12.08984375" style="393" hidden="1" customWidth="1"/>
    <col min="7691" max="7701" width="8.81640625" style="393" hidden="1" customWidth="1"/>
    <col min="7702" max="7936" width="8.81640625" style="393" hidden="1"/>
    <col min="7937" max="7937" width="32.7265625" style="393" hidden="1" customWidth="1"/>
    <col min="7938" max="7939" width="12.08984375" style="393" hidden="1" customWidth="1"/>
    <col min="7940" max="7940" width="12.81640625" style="393" hidden="1" customWidth="1"/>
    <col min="7941" max="7946" width="12.08984375" style="393" hidden="1" customWidth="1"/>
    <col min="7947" max="7957" width="8.81640625" style="393" hidden="1" customWidth="1"/>
    <col min="7958" max="8192" width="8.81640625" style="393" hidden="1"/>
    <col min="8193" max="8193" width="32.7265625" style="393" hidden="1" customWidth="1"/>
    <col min="8194" max="8195" width="12.08984375" style="393" hidden="1" customWidth="1"/>
    <col min="8196" max="8196" width="12.81640625" style="393" hidden="1" customWidth="1"/>
    <col min="8197" max="8202" width="12.08984375" style="393" hidden="1" customWidth="1"/>
    <col min="8203" max="8213" width="8.81640625" style="393" hidden="1" customWidth="1"/>
    <col min="8214" max="8448" width="8.81640625" style="393" hidden="1"/>
    <col min="8449" max="8449" width="32.7265625" style="393" hidden="1" customWidth="1"/>
    <col min="8450" max="8451" width="12.08984375" style="393" hidden="1" customWidth="1"/>
    <col min="8452" max="8452" width="12.81640625" style="393" hidden="1" customWidth="1"/>
    <col min="8453" max="8458" width="12.08984375" style="393" hidden="1" customWidth="1"/>
    <col min="8459" max="8469" width="8.81640625" style="393" hidden="1" customWidth="1"/>
    <col min="8470" max="8704" width="8.81640625" style="393" hidden="1"/>
    <col min="8705" max="8705" width="32.7265625" style="393" hidden="1" customWidth="1"/>
    <col min="8706" max="8707" width="12.08984375" style="393" hidden="1" customWidth="1"/>
    <col min="8708" max="8708" width="12.81640625" style="393" hidden="1" customWidth="1"/>
    <col min="8709" max="8714" width="12.08984375" style="393" hidden="1" customWidth="1"/>
    <col min="8715" max="8725" width="8.81640625" style="393" hidden="1" customWidth="1"/>
    <col min="8726" max="8960" width="8.81640625" style="393" hidden="1"/>
    <col min="8961" max="8961" width="32.7265625" style="393" hidden="1" customWidth="1"/>
    <col min="8962" max="8963" width="12.08984375" style="393" hidden="1" customWidth="1"/>
    <col min="8964" max="8964" width="12.81640625" style="393" hidden="1" customWidth="1"/>
    <col min="8965" max="8970" width="12.08984375" style="393" hidden="1" customWidth="1"/>
    <col min="8971" max="8981" width="8.81640625" style="393" hidden="1" customWidth="1"/>
    <col min="8982" max="9216" width="8.81640625" style="393" hidden="1"/>
    <col min="9217" max="9217" width="32.7265625" style="393" hidden="1" customWidth="1"/>
    <col min="9218" max="9219" width="12.08984375" style="393" hidden="1" customWidth="1"/>
    <col min="9220" max="9220" width="12.81640625" style="393" hidden="1" customWidth="1"/>
    <col min="9221" max="9226" width="12.08984375" style="393" hidden="1" customWidth="1"/>
    <col min="9227" max="9237" width="8.81640625" style="393" hidden="1" customWidth="1"/>
    <col min="9238" max="9472" width="8.81640625" style="393" hidden="1"/>
    <col min="9473" max="9473" width="32.7265625" style="393" hidden="1" customWidth="1"/>
    <col min="9474" max="9475" width="12.08984375" style="393" hidden="1" customWidth="1"/>
    <col min="9476" max="9476" width="12.81640625" style="393" hidden="1" customWidth="1"/>
    <col min="9477" max="9482" width="12.08984375" style="393" hidden="1" customWidth="1"/>
    <col min="9483" max="9493" width="8.81640625" style="393" hidden="1" customWidth="1"/>
    <col min="9494" max="9728" width="8.81640625" style="393" hidden="1"/>
    <col min="9729" max="9729" width="32.7265625" style="393" hidden="1" customWidth="1"/>
    <col min="9730" max="9731" width="12.08984375" style="393" hidden="1" customWidth="1"/>
    <col min="9732" max="9732" width="12.81640625" style="393" hidden="1" customWidth="1"/>
    <col min="9733" max="9738" width="12.08984375" style="393" hidden="1" customWidth="1"/>
    <col min="9739" max="9749" width="8.81640625" style="393" hidden="1" customWidth="1"/>
    <col min="9750" max="9984" width="8.81640625" style="393" hidden="1"/>
    <col min="9985" max="9985" width="32.7265625" style="393" hidden="1" customWidth="1"/>
    <col min="9986" max="9987" width="12.08984375" style="393" hidden="1" customWidth="1"/>
    <col min="9988" max="9988" width="12.81640625" style="393" hidden="1" customWidth="1"/>
    <col min="9989" max="9994" width="12.08984375" style="393" hidden="1" customWidth="1"/>
    <col min="9995" max="10005" width="8.81640625" style="393" hidden="1" customWidth="1"/>
    <col min="10006" max="10240" width="8.81640625" style="393" hidden="1"/>
    <col min="10241" max="10241" width="32.7265625" style="393" hidden="1" customWidth="1"/>
    <col min="10242" max="10243" width="12.08984375" style="393" hidden="1" customWidth="1"/>
    <col min="10244" max="10244" width="12.81640625" style="393" hidden="1" customWidth="1"/>
    <col min="10245" max="10250" width="12.08984375" style="393" hidden="1" customWidth="1"/>
    <col min="10251" max="10261" width="8.81640625" style="393" hidden="1" customWidth="1"/>
    <col min="10262" max="10496" width="8.81640625" style="393" hidden="1"/>
    <col min="10497" max="10497" width="32.7265625" style="393" hidden="1" customWidth="1"/>
    <col min="10498" max="10499" width="12.08984375" style="393" hidden="1" customWidth="1"/>
    <col min="10500" max="10500" width="12.81640625" style="393" hidden="1" customWidth="1"/>
    <col min="10501" max="10506" width="12.08984375" style="393" hidden="1" customWidth="1"/>
    <col min="10507" max="10517" width="8.81640625" style="393" hidden="1" customWidth="1"/>
    <col min="10518" max="10752" width="8.81640625" style="393" hidden="1"/>
    <col min="10753" max="10753" width="32.7265625" style="393" hidden="1" customWidth="1"/>
    <col min="10754" max="10755" width="12.08984375" style="393" hidden="1" customWidth="1"/>
    <col min="10756" max="10756" width="12.81640625" style="393" hidden="1" customWidth="1"/>
    <col min="10757" max="10762" width="12.08984375" style="393" hidden="1" customWidth="1"/>
    <col min="10763" max="10773" width="8.81640625" style="393" hidden="1" customWidth="1"/>
    <col min="10774" max="11008" width="8.81640625" style="393" hidden="1"/>
    <col min="11009" max="11009" width="32.7265625" style="393" hidden="1" customWidth="1"/>
    <col min="11010" max="11011" width="12.08984375" style="393" hidden="1" customWidth="1"/>
    <col min="11012" max="11012" width="12.81640625" style="393" hidden="1" customWidth="1"/>
    <col min="11013" max="11018" width="12.08984375" style="393" hidden="1" customWidth="1"/>
    <col min="11019" max="11029" width="8.81640625" style="393" hidden="1" customWidth="1"/>
    <col min="11030" max="11264" width="8.81640625" style="393" hidden="1"/>
    <col min="11265" max="11265" width="32.7265625" style="393" hidden="1" customWidth="1"/>
    <col min="11266" max="11267" width="12.08984375" style="393" hidden="1" customWidth="1"/>
    <col min="11268" max="11268" width="12.81640625" style="393" hidden="1" customWidth="1"/>
    <col min="11269" max="11274" width="12.08984375" style="393" hidden="1" customWidth="1"/>
    <col min="11275" max="11285" width="8.81640625" style="393" hidden="1" customWidth="1"/>
    <col min="11286" max="11520" width="8.81640625" style="393" hidden="1"/>
    <col min="11521" max="11521" width="32.7265625" style="393" hidden="1" customWidth="1"/>
    <col min="11522" max="11523" width="12.08984375" style="393" hidden="1" customWidth="1"/>
    <col min="11524" max="11524" width="12.81640625" style="393" hidden="1" customWidth="1"/>
    <col min="11525" max="11530" width="12.08984375" style="393" hidden="1" customWidth="1"/>
    <col min="11531" max="11541" width="8.81640625" style="393" hidden="1" customWidth="1"/>
    <col min="11542" max="11776" width="8.81640625" style="393" hidden="1"/>
    <col min="11777" max="11777" width="32.7265625" style="393" hidden="1" customWidth="1"/>
    <col min="11778" max="11779" width="12.08984375" style="393" hidden="1" customWidth="1"/>
    <col min="11780" max="11780" width="12.81640625" style="393" hidden="1" customWidth="1"/>
    <col min="11781" max="11786" width="12.08984375" style="393" hidden="1" customWidth="1"/>
    <col min="11787" max="11797" width="8.81640625" style="393" hidden="1" customWidth="1"/>
    <col min="11798" max="12032" width="8.81640625" style="393" hidden="1"/>
    <col min="12033" max="12033" width="32.7265625" style="393" hidden="1" customWidth="1"/>
    <col min="12034" max="12035" width="12.08984375" style="393" hidden="1" customWidth="1"/>
    <col min="12036" max="12036" width="12.81640625" style="393" hidden="1" customWidth="1"/>
    <col min="12037" max="12042" width="12.08984375" style="393" hidden="1" customWidth="1"/>
    <col min="12043" max="12053" width="8.81640625" style="393" hidden="1" customWidth="1"/>
    <col min="12054" max="12288" width="8.81640625" style="393" hidden="1"/>
    <col min="12289" max="12289" width="32.7265625" style="393" hidden="1" customWidth="1"/>
    <col min="12290" max="12291" width="12.08984375" style="393" hidden="1" customWidth="1"/>
    <col min="12292" max="12292" width="12.81640625" style="393" hidden="1" customWidth="1"/>
    <col min="12293" max="12298" width="12.08984375" style="393" hidden="1" customWidth="1"/>
    <col min="12299" max="12309" width="8.81640625" style="393" hidden="1" customWidth="1"/>
    <col min="12310" max="12544" width="8.81640625" style="393" hidden="1"/>
    <col min="12545" max="12545" width="32.7265625" style="393" hidden="1" customWidth="1"/>
    <col min="12546" max="12547" width="12.08984375" style="393" hidden="1" customWidth="1"/>
    <col min="12548" max="12548" width="12.81640625" style="393" hidden="1" customWidth="1"/>
    <col min="12549" max="12554" width="12.08984375" style="393" hidden="1" customWidth="1"/>
    <col min="12555" max="12565" width="8.81640625" style="393" hidden="1" customWidth="1"/>
    <col min="12566" max="12800" width="8.81640625" style="393" hidden="1"/>
    <col min="12801" max="12801" width="32.7265625" style="393" hidden="1" customWidth="1"/>
    <col min="12802" max="12803" width="12.08984375" style="393" hidden="1" customWidth="1"/>
    <col min="12804" max="12804" width="12.81640625" style="393" hidden="1" customWidth="1"/>
    <col min="12805" max="12810" width="12.08984375" style="393" hidden="1" customWidth="1"/>
    <col min="12811" max="12821" width="8.81640625" style="393" hidden="1" customWidth="1"/>
    <col min="12822" max="13056" width="8.81640625" style="393" hidden="1"/>
    <col min="13057" max="13057" width="32.7265625" style="393" hidden="1" customWidth="1"/>
    <col min="13058" max="13059" width="12.08984375" style="393" hidden="1" customWidth="1"/>
    <col min="13060" max="13060" width="12.81640625" style="393" hidden="1" customWidth="1"/>
    <col min="13061" max="13066" width="12.08984375" style="393" hidden="1" customWidth="1"/>
    <col min="13067" max="13077" width="8.81640625" style="393" hidden="1" customWidth="1"/>
    <col min="13078" max="13312" width="8.81640625" style="393" hidden="1"/>
    <col min="13313" max="13313" width="32.7265625" style="393" hidden="1" customWidth="1"/>
    <col min="13314" max="13315" width="12.08984375" style="393" hidden="1" customWidth="1"/>
    <col min="13316" max="13316" width="12.81640625" style="393" hidden="1" customWidth="1"/>
    <col min="13317" max="13322" width="12.08984375" style="393" hidden="1" customWidth="1"/>
    <col min="13323" max="13333" width="8.81640625" style="393" hidden="1" customWidth="1"/>
    <col min="13334" max="13568" width="8.81640625" style="393" hidden="1"/>
    <col min="13569" max="13569" width="32.7265625" style="393" hidden="1" customWidth="1"/>
    <col min="13570" max="13571" width="12.08984375" style="393" hidden="1" customWidth="1"/>
    <col min="13572" max="13572" width="12.81640625" style="393" hidden="1" customWidth="1"/>
    <col min="13573" max="13578" width="12.08984375" style="393" hidden="1" customWidth="1"/>
    <col min="13579" max="13589" width="8.81640625" style="393" hidden="1" customWidth="1"/>
    <col min="13590" max="13824" width="8.81640625" style="393" hidden="1"/>
    <col min="13825" max="13825" width="32.7265625" style="393" hidden="1" customWidth="1"/>
    <col min="13826" max="13827" width="12.08984375" style="393" hidden="1" customWidth="1"/>
    <col min="13828" max="13828" width="12.81640625" style="393" hidden="1" customWidth="1"/>
    <col min="13829" max="13834" width="12.08984375" style="393" hidden="1" customWidth="1"/>
    <col min="13835" max="13845" width="8.81640625" style="393" hidden="1" customWidth="1"/>
    <col min="13846" max="14080" width="8.81640625" style="393" hidden="1"/>
    <col min="14081" max="14081" width="32.7265625" style="393" hidden="1" customWidth="1"/>
    <col min="14082" max="14083" width="12.08984375" style="393" hidden="1" customWidth="1"/>
    <col min="14084" max="14084" width="12.81640625" style="393" hidden="1" customWidth="1"/>
    <col min="14085" max="14090" width="12.08984375" style="393" hidden="1" customWidth="1"/>
    <col min="14091" max="14101" width="8.81640625" style="393" hidden="1" customWidth="1"/>
    <col min="14102" max="14336" width="8.81640625" style="393" hidden="1"/>
    <col min="14337" max="14337" width="32.7265625" style="393" hidden="1" customWidth="1"/>
    <col min="14338" max="14339" width="12.08984375" style="393" hidden="1" customWidth="1"/>
    <col min="14340" max="14340" width="12.81640625" style="393" hidden="1" customWidth="1"/>
    <col min="14341" max="14346" width="12.08984375" style="393" hidden="1" customWidth="1"/>
    <col min="14347" max="14357" width="8.81640625" style="393" hidden="1" customWidth="1"/>
    <col min="14358" max="14592" width="8.81640625" style="393" hidden="1"/>
    <col min="14593" max="14593" width="32.7265625" style="393" hidden="1" customWidth="1"/>
    <col min="14594" max="14595" width="12.08984375" style="393" hidden="1" customWidth="1"/>
    <col min="14596" max="14596" width="12.81640625" style="393" hidden="1" customWidth="1"/>
    <col min="14597" max="14602" width="12.08984375" style="393" hidden="1" customWidth="1"/>
    <col min="14603" max="14613" width="8.81640625" style="393" hidden="1" customWidth="1"/>
    <col min="14614" max="14848" width="8.81640625" style="393" hidden="1"/>
    <col min="14849" max="14849" width="32.7265625" style="393" hidden="1" customWidth="1"/>
    <col min="14850" max="14851" width="12.08984375" style="393" hidden="1" customWidth="1"/>
    <col min="14852" max="14852" width="12.81640625" style="393" hidden="1" customWidth="1"/>
    <col min="14853" max="14858" width="12.08984375" style="393" hidden="1" customWidth="1"/>
    <col min="14859" max="14869" width="8.81640625" style="393" hidden="1" customWidth="1"/>
    <col min="14870" max="15104" width="8.81640625" style="393" hidden="1"/>
    <col min="15105" max="15105" width="32.7265625" style="393" hidden="1" customWidth="1"/>
    <col min="15106" max="15107" width="12.08984375" style="393" hidden="1" customWidth="1"/>
    <col min="15108" max="15108" width="12.81640625" style="393" hidden="1" customWidth="1"/>
    <col min="15109" max="15114" width="12.08984375" style="393" hidden="1" customWidth="1"/>
    <col min="15115" max="15125" width="8.81640625" style="393" hidden="1" customWidth="1"/>
    <col min="15126" max="15360" width="8.81640625" style="393" hidden="1"/>
    <col min="15361" max="15361" width="32.7265625" style="393" hidden="1" customWidth="1"/>
    <col min="15362" max="15363" width="12.08984375" style="393" hidden="1" customWidth="1"/>
    <col min="15364" max="15364" width="12.81640625" style="393" hidden="1" customWidth="1"/>
    <col min="15365" max="15370" width="12.08984375" style="393" hidden="1" customWidth="1"/>
    <col min="15371" max="15381" width="8.81640625" style="393" hidden="1" customWidth="1"/>
    <col min="15382" max="15616" width="8.81640625" style="393" hidden="1"/>
    <col min="15617" max="15617" width="32.7265625" style="393" hidden="1" customWidth="1"/>
    <col min="15618" max="15619" width="12.08984375" style="393" hidden="1" customWidth="1"/>
    <col min="15620" max="15620" width="12.81640625" style="393" hidden="1" customWidth="1"/>
    <col min="15621" max="15626" width="12.08984375" style="393" hidden="1" customWidth="1"/>
    <col min="15627" max="15637" width="8.81640625" style="393" hidden="1" customWidth="1"/>
    <col min="15638" max="15872" width="8.81640625" style="393" hidden="1"/>
    <col min="15873" max="15873" width="32.7265625" style="393" hidden="1" customWidth="1"/>
    <col min="15874" max="15875" width="12.08984375" style="393" hidden="1" customWidth="1"/>
    <col min="15876" max="15876" width="12.81640625" style="393" hidden="1" customWidth="1"/>
    <col min="15877" max="15882" width="12.08984375" style="393" hidden="1" customWidth="1"/>
    <col min="15883" max="15893" width="8.81640625" style="393" hidden="1" customWidth="1"/>
    <col min="15894" max="16128" width="8.81640625" style="393" hidden="1"/>
    <col min="16129" max="16129" width="32.7265625" style="393" hidden="1" customWidth="1"/>
    <col min="16130" max="16131" width="12.08984375" style="393" hidden="1" customWidth="1"/>
    <col min="16132" max="16132" width="12.81640625" style="393" hidden="1" customWidth="1"/>
    <col min="16133" max="16138" width="12.08984375" style="393" hidden="1" customWidth="1"/>
    <col min="16139" max="16149" width="8.81640625" style="393" hidden="1" customWidth="1"/>
    <col min="16150" max="16384" width="8.81640625" style="393" hidden="1"/>
  </cols>
  <sheetData>
    <row r="1" spans="1:11" s="356" customFormat="1" ht="13.25">
      <c r="A1" s="1874" t="s">
        <v>1225</v>
      </c>
      <c r="B1" s="1875"/>
      <c r="C1" s="1875"/>
      <c r="D1" s="1875"/>
      <c r="E1" s="1875"/>
      <c r="F1" s="1875"/>
      <c r="G1" s="1875"/>
      <c r="H1" s="1875"/>
      <c r="I1" s="1875"/>
      <c r="J1" s="1876"/>
      <c r="K1" s="355"/>
    </row>
    <row r="2" spans="1:11" s="401" customFormat="1" ht="72">
      <c r="A2" s="398"/>
      <c r="B2" s="399" t="s">
        <v>1025</v>
      </c>
      <c r="C2" s="399" t="s">
        <v>1227</v>
      </c>
      <c r="D2" s="399" t="s">
        <v>1228</v>
      </c>
      <c r="E2" s="399" t="s">
        <v>1156</v>
      </c>
      <c r="F2" s="399" t="s">
        <v>1229</v>
      </c>
      <c r="G2" s="399" t="s">
        <v>1230</v>
      </c>
      <c r="H2" s="399" t="s">
        <v>1026</v>
      </c>
      <c r="I2" s="399" t="s">
        <v>1231</v>
      </c>
      <c r="J2" s="399" t="s">
        <v>1232</v>
      </c>
      <c r="K2" s="400"/>
    </row>
    <row r="3" spans="1:11" s="360" customFormat="1" ht="11.75">
      <c r="A3" s="357" t="s">
        <v>26</v>
      </c>
      <c r="B3" s="358"/>
      <c r="C3" s="358"/>
      <c r="D3" s="358"/>
      <c r="E3" s="358"/>
      <c r="F3" s="358"/>
      <c r="G3" s="358"/>
      <c r="H3" s="358"/>
      <c r="I3" s="358"/>
      <c r="J3" s="358"/>
      <c r="K3" s="359"/>
    </row>
    <row r="4" spans="1:11" s="360" customFormat="1" ht="11.75">
      <c r="A4" s="364" t="s">
        <v>27</v>
      </c>
      <c r="B4" s="361">
        <f>'Sources and Uses Budget'!C4</f>
        <v>580000</v>
      </c>
      <c r="C4" s="362"/>
      <c r="D4" s="362"/>
      <c r="E4" s="363"/>
      <c r="F4" s="363"/>
      <c r="G4" s="363"/>
      <c r="H4" s="363"/>
      <c r="I4" s="363"/>
      <c r="J4" s="363"/>
      <c r="K4" s="359"/>
    </row>
    <row r="5" spans="1:11" s="360" customFormat="1" ht="11.75">
      <c r="A5" s="364" t="s">
        <v>28</v>
      </c>
      <c r="B5" s="361">
        <f>'Sources and Uses Budget'!C5</f>
        <v>0</v>
      </c>
      <c r="C5" s="362"/>
      <c r="D5" s="362"/>
      <c r="E5" s="363"/>
      <c r="F5" s="363"/>
      <c r="G5" s="363"/>
      <c r="H5" s="363"/>
      <c r="I5" s="363"/>
      <c r="J5" s="363"/>
      <c r="K5" s="359"/>
    </row>
    <row r="6" spans="1:11" s="360" customFormat="1" ht="11.75">
      <c r="A6" s="364" t="s">
        <v>29</v>
      </c>
      <c r="B6" s="361">
        <f>'Sources and Uses Budget'!C6</f>
        <v>0</v>
      </c>
      <c r="C6" s="362"/>
      <c r="D6" s="362"/>
      <c r="E6" s="363"/>
      <c r="F6" s="363"/>
      <c r="G6" s="363"/>
      <c r="H6" s="363"/>
      <c r="I6" s="363"/>
      <c r="J6" s="363"/>
      <c r="K6" s="359"/>
    </row>
    <row r="7" spans="1:11" s="360" customFormat="1" ht="11.75">
      <c r="A7" s="364" t="s">
        <v>97</v>
      </c>
      <c r="B7" s="361">
        <f>'Sources and Uses Budget'!C7</f>
        <v>0</v>
      </c>
      <c r="C7" s="362"/>
      <c r="D7" s="362"/>
      <c r="E7" s="363"/>
      <c r="F7" s="363"/>
      <c r="G7" s="363"/>
      <c r="H7" s="363"/>
      <c r="I7" s="363"/>
      <c r="J7" s="363"/>
      <c r="K7" s="359"/>
    </row>
    <row r="8" spans="1:11" s="360" customFormat="1">
      <c r="A8" s="365" t="s">
        <v>592</v>
      </c>
      <c r="B8" s="361">
        <f>'Sources and Uses Budget'!C8</f>
        <v>580000</v>
      </c>
      <c r="C8" s="361">
        <f>SUM(C4:C7)</f>
        <v>0</v>
      </c>
      <c r="D8" s="361">
        <f>SUM(D4:D7)</f>
        <v>0</v>
      </c>
      <c r="E8" s="363"/>
      <c r="F8" s="363"/>
      <c r="G8" s="363"/>
      <c r="H8" s="363"/>
      <c r="I8" s="363"/>
      <c r="J8" s="363"/>
      <c r="K8" s="359"/>
    </row>
    <row r="9" spans="1:11" s="360" customFormat="1" ht="11.75">
      <c r="A9" s="364" t="s">
        <v>593</v>
      </c>
      <c r="B9" s="361">
        <f>'Sources and Uses Budget'!C9</f>
        <v>0</v>
      </c>
      <c r="C9" s="362"/>
      <c r="D9" s="362"/>
      <c r="E9" s="363"/>
      <c r="F9" s="363"/>
      <c r="G9" s="363"/>
      <c r="H9" s="361">
        <f>'Sources and Uses Budget'!T9</f>
        <v>0</v>
      </c>
      <c r="I9" s="362"/>
      <c r="J9" s="362"/>
      <c r="K9" s="359"/>
    </row>
    <row r="10" spans="1:11" s="360" customFormat="1" ht="11.75">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580000</v>
      </c>
      <c r="C12" s="361">
        <f>SUM(C8+C11)</f>
        <v>0</v>
      </c>
      <c r="D12" s="361">
        <f>SUM(D8+D11)</f>
        <v>0</v>
      </c>
      <c r="E12" s="363"/>
      <c r="F12" s="363"/>
      <c r="G12" s="363"/>
      <c r="H12" s="363"/>
      <c r="I12" s="363"/>
      <c r="J12" s="363"/>
      <c r="K12" s="359"/>
    </row>
    <row r="13" spans="1:11" s="360" customFormat="1" ht="11.75">
      <c r="A13" s="366" t="s">
        <v>900</v>
      </c>
      <c r="B13" s="361">
        <f>'Sources and Uses Budget'!C13</f>
        <v>0</v>
      </c>
      <c r="C13" s="362"/>
      <c r="D13" s="362"/>
      <c r="E13" s="361">
        <f>'Sources and Uses Budget'!S13</f>
        <v>0</v>
      </c>
      <c r="F13" s="362"/>
      <c r="G13" s="362"/>
      <c r="H13" s="361">
        <f>'Sources and Uses Budget'!T13</f>
        <v>0</v>
      </c>
      <c r="I13" s="362"/>
      <c r="J13" s="362"/>
      <c r="K13" s="359"/>
    </row>
    <row r="14" spans="1:11" s="360" customFormat="1" ht="23.5">
      <c r="A14" s="364" t="s">
        <v>901</v>
      </c>
      <c r="B14" s="361">
        <f>'Sources and Uses Budget'!C14</f>
        <v>0</v>
      </c>
      <c r="C14" s="362"/>
      <c r="D14" s="362"/>
      <c r="E14" s="361">
        <f>'Sources and Uses Budget'!S14</f>
        <v>0</v>
      </c>
      <c r="F14" s="362"/>
      <c r="G14" s="362"/>
      <c r="H14" s="361">
        <f>'Sources and Uses Budget'!T14</f>
        <v>0</v>
      </c>
      <c r="I14" s="362"/>
      <c r="J14" s="362"/>
      <c r="K14" s="359"/>
    </row>
    <row r="15" spans="1:11" s="360" customFormat="1" ht="11.75">
      <c r="A15" s="364" t="s">
        <v>1159</v>
      </c>
      <c r="B15" s="361">
        <f>'Sources and Uses Budget'!C15</f>
        <v>0</v>
      </c>
      <c r="C15" s="362"/>
      <c r="D15" s="362"/>
      <c r="E15" s="363">
        <f>'Sources and Uses Budget'!S15</f>
        <v>0</v>
      </c>
      <c r="F15" s="363"/>
      <c r="G15" s="363"/>
      <c r="H15" s="363">
        <f>'Sources and Uses Budget'!T15</f>
        <v>0</v>
      </c>
      <c r="I15" s="363"/>
      <c r="J15" s="363"/>
      <c r="K15" s="359"/>
    </row>
    <row r="16" spans="1:11" s="360" customFormat="1" ht="11.75">
      <c r="A16" s="357" t="s">
        <v>596</v>
      </c>
      <c r="B16" s="358"/>
      <c r="C16" s="358"/>
      <c r="D16" s="358"/>
      <c r="E16" s="358"/>
      <c r="F16" s="358"/>
      <c r="G16" s="358"/>
      <c r="H16" s="358"/>
      <c r="I16" s="358"/>
      <c r="J16" s="358"/>
      <c r="K16" s="359"/>
    </row>
    <row r="17" spans="1:11" s="360" customFormat="1" ht="11.75">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ht="11.75">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ht="11.75">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ht="11.75">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75">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75">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75">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75">
      <c r="A24" s="508" t="s">
        <v>1638</v>
      </c>
      <c r="B24" s="361">
        <f>'Sources and Uses Budget'!C24</f>
        <v>0</v>
      </c>
      <c r="C24" s="362"/>
      <c r="D24" s="362"/>
      <c r="E24" s="361">
        <f>'Sources and Uses Budget'!S24</f>
        <v>0</v>
      </c>
      <c r="F24" s="362"/>
      <c r="G24" s="362"/>
      <c r="H24" s="361">
        <f>'Sources and Uses Budget'!T24</f>
        <v>0</v>
      </c>
      <c r="I24" s="362"/>
      <c r="J24" s="362"/>
      <c r="K24" s="359"/>
    </row>
    <row r="25" spans="1:11" s="360" customFormat="1" ht="11.75">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75">
      <c r="A28" s="357" t="s">
        <v>142</v>
      </c>
      <c r="B28" s="358"/>
      <c r="C28" s="358"/>
      <c r="D28" s="358"/>
      <c r="E28" s="358"/>
      <c r="F28" s="358"/>
      <c r="G28" s="358"/>
      <c r="H28" s="358"/>
      <c r="I28" s="358"/>
      <c r="J28" s="358"/>
      <c r="K28" s="359"/>
    </row>
    <row r="29" spans="1:11" s="360" customFormat="1" ht="11.75">
      <c r="A29" s="145" t="s">
        <v>597</v>
      </c>
      <c r="B29" s="361">
        <f>'Sources and Uses Budget'!C29</f>
        <v>2520000</v>
      </c>
      <c r="C29" s="362"/>
      <c r="D29" s="362"/>
      <c r="E29" s="361">
        <f>'Sources and Uses Budget'!S29</f>
        <v>2520000</v>
      </c>
      <c r="F29" s="362"/>
      <c r="G29" s="362"/>
      <c r="H29" s="361">
        <f>'Sources and Uses Budget'!T29</f>
        <v>0</v>
      </c>
      <c r="I29" s="362"/>
      <c r="J29" s="362"/>
      <c r="K29" s="359"/>
    </row>
    <row r="30" spans="1:11" s="360" customFormat="1" ht="11.75">
      <c r="A30" s="145" t="s">
        <v>598</v>
      </c>
      <c r="B30" s="361">
        <f>'Sources and Uses Budget'!C30</f>
        <v>31448200</v>
      </c>
      <c r="C30" s="362"/>
      <c r="D30" s="362"/>
      <c r="E30" s="361">
        <f>'Sources and Uses Budget'!S30</f>
        <v>31448200</v>
      </c>
      <c r="F30" s="362"/>
      <c r="G30" s="362"/>
      <c r="H30" s="361">
        <f>'Sources and Uses Budget'!T30</f>
        <v>0</v>
      </c>
      <c r="I30" s="362"/>
      <c r="J30" s="362"/>
      <c r="K30" s="359"/>
    </row>
    <row r="31" spans="1:11" s="360" customFormat="1" ht="11.75">
      <c r="A31" s="145" t="s">
        <v>599</v>
      </c>
      <c r="B31" s="361">
        <f>'Sources and Uses Budget'!C31</f>
        <v>2038092</v>
      </c>
      <c r="C31" s="362"/>
      <c r="D31" s="362"/>
      <c r="E31" s="361">
        <f>'Sources and Uses Budget'!S31</f>
        <v>2038092</v>
      </c>
      <c r="F31" s="362"/>
      <c r="G31" s="362"/>
      <c r="H31" s="361">
        <f>'Sources and Uses Budget'!T31</f>
        <v>0</v>
      </c>
      <c r="I31" s="362"/>
      <c r="J31" s="362"/>
      <c r="K31" s="359"/>
    </row>
    <row r="32" spans="1:11" s="360" customFormat="1" ht="11.75">
      <c r="A32" s="145" t="s">
        <v>137</v>
      </c>
      <c r="B32" s="361">
        <f>'Sources and Uses Budget'!C32</f>
        <v>720126</v>
      </c>
      <c r="C32" s="362"/>
      <c r="D32" s="362"/>
      <c r="E32" s="361">
        <f>'Sources and Uses Budget'!S32</f>
        <v>720126</v>
      </c>
      <c r="F32" s="362"/>
      <c r="G32" s="362"/>
      <c r="H32" s="361">
        <f>'Sources and Uses Budget'!T32</f>
        <v>0</v>
      </c>
      <c r="I32" s="362"/>
      <c r="J32" s="362"/>
      <c r="K32" s="359"/>
    </row>
    <row r="33" spans="1:11" s="360" customFormat="1" ht="11.75">
      <c r="A33" s="145" t="s">
        <v>138</v>
      </c>
      <c r="B33" s="361">
        <f>'Sources and Uses Budget'!C33</f>
        <v>2160378</v>
      </c>
      <c r="C33" s="362"/>
      <c r="D33" s="362"/>
      <c r="E33" s="361">
        <f>'Sources and Uses Budget'!S33</f>
        <v>2160378</v>
      </c>
      <c r="F33" s="362"/>
      <c r="G33" s="362"/>
      <c r="H33" s="361">
        <f>'Sources and Uses Budget'!T33</f>
        <v>0</v>
      </c>
      <c r="I33" s="362"/>
      <c r="J33" s="362"/>
      <c r="K33" s="359"/>
    </row>
    <row r="34" spans="1:11" s="360" customFormat="1" ht="11.75">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75">
      <c r="A35" s="145" t="s">
        <v>140</v>
      </c>
      <c r="B35" s="361">
        <f>'Sources and Uses Budget'!C35</f>
        <v>375000</v>
      </c>
      <c r="C35" s="362"/>
      <c r="D35" s="362"/>
      <c r="E35" s="361">
        <f>'Sources and Uses Budget'!S35</f>
        <v>375000</v>
      </c>
      <c r="F35" s="362"/>
      <c r="G35" s="362"/>
      <c r="H35" s="361">
        <f>'Sources and Uses Budget'!T35</f>
        <v>0</v>
      </c>
      <c r="I35" s="362"/>
      <c r="J35" s="362"/>
      <c r="K35" s="359"/>
    </row>
    <row r="36" spans="1:11" s="360" customFormat="1" ht="11.75">
      <c r="A36" s="508" t="s">
        <v>1638</v>
      </c>
      <c r="B36" s="361">
        <f>'Sources and Uses Budget'!C36</f>
        <v>0</v>
      </c>
      <c r="C36" s="362"/>
      <c r="D36" s="362"/>
      <c r="E36" s="361">
        <f>'Sources and Uses Budget'!S36</f>
        <v>0</v>
      </c>
      <c r="F36" s="362"/>
      <c r="G36" s="362"/>
      <c r="H36" s="361">
        <f>'Sources and Uses Budget'!T36</f>
        <v>0</v>
      </c>
      <c r="I36" s="362"/>
      <c r="J36" s="362"/>
      <c r="K36" s="359"/>
    </row>
    <row r="37" spans="1:11" s="360" customFormat="1" ht="11.75">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39261796</v>
      </c>
      <c r="C38" s="361">
        <f>SUM(C29:C37)</f>
        <v>0</v>
      </c>
      <c r="D38" s="361">
        <f>SUM(D29:D37)</f>
        <v>0</v>
      </c>
      <c r="E38" s="361">
        <f>'Sources and Uses Budget'!S38</f>
        <v>39261796</v>
      </c>
      <c r="F38" s="367">
        <f>SUM(F29:F37)</f>
        <v>0</v>
      </c>
      <c r="G38" s="367">
        <f>SUM(G29:G37)</f>
        <v>0</v>
      </c>
      <c r="H38" s="361">
        <f>'Sources and Uses Budget'!T38</f>
        <v>0</v>
      </c>
      <c r="I38" s="367">
        <f>SUM(I29:I37)</f>
        <v>0</v>
      </c>
      <c r="J38" s="367">
        <f>SUM(J29:J37)</f>
        <v>0</v>
      </c>
      <c r="K38" s="359"/>
    </row>
    <row r="39" spans="1:11" s="360" customFormat="1" ht="11.75">
      <c r="A39" s="357" t="s">
        <v>144</v>
      </c>
      <c r="B39" s="358"/>
      <c r="C39" s="358"/>
      <c r="D39" s="358"/>
      <c r="E39" s="358"/>
      <c r="F39" s="358"/>
      <c r="G39" s="358"/>
      <c r="H39" s="358"/>
      <c r="I39" s="358"/>
      <c r="J39" s="358"/>
      <c r="K39" s="359"/>
    </row>
    <row r="40" spans="1:11" s="360" customFormat="1" ht="11.75">
      <c r="A40" s="364" t="s">
        <v>145</v>
      </c>
      <c r="B40" s="361">
        <f>'Sources and Uses Budget'!C40</f>
        <v>500000</v>
      </c>
      <c r="C40" s="362"/>
      <c r="D40" s="362"/>
      <c r="E40" s="361">
        <f>'Sources and Uses Budget'!S40</f>
        <v>500000</v>
      </c>
      <c r="F40" s="362"/>
      <c r="G40" s="362"/>
      <c r="H40" s="361">
        <f>'Sources and Uses Budget'!T40</f>
        <v>0</v>
      </c>
      <c r="I40" s="362"/>
      <c r="J40" s="362"/>
      <c r="K40" s="359"/>
    </row>
    <row r="41" spans="1:11" s="360" customFormat="1" ht="11.75">
      <c r="A41" s="364" t="s">
        <v>146</v>
      </c>
      <c r="B41" s="361">
        <f>'Sources and Uses Budget'!C41</f>
        <v>100000</v>
      </c>
      <c r="C41" s="362"/>
      <c r="D41" s="362"/>
      <c r="E41" s="361">
        <f>'Sources and Uses Budget'!S41</f>
        <v>100000</v>
      </c>
      <c r="F41" s="362"/>
      <c r="G41" s="362"/>
      <c r="H41" s="361">
        <f>'Sources and Uses Budget'!T41</f>
        <v>0</v>
      </c>
      <c r="I41" s="362"/>
      <c r="J41" s="362"/>
      <c r="K41" s="359"/>
    </row>
    <row r="42" spans="1:11" s="360" customFormat="1">
      <c r="A42" s="365" t="s">
        <v>147</v>
      </c>
      <c r="B42" s="361">
        <f>'Sources and Uses Budget'!C42</f>
        <v>600000</v>
      </c>
      <c r="C42" s="361">
        <f>SUM(C39:C41)</f>
        <v>0</v>
      </c>
      <c r="D42" s="361">
        <f>SUM(D39:D41)</f>
        <v>0</v>
      </c>
      <c r="E42" s="361">
        <f>'Sources and Uses Budget'!S42</f>
        <v>600000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190000</v>
      </c>
      <c r="C43" s="362"/>
      <c r="D43" s="362"/>
      <c r="E43" s="361">
        <f>'Sources and Uses Budget'!S43</f>
        <v>190000</v>
      </c>
      <c r="F43" s="362"/>
      <c r="G43" s="362"/>
      <c r="H43" s="361">
        <f>'Sources and Uses Budget'!T43</f>
        <v>0</v>
      </c>
      <c r="I43" s="362"/>
      <c r="J43" s="362"/>
      <c r="K43" s="359"/>
    </row>
    <row r="44" spans="1:11" s="360" customFormat="1" ht="11.75">
      <c r="A44" s="357" t="s">
        <v>149</v>
      </c>
      <c r="B44" s="358"/>
      <c r="C44" s="358"/>
      <c r="D44" s="358"/>
      <c r="E44" s="358"/>
      <c r="F44" s="358"/>
      <c r="G44" s="358"/>
      <c r="H44" s="358"/>
      <c r="I44" s="358"/>
      <c r="J44" s="358"/>
      <c r="K44" s="359"/>
    </row>
    <row r="45" spans="1:11" s="360" customFormat="1" ht="11.75">
      <c r="A45" s="364" t="s">
        <v>150</v>
      </c>
      <c r="B45" s="361">
        <f>'Sources and Uses Budget'!C45</f>
        <v>2760000</v>
      </c>
      <c r="C45" s="362"/>
      <c r="D45" s="362"/>
      <c r="E45" s="361">
        <f>'Sources and Uses Budget'!S45</f>
        <v>2760000</v>
      </c>
      <c r="F45" s="362"/>
      <c r="G45" s="362"/>
      <c r="H45" s="361">
        <f>'Sources and Uses Budget'!T45</f>
        <v>0</v>
      </c>
      <c r="I45" s="362"/>
      <c r="J45" s="362"/>
      <c r="K45" s="359"/>
    </row>
    <row r="46" spans="1:11" s="360" customFormat="1" ht="11.75">
      <c r="A46" s="364" t="s">
        <v>151</v>
      </c>
      <c r="B46" s="361">
        <f>'Sources and Uses Budget'!C46</f>
        <v>360000</v>
      </c>
      <c r="C46" s="362"/>
      <c r="D46" s="362"/>
      <c r="E46" s="361">
        <f>'Sources and Uses Budget'!S46</f>
        <v>360000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75">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75">
      <c r="A49" s="283" t="s">
        <v>57</v>
      </c>
      <c r="B49" s="361">
        <f>'Sources and Uses Budget'!C49</f>
        <v>80000</v>
      </c>
      <c r="C49" s="362"/>
      <c r="D49" s="362"/>
      <c r="E49" s="361">
        <f>'Sources and Uses Budget'!S49</f>
        <v>80000</v>
      </c>
      <c r="F49" s="362"/>
      <c r="G49" s="362"/>
      <c r="H49" s="361">
        <f>'Sources and Uses Budget'!T49</f>
        <v>0</v>
      </c>
      <c r="I49" s="362"/>
      <c r="J49" s="362"/>
      <c r="K49" s="359"/>
    </row>
    <row r="50" spans="1:11" s="360" customFormat="1" ht="11.75">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ht="11.75">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ht="11.75">
      <c r="A52" s="364" t="s">
        <v>155</v>
      </c>
      <c r="B52" s="361">
        <f>'Sources and Uses Budget'!C52</f>
        <v>237600</v>
      </c>
      <c r="C52" s="362"/>
      <c r="D52" s="362"/>
      <c r="E52" s="361">
        <f>'Sources and Uses Budget'!S52</f>
        <v>237600</v>
      </c>
      <c r="F52" s="362"/>
      <c r="G52" s="362"/>
      <c r="H52" s="361">
        <f>'Sources and Uses Budget'!T52</f>
        <v>0</v>
      </c>
      <c r="I52" s="362"/>
      <c r="J52" s="362"/>
      <c r="K52" s="359"/>
    </row>
    <row r="53" spans="1:11" s="360" customFormat="1" ht="11.75">
      <c r="A53" s="364" t="str">
        <f>'Sources and Uses Budget'!$A53</f>
        <v>Construction Lender Costs (Legal, Etc.)</v>
      </c>
      <c r="B53" s="361">
        <f>'Sources and Uses Budget'!C53</f>
        <v>100000</v>
      </c>
      <c r="C53" s="362"/>
      <c r="D53" s="362"/>
      <c r="E53" s="361">
        <f>'Sources and Uses Budget'!S53</f>
        <v>100000</v>
      </c>
      <c r="F53" s="362"/>
      <c r="G53" s="362"/>
      <c r="H53" s="361">
        <f>'Sources and Uses Budget'!T53</f>
        <v>0</v>
      </c>
      <c r="I53" s="362"/>
      <c r="J53" s="362"/>
      <c r="K53" s="359"/>
    </row>
    <row r="54" spans="1:11" s="369" customFormat="1">
      <c r="A54" s="365" t="s">
        <v>157</v>
      </c>
      <c r="B54" s="361">
        <f>'Sources and Uses Budget'!C54</f>
        <v>3717600</v>
      </c>
      <c r="C54" s="367">
        <f>SUM(C45:C53)</f>
        <v>0</v>
      </c>
      <c r="D54" s="367">
        <f>SUM(D45:D53)</f>
        <v>0</v>
      </c>
      <c r="E54" s="361">
        <f>'Sources and Uses Budget'!S54</f>
        <v>3717600</v>
      </c>
      <c r="F54" s="367">
        <f>SUM(F45:F53)</f>
        <v>0</v>
      </c>
      <c r="G54" s="367">
        <f>SUM(G45:G53)</f>
        <v>0</v>
      </c>
      <c r="H54" s="361">
        <f>'Sources and Uses Budget'!T54</f>
        <v>0</v>
      </c>
      <c r="I54" s="367">
        <f>SUM(I45:I53)</f>
        <v>0</v>
      </c>
      <c r="J54" s="367">
        <f>SUM(J45:J53)</f>
        <v>0</v>
      </c>
      <c r="K54" s="368"/>
    </row>
    <row r="55" spans="1:11" s="360" customFormat="1" ht="11.75">
      <c r="A55" s="357" t="s">
        <v>418</v>
      </c>
      <c r="B55" s="358"/>
      <c r="C55" s="358"/>
      <c r="D55" s="358"/>
      <c r="E55" s="358"/>
      <c r="F55" s="358"/>
      <c r="G55" s="358"/>
      <c r="H55" s="358"/>
      <c r="I55" s="358"/>
      <c r="J55" s="358"/>
      <c r="K55" s="359"/>
    </row>
    <row r="56" spans="1:11" s="360" customFormat="1" ht="11.75">
      <c r="A56" s="364" t="s">
        <v>158</v>
      </c>
      <c r="B56" s="361">
        <f>'Sources and Uses Budget'!C56</f>
        <v>64000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ht="11.75">
      <c r="A58" s="364" t="s">
        <v>156</v>
      </c>
      <c r="B58" s="361">
        <f>'Sources and Uses Budget'!C58</f>
        <v>10000</v>
      </c>
      <c r="C58" s="362"/>
      <c r="D58" s="362"/>
      <c r="E58" s="363"/>
      <c r="F58" s="363"/>
      <c r="G58" s="363"/>
      <c r="H58" s="363"/>
      <c r="I58" s="363"/>
      <c r="J58" s="363"/>
      <c r="K58" s="359"/>
    </row>
    <row r="59" spans="1:11" s="360" customFormat="1" ht="11.75">
      <c r="A59" s="364" t="s">
        <v>154</v>
      </c>
      <c r="B59" s="361">
        <f>'Sources and Uses Budget'!C59</f>
        <v>0</v>
      </c>
      <c r="C59" s="362"/>
      <c r="D59" s="362"/>
      <c r="E59" s="363"/>
      <c r="F59" s="363"/>
      <c r="G59" s="363"/>
      <c r="H59" s="363"/>
      <c r="I59" s="363"/>
      <c r="J59" s="363"/>
      <c r="K59" s="359"/>
    </row>
    <row r="60" spans="1:11" s="360" customFormat="1" ht="11.75">
      <c r="A60" s="364" t="s">
        <v>155</v>
      </c>
      <c r="B60" s="361">
        <f>'Sources and Uses Budget'!C60</f>
        <v>0</v>
      </c>
      <c r="C60" s="362"/>
      <c r="D60" s="362"/>
      <c r="E60" s="363"/>
      <c r="F60" s="363"/>
      <c r="G60" s="363"/>
      <c r="H60" s="363"/>
      <c r="I60" s="363"/>
      <c r="J60" s="363"/>
      <c r="K60" s="359"/>
    </row>
    <row r="61" spans="1:11" s="360" customFormat="1" ht="11.75">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301</v>
      </c>
      <c r="B62" s="361">
        <f>'Sources and Uses Budget'!C62</f>
        <v>114000</v>
      </c>
      <c r="C62" s="361">
        <f>SUM(C56:C61)</f>
        <v>0</v>
      </c>
      <c r="D62" s="361">
        <f>SUM(D56:D61)</f>
        <v>0</v>
      </c>
      <c r="E62" s="363"/>
      <c r="F62" s="363"/>
      <c r="G62" s="363"/>
      <c r="H62" s="363"/>
      <c r="I62" s="363"/>
      <c r="J62" s="363"/>
      <c r="K62" s="359"/>
    </row>
    <row r="63" spans="1:11" s="360" customFormat="1" ht="11.75">
      <c r="A63" s="370" t="s">
        <v>302</v>
      </c>
      <c r="B63" s="361">
        <f>'Sources and Uses Budget'!C63</f>
        <v>44463396</v>
      </c>
      <c r="C63" s="361">
        <f>SUM(C8+C11+C13+C14+C15+C26+C27+C38+C42+C43+C54+C62)</f>
        <v>0</v>
      </c>
      <c r="D63" s="361">
        <f>SUM(D8+D11+D13+D14+D15+D26+D27+D38+D42+D43+D54+D62)</f>
        <v>0</v>
      </c>
      <c r="E63" s="361">
        <f>'Sources and Uses Budget'!S63</f>
        <v>43769396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3.5">
      <c r="A64" s="141" t="s">
        <v>1642</v>
      </c>
      <c r="B64" s="358"/>
      <c r="C64" s="358"/>
      <c r="D64" s="358"/>
      <c r="E64" s="358"/>
      <c r="F64" s="358"/>
      <c r="G64" s="358"/>
      <c r="H64" s="358"/>
      <c r="I64" s="358"/>
      <c r="J64" s="358"/>
      <c r="K64" s="359"/>
    </row>
    <row r="65" spans="1:11" s="360" customFormat="1" ht="11.75">
      <c r="A65" s="145" t="s">
        <v>171</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5">
      <c r="A66" s="283" t="s">
        <v>1639</v>
      </c>
      <c r="B66" s="361">
        <f>'Sources and Uses Budget'!C66</f>
        <v>0</v>
      </c>
      <c r="C66" s="362"/>
      <c r="D66" s="362"/>
      <c r="E66" s="361">
        <f>'Sources and Uses Budget'!S66</f>
        <v>0</v>
      </c>
      <c r="F66" s="362"/>
      <c r="G66" s="362"/>
      <c r="H66" s="361">
        <f>'Sources and Uses Budget'!T66</f>
        <v>0</v>
      </c>
      <c r="I66" s="362"/>
      <c r="J66" s="362"/>
      <c r="K66" s="359"/>
    </row>
    <row r="67" spans="1:11" s="360" customFormat="1" ht="23.5">
      <c r="A67" s="283" t="s">
        <v>1640</v>
      </c>
      <c r="B67" s="361">
        <f>'Sources and Uses Budget'!C67</f>
        <v>0</v>
      </c>
      <c r="C67" s="362"/>
      <c r="D67" s="362"/>
      <c r="E67" s="361">
        <f>'Sources and Uses Budget'!S67</f>
        <v>0</v>
      </c>
      <c r="F67" s="362"/>
      <c r="G67" s="362"/>
      <c r="H67" s="361">
        <f>'Sources and Uses Budget'!T67</f>
        <v>0</v>
      </c>
      <c r="I67" s="362"/>
      <c r="J67" s="362"/>
      <c r="K67" s="359"/>
    </row>
    <row r="68" spans="1:11" s="360" customFormat="1" ht="11.75">
      <c r="A68" s="283" t="s">
        <v>1646</v>
      </c>
      <c r="B68" s="361">
        <f>'Sources and Uses Budget'!C68</f>
        <v>0</v>
      </c>
      <c r="C68" s="362"/>
      <c r="D68" s="362"/>
      <c r="E68" s="361">
        <f>'Sources and Uses Budget'!S68</f>
        <v>0</v>
      </c>
      <c r="F68" s="362"/>
      <c r="G68" s="362"/>
      <c r="H68" s="361">
        <f>'Sources and Uses Budget'!T68</f>
        <v>0</v>
      </c>
      <c r="I68" s="362"/>
      <c r="J68" s="362"/>
      <c r="K68" s="359"/>
    </row>
    <row r="69" spans="1:11" s="360" customFormat="1" ht="11.75">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180000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1.75">
      <c r="A71" s="357" t="s">
        <v>601</v>
      </c>
      <c r="B71" s="358"/>
      <c r="C71" s="358"/>
      <c r="D71" s="358"/>
      <c r="E71" s="358"/>
      <c r="F71" s="358"/>
      <c r="G71" s="358"/>
      <c r="H71" s="358"/>
      <c r="I71" s="358"/>
      <c r="J71" s="358"/>
      <c r="K71" s="359"/>
    </row>
    <row r="72" spans="1:11" s="360" customFormat="1" ht="11.75">
      <c r="A72" s="364" t="s">
        <v>602</v>
      </c>
      <c r="B72" s="361">
        <f>'Sources and Uses Budget'!C72</f>
        <v>0</v>
      </c>
      <c r="C72" s="362"/>
      <c r="D72" s="362"/>
      <c r="E72" s="363"/>
      <c r="F72" s="363"/>
      <c r="G72" s="363"/>
      <c r="H72" s="363"/>
      <c r="I72" s="363"/>
      <c r="J72" s="363"/>
      <c r="K72" s="359"/>
    </row>
    <row r="73" spans="1:11" s="360" customFormat="1" ht="11.75">
      <c r="A73" s="364" t="s">
        <v>603</v>
      </c>
      <c r="B73" s="361">
        <f>'Sources and Uses Budget'!C73</f>
        <v>0</v>
      </c>
      <c r="C73" s="362"/>
      <c r="D73" s="362"/>
      <c r="E73" s="363"/>
      <c r="F73" s="363"/>
      <c r="G73" s="363"/>
      <c r="H73" s="363"/>
      <c r="I73" s="363"/>
      <c r="J73" s="363"/>
      <c r="K73" s="359"/>
    </row>
    <row r="74" spans="1:11" s="360" customFormat="1" ht="11.75">
      <c r="A74" s="366" t="s">
        <v>984</v>
      </c>
      <c r="B74" s="361">
        <f>'Sources and Uses Budget'!C74</f>
        <v>0</v>
      </c>
      <c r="C74" s="362"/>
      <c r="D74" s="362"/>
      <c r="E74" s="363"/>
      <c r="F74" s="363"/>
      <c r="G74" s="363"/>
      <c r="H74" s="363"/>
      <c r="I74" s="363"/>
      <c r="J74" s="363"/>
      <c r="K74" s="359"/>
    </row>
    <row r="75" spans="1:11" s="360" customFormat="1" ht="11.75">
      <c r="A75" s="364" t="s">
        <v>604</v>
      </c>
      <c r="B75" s="361">
        <f>'Sources and Uses Budget'!C75</f>
        <v>221505</v>
      </c>
      <c r="C75" s="362"/>
      <c r="D75" s="362"/>
      <c r="E75" s="363"/>
      <c r="F75" s="363"/>
      <c r="G75" s="363"/>
      <c r="H75" s="363"/>
      <c r="I75" s="363"/>
      <c r="J75" s="363"/>
      <c r="K75" s="359"/>
    </row>
    <row r="76" spans="1:11" s="360" customFormat="1" ht="11.75">
      <c r="A76" s="364" t="str">
        <f>'Sources and Uses Budget'!$A76</f>
        <v>Post Construction Interest Reserve</v>
      </c>
      <c r="B76" s="361">
        <f>'Sources and Uses Budget'!C76</f>
        <v>150000</v>
      </c>
      <c r="C76" s="362"/>
      <c r="D76" s="362"/>
      <c r="E76" s="363"/>
      <c r="F76" s="363"/>
      <c r="G76" s="363"/>
      <c r="H76" s="363"/>
      <c r="I76" s="363"/>
      <c r="J76" s="363"/>
      <c r="K76" s="359"/>
    </row>
    <row r="77" spans="1:11" s="360" customFormat="1">
      <c r="A77" s="365" t="s">
        <v>605</v>
      </c>
      <c r="B77" s="361">
        <f>'Sources and Uses Budget'!C77</f>
        <v>371505</v>
      </c>
      <c r="C77" s="361">
        <f>SUM(C72:C76)</f>
        <v>0</v>
      </c>
      <c r="D77" s="361">
        <f>SUM(D72:D76)</f>
        <v>0</v>
      </c>
      <c r="E77" s="363"/>
      <c r="F77" s="363"/>
      <c r="G77" s="363"/>
      <c r="H77" s="363"/>
      <c r="I77" s="363"/>
      <c r="J77" s="363"/>
      <c r="K77" s="359"/>
    </row>
    <row r="78" spans="1:11" s="360" customFormat="1" ht="11.75">
      <c r="A78" s="357" t="s">
        <v>1208</v>
      </c>
      <c r="B78" s="358"/>
      <c r="C78" s="358"/>
      <c r="D78" s="358"/>
      <c r="E78" s="358"/>
      <c r="F78" s="358"/>
      <c r="G78" s="358"/>
      <c r="H78" s="358"/>
      <c r="I78" s="358"/>
      <c r="J78" s="358"/>
      <c r="K78" s="359"/>
    </row>
    <row r="79" spans="1:11" s="360" customFormat="1" ht="11.75">
      <c r="A79" s="364" t="s">
        <v>1210</v>
      </c>
      <c r="B79" s="361">
        <f>'Sources and Uses Budget'!C79</f>
        <v>1950000</v>
      </c>
      <c r="C79" s="362"/>
      <c r="D79" s="362"/>
      <c r="E79" s="361">
        <f>'Sources and Uses Budget'!S79</f>
        <v>1950000</v>
      </c>
      <c r="F79" s="362"/>
      <c r="G79" s="362"/>
      <c r="H79" s="361">
        <f>'Sources and Uses Budget'!T79</f>
        <v>0</v>
      </c>
      <c r="I79" s="362"/>
      <c r="J79" s="362"/>
      <c r="K79" s="359"/>
    </row>
    <row r="80" spans="1:11" s="360" customFormat="1" ht="11.75">
      <c r="A80" s="364" t="s">
        <v>58</v>
      </c>
      <c r="B80" s="361">
        <f>'Sources and Uses Budget'!C80</f>
        <v>500000</v>
      </c>
      <c r="C80" s="362"/>
      <c r="D80" s="362"/>
      <c r="E80" s="361">
        <f>'Sources and Uses Budget'!S80</f>
        <v>500000</v>
      </c>
      <c r="F80" s="362"/>
      <c r="G80" s="362"/>
      <c r="H80" s="361">
        <f>'Sources and Uses Budget'!T80</f>
        <v>0</v>
      </c>
      <c r="I80" s="362"/>
      <c r="J80" s="362"/>
      <c r="K80" s="359"/>
    </row>
    <row r="81" spans="1:11" s="360" customFormat="1">
      <c r="A81" s="365" t="s">
        <v>1207</v>
      </c>
      <c r="B81" s="361">
        <f>'Sources and Uses Budget'!C81</f>
        <v>2450000</v>
      </c>
      <c r="C81" s="361">
        <f>SUM(C79:C80)</f>
        <v>0</v>
      </c>
      <c r="D81" s="361">
        <f>SUM(D79:D80)</f>
        <v>0</v>
      </c>
      <c r="E81" s="361">
        <f>'Sources and Uses Budget'!S81</f>
        <v>2450000</v>
      </c>
      <c r="F81" s="361">
        <f>SUM(F79:F80)</f>
        <v>0</v>
      </c>
      <c r="G81" s="361">
        <f>SUM(G79:G80)</f>
        <v>0</v>
      </c>
      <c r="H81" s="361">
        <f>'Sources and Uses Budget'!T81</f>
        <v>0</v>
      </c>
      <c r="I81" s="361">
        <f>SUM(I79:I80)</f>
        <v>0</v>
      </c>
      <c r="J81" s="361">
        <f>SUM(J79:J80)</f>
        <v>0</v>
      </c>
      <c r="K81" s="359"/>
    </row>
    <row r="82" spans="1:11" s="360" customFormat="1" ht="11.75">
      <c r="A82" s="357" t="s">
        <v>763</v>
      </c>
      <c r="B82" s="358"/>
      <c r="C82" s="358"/>
      <c r="D82" s="358"/>
      <c r="E82" s="358"/>
      <c r="F82" s="358"/>
      <c r="G82" s="358"/>
      <c r="H82" s="358"/>
      <c r="I82" s="358"/>
      <c r="J82" s="358"/>
      <c r="K82" s="359"/>
    </row>
    <row r="83" spans="1:11" s="360" customFormat="1" ht="13.75" customHeight="1">
      <c r="A83" s="145" t="s">
        <v>2092</v>
      </c>
      <c r="B83" s="361">
        <f>'Sources and Uses Budget'!C83</f>
        <v>60201</v>
      </c>
      <c r="C83" s="362"/>
      <c r="D83" s="362"/>
      <c r="E83" s="363"/>
      <c r="F83" s="363"/>
      <c r="G83" s="363"/>
      <c r="H83" s="363"/>
      <c r="I83" s="363"/>
      <c r="J83" s="363"/>
      <c r="K83" s="359"/>
    </row>
    <row r="84" spans="1:11" s="360" customFormat="1" ht="11.75">
      <c r="A84" s="145" t="s">
        <v>765</v>
      </c>
      <c r="B84" s="361">
        <f>'Sources and Uses Budget'!C84</f>
        <v>10000</v>
      </c>
      <c r="C84" s="362"/>
      <c r="D84" s="362"/>
      <c r="E84" s="361">
        <f>'Sources and Uses Budget'!S84</f>
        <v>10000</v>
      </c>
      <c r="F84" s="362"/>
      <c r="G84" s="362"/>
      <c r="H84" s="361">
        <f>'Sources and Uses Budget'!T84</f>
        <v>0</v>
      </c>
      <c r="I84" s="362"/>
      <c r="J84" s="362"/>
      <c r="K84" s="359"/>
    </row>
    <row r="85" spans="1:11" s="360" customFormat="1" ht="11.75">
      <c r="A85" s="145" t="s">
        <v>766</v>
      </c>
      <c r="B85" s="361">
        <f>'Sources and Uses Budget'!C85</f>
        <v>1081929</v>
      </c>
      <c r="C85" s="362"/>
      <c r="D85" s="362"/>
      <c r="E85" s="361">
        <f>'Sources and Uses Budget'!S85</f>
        <v>1081929</v>
      </c>
      <c r="F85" s="362"/>
      <c r="G85" s="362"/>
      <c r="H85" s="361">
        <f>'Sources and Uses Budget'!T85</f>
        <v>0</v>
      </c>
      <c r="I85" s="362"/>
      <c r="J85" s="362"/>
      <c r="K85" s="359"/>
    </row>
    <row r="86" spans="1:11" s="360" customFormat="1" ht="11.75">
      <c r="A86" s="145" t="s">
        <v>767</v>
      </c>
      <c r="B86" s="361">
        <f>'Sources and Uses Budget'!C86</f>
        <v>470000</v>
      </c>
      <c r="C86" s="362"/>
      <c r="D86" s="362"/>
      <c r="E86" s="361">
        <f>'Sources and Uses Budget'!S86</f>
        <v>470000</v>
      </c>
      <c r="F86" s="362"/>
      <c r="G86" s="362"/>
      <c r="H86" s="361">
        <f>'Sources and Uses Budget'!T86</f>
        <v>0</v>
      </c>
      <c r="I86" s="362"/>
      <c r="J86" s="362"/>
      <c r="K86" s="359"/>
    </row>
    <row r="87" spans="1:11" s="360" customFormat="1" ht="11.75">
      <c r="A87" s="145" t="s">
        <v>768</v>
      </c>
      <c r="B87" s="361">
        <f>'Sources and Uses Budget'!C87</f>
        <v>0</v>
      </c>
      <c r="C87" s="362"/>
      <c r="D87" s="362"/>
      <c r="E87" s="361">
        <f>'Sources and Uses Budget'!S87</f>
        <v>0</v>
      </c>
      <c r="F87" s="362"/>
      <c r="G87" s="362"/>
      <c r="H87" s="361">
        <f>'Sources and Uses Budget'!T87</f>
        <v>0</v>
      </c>
      <c r="I87" s="362"/>
      <c r="J87" s="362"/>
      <c r="K87" s="359"/>
    </row>
    <row r="88" spans="1:11" s="360" customFormat="1" ht="11.75">
      <c r="A88" s="145" t="s">
        <v>769</v>
      </c>
      <c r="B88" s="361">
        <f>'Sources and Uses Budget'!C88</f>
        <v>59045</v>
      </c>
      <c r="C88" s="362"/>
      <c r="D88" s="362"/>
      <c r="E88" s="363"/>
      <c r="F88" s="363"/>
      <c r="G88" s="363"/>
      <c r="H88" s="363"/>
      <c r="I88" s="363"/>
      <c r="J88" s="363"/>
      <c r="K88" s="359"/>
    </row>
    <row r="89" spans="1:11" s="360" customFormat="1" ht="11.75">
      <c r="A89" s="145" t="s">
        <v>770</v>
      </c>
      <c r="B89" s="361">
        <f>'Sources and Uses Budget'!C89</f>
        <v>40000</v>
      </c>
      <c r="C89" s="362"/>
      <c r="D89" s="362"/>
      <c r="E89" s="361">
        <f>'Sources and Uses Budget'!S89</f>
        <v>40000</v>
      </c>
      <c r="F89" s="362"/>
      <c r="G89" s="362"/>
      <c r="H89" s="361">
        <f>'Sources and Uses Budget'!T89</f>
        <v>0</v>
      </c>
      <c r="I89" s="362"/>
      <c r="J89" s="362"/>
      <c r="K89" s="359"/>
    </row>
    <row r="90" spans="1:11" s="360" customFormat="1" ht="11.75">
      <c r="A90" s="145" t="s">
        <v>771</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1.75">
      <c r="A91" s="155" t="s">
        <v>372</v>
      </c>
      <c r="B91" s="361">
        <f>'Sources and Uses Budget'!C91</f>
        <v>15000</v>
      </c>
      <c r="C91" s="362"/>
      <c r="D91" s="362"/>
      <c r="E91" s="361">
        <f>'Sources and Uses Budget'!S91</f>
        <v>15000</v>
      </c>
      <c r="F91" s="362"/>
      <c r="G91" s="362"/>
      <c r="H91" s="361">
        <f>'Sources and Uses Budget'!T91</f>
        <v>0</v>
      </c>
      <c r="I91" s="362"/>
      <c r="J91" s="362"/>
      <c r="K91" s="359"/>
    </row>
    <row r="92" spans="1:11" s="360" customFormat="1" ht="11.75">
      <c r="A92" s="508" t="s">
        <v>1209</v>
      </c>
      <c r="B92" s="361">
        <f>'Sources and Uses Budget'!C92</f>
        <v>15000</v>
      </c>
      <c r="C92" s="362"/>
      <c r="D92" s="362"/>
      <c r="E92" s="361">
        <f>'Sources and Uses Budget'!S92</f>
        <v>15000</v>
      </c>
      <c r="F92" s="362"/>
      <c r="G92" s="362"/>
      <c r="H92" s="361">
        <f>'Sources and Uses Budget'!T92</f>
        <v>0</v>
      </c>
      <c r="I92" s="362"/>
      <c r="J92" s="362"/>
      <c r="K92" s="359"/>
    </row>
    <row r="93" spans="1:11" s="360" customFormat="1" ht="11.75">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75">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75">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772</v>
      </c>
      <c r="B96" s="361">
        <f>'Sources and Uses Budget'!C96</f>
        <v>1761175</v>
      </c>
      <c r="C96" s="361">
        <f>SUM(C83:C95)</f>
        <v>0</v>
      </c>
      <c r="D96" s="361">
        <f>SUM(D83:D95)</f>
        <v>0</v>
      </c>
      <c r="E96" s="361">
        <f>'Sources and Uses Budget'!S96</f>
        <v>1641929</v>
      </c>
      <c r="F96" s="367">
        <f>SUM(F84:F87,F89:F95)</f>
        <v>0</v>
      </c>
      <c r="G96" s="367">
        <f>SUM(G84:G87,G89:G95)</f>
        <v>0</v>
      </c>
      <c r="H96" s="361">
        <f>'Sources and Uses Budget'!T96</f>
        <v>0</v>
      </c>
      <c r="I96" s="361">
        <f>SUM(I84:I87,I89:I95)</f>
        <v>0</v>
      </c>
      <c r="J96" s="361">
        <f>SUM(J84:J87,J89:J95)</f>
        <v>0</v>
      </c>
      <c r="K96" s="359"/>
    </row>
    <row r="97" spans="1:11" s="360" customFormat="1">
      <c r="A97" s="365" t="s">
        <v>1027</v>
      </c>
      <c r="B97" s="361">
        <f>'Sources and Uses Budget'!C97</f>
        <v>49226076</v>
      </c>
      <c r="C97" s="361">
        <f>SUM(C63+C70+C77+C81+C96)</f>
        <v>0</v>
      </c>
      <c r="D97" s="361">
        <f>SUM(D63+D70+D77+D81+D96)</f>
        <v>0</v>
      </c>
      <c r="E97" s="361">
        <f>'Sources and Uses Budget'!S97</f>
        <v>47961325</v>
      </c>
      <c r="F97" s="367">
        <f>SUM(+F63+F70+F81+F96)</f>
        <v>0</v>
      </c>
      <c r="G97" s="367">
        <f>SUM(+G63+G70+G81+G96)</f>
        <v>0</v>
      </c>
      <c r="H97" s="361">
        <f>'Sources and Uses Budget'!T97</f>
        <v>0</v>
      </c>
      <c r="I97" s="367">
        <f>SUM(I63+I70+I81+I96)</f>
        <v>0</v>
      </c>
      <c r="J97" s="367">
        <f>SUM(J63+J70+J81+J96)</f>
        <v>0</v>
      </c>
      <c r="K97" s="359"/>
    </row>
    <row r="98" spans="1:11" s="360" customFormat="1" ht="11.75">
      <c r="A98" s="357" t="s">
        <v>774</v>
      </c>
      <c r="B98" s="358"/>
      <c r="C98" s="358"/>
      <c r="D98" s="358"/>
      <c r="E98" s="358"/>
      <c r="F98" s="358"/>
      <c r="G98" s="358"/>
      <c r="H98" s="358"/>
      <c r="I98" s="358"/>
      <c r="J98" s="358"/>
      <c r="K98" s="359"/>
    </row>
    <row r="99" spans="1:11" s="360" customFormat="1" ht="11.75">
      <c r="A99" s="145" t="s">
        <v>775</v>
      </c>
      <c r="B99" s="361">
        <f>'Sources and Uses Budget'!C99</f>
        <v>7194198</v>
      </c>
      <c r="C99" s="362"/>
      <c r="D99" s="362"/>
      <c r="E99" s="361">
        <f>'Sources and Uses Budget'!S99</f>
        <v>7194198</v>
      </c>
      <c r="F99" s="362"/>
      <c r="G99" s="362"/>
      <c r="H99" s="361">
        <f>'Sources and Uses Budget'!T99</f>
        <v>0</v>
      </c>
      <c r="I99" s="362"/>
      <c r="J99" s="362"/>
      <c r="K99" s="359"/>
    </row>
    <row r="100" spans="1:11" s="360" customFormat="1" ht="11.75">
      <c r="A100" s="283" t="s">
        <v>1644</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75">
      <c r="A101" s="145" t="s">
        <v>776</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1645</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75">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777</v>
      </c>
      <c r="B104" s="361">
        <f>'Sources and Uses Budget'!C104</f>
        <v>7194198</v>
      </c>
      <c r="C104" s="361">
        <f>SUM(C99:C103)</f>
        <v>0</v>
      </c>
      <c r="D104" s="361">
        <f>SUM(D99:D103)</f>
        <v>0</v>
      </c>
      <c r="E104" s="361">
        <f>'Sources and Uses Budget'!S104</f>
        <v>7194198</v>
      </c>
      <c r="F104" s="367">
        <f>SUM(F99:F103)</f>
        <v>0</v>
      </c>
      <c r="G104" s="367">
        <f>SUM(G99:G103)</f>
        <v>0</v>
      </c>
      <c r="H104" s="361">
        <f>'Sources and Uses Budget'!T104</f>
        <v>0</v>
      </c>
      <c r="I104" s="367">
        <f>SUM(I99:I103)</f>
        <v>0</v>
      </c>
      <c r="J104" s="367">
        <f>SUM(J99:J103)</f>
        <v>0</v>
      </c>
      <c r="K104" s="359"/>
    </row>
    <row r="105" spans="1:11" s="360" customFormat="1">
      <c r="A105" s="365" t="s">
        <v>1028</v>
      </c>
      <c r="B105" s="361">
        <f>'Sources and Uses Budget'!C105</f>
        <v>56420274</v>
      </c>
      <c r="C105" s="367">
        <f>SUM(C97+C104)</f>
        <v>0</v>
      </c>
      <c r="D105" s="367">
        <f>SUM(D97+D104)</f>
        <v>0</v>
      </c>
      <c r="E105" s="361">
        <f>'Sources and Uses Budget'!S105</f>
        <v>55155523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55155523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ht="11.75">
      <c r="B117" s="375"/>
      <c r="C117" s="375"/>
      <c r="D117" s="375"/>
      <c r="J117" s="376"/>
      <c r="K117" s="359"/>
    </row>
    <row r="118" spans="1:11" s="360" customFormat="1" ht="11.75">
      <c r="J118" s="376"/>
      <c r="K118" s="359"/>
    </row>
    <row r="119" spans="1:11" s="360" customFormat="1" ht="11.75">
      <c r="J119" s="376"/>
      <c r="K119" s="359"/>
    </row>
    <row r="120" spans="1:11" s="360" customFormat="1" ht="11.75">
      <c r="J120" s="376"/>
      <c r="K120" s="359"/>
    </row>
    <row r="121" spans="1:11" s="360" customFormat="1" ht="15">
      <c r="A121" s="378"/>
      <c r="J121" s="376"/>
      <c r="K121" s="359"/>
    </row>
    <row r="122" spans="1:11" s="380" customFormat="1" ht="15.5">
      <c r="A122" s="379"/>
      <c r="J122" s="381"/>
      <c r="K122" s="382"/>
    </row>
    <row r="123" spans="1:11" s="360" customFormat="1" ht="11.75">
      <c r="A123" s="383"/>
      <c r="J123" s="376"/>
      <c r="K123" s="359"/>
    </row>
    <row r="124" spans="1:11" s="360" customFormat="1" ht="11.75">
      <c r="B124" s="384"/>
      <c r="D124" s="1872"/>
      <c r="E124" s="1312"/>
      <c r="F124" s="1312"/>
      <c r="G124" s="1312"/>
      <c r="H124" s="1312"/>
      <c r="I124" s="1312"/>
      <c r="J124" s="376"/>
      <c r="K124" s="359"/>
    </row>
    <row r="125" spans="1:11" s="360" customFormat="1" ht="13">
      <c r="A125" s="385"/>
      <c r="B125" s="384"/>
      <c r="C125" s="385"/>
      <c r="D125" s="1312"/>
      <c r="E125" s="1312"/>
      <c r="F125" s="1312"/>
      <c r="G125" s="1312"/>
      <c r="H125" s="1312"/>
      <c r="I125" s="1312"/>
      <c r="J125" s="376"/>
      <c r="K125" s="359"/>
    </row>
    <row r="126" spans="1:11" s="360" customFormat="1" ht="13">
      <c r="A126" s="385"/>
      <c r="B126" s="384"/>
      <c r="C126" s="385"/>
      <c r="D126" s="1312"/>
      <c r="E126" s="1312"/>
      <c r="F126" s="1312"/>
      <c r="G126" s="1312"/>
      <c r="H126" s="1312"/>
      <c r="I126" s="1312"/>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36328125" style="1187" hidden="1" customWidth="1"/>
    <col min="66" max="66" width="5.54296875" style="1256" bestFit="1" customWidth="1"/>
    <col min="67" max="68" width="5.54296875" style="1256" customWidth="1"/>
    <col min="69" max="69" width="8" style="1256" customWidth="1"/>
    <col min="70" max="70" width="6" style="1256" customWidth="1"/>
    <col min="71" max="71" width="6.08984375" style="1256" customWidth="1"/>
    <col min="72" max="76" width="5.54296875" style="1256" customWidth="1"/>
    <col min="77" max="77" width="6.08984375" style="1256" bestFit="1" customWidth="1"/>
    <col min="78" max="78" width="5.54296875" style="1187" bestFit="1" customWidth="1"/>
    <col min="79" max="16384" width="2.7265625" style="1187"/>
  </cols>
  <sheetData>
    <row r="1" spans="1:65" ht="15.75" customHeight="1">
      <c r="A1" s="1885" t="s">
        <v>2454</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2453</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654</v>
      </c>
      <c r="C4" s="1192"/>
      <c r="D4" s="1192"/>
      <c r="E4" s="1192"/>
      <c r="F4" s="1192"/>
      <c r="G4" s="1190"/>
      <c r="H4" s="1190"/>
      <c r="I4" s="1190"/>
      <c r="J4" s="1190"/>
      <c r="K4" s="1190"/>
      <c r="L4" s="1877" t="str">
        <f>IF(Application!H18="","",Application!H18)</f>
        <v>Kingfisher II</v>
      </c>
      <c r="M4" s="1878"/>
      <c r="N4" s="1878"/>
      <c r="O4" s="1878"/>
      <c r="P4" s="1878"/>
      <c r="Q4" s="1878"/>
      <c r="R4" s="1878"/>
      <c r="S4" s="1878"/>
      <c r="T4" s="1878"/>
      <c r="U4" s="1878"/>
      <c r="V4" s="1878"/>
      <c r="W4" s="1878"/>
      <c r="X4" s="1878"/>
      <c r="Y4" s="1878"/>
      <c r="Z4" s="1878"/>
      <c r="AA4" s="1878"/>
      <c r="AB4" s="1878"/>
      <c r="AC4" s="1879"/>
      <c r="AD4" s="1190"/>
      <c r="AE4" s="1190"/>
      <c r="AF4" s="1891" t="s">
        <v>2452</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2451</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1877" t="str">
        <f>IF(Application!H16="","",Application!H16)</f>
        <v>Central Valley Coalition for Affordable Housing, a CA Nonprofit Public Benefit Corp.</v>
      </c>
      <c r="M6" s="1878"/>
      <c r="N6" s="1878"/>
      <c r="O6" s="1878"/>
      <c r="P6" s="1878"/>
      <c r="Q6" s="1878"/>
      <c r="R6" s="1878"/>
      <c r="S6" s="1878"/>
      <c r="T6" s="1878"/>
      <c r="U6" s="1878"/>
      <c r="V6" s="1878"/>
      <c r="W6" s="1878"/>
      <c r="X6" s="1878"/>
      <c r="Y6" s="1878"/>
      <c r="Z6" s="1878"/>
      <c r="AA6" s="1878"/>
      <c r="AB6" s="1878"/>
      <c r="AC6" s="1879"/>
      <c r="AD6" s="1190"/>
      <c r="AE6" s="1190"/>
      <c r="AF6" s="1880" t="s">
        <v>2449</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ht="15.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2448</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ht="15.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2446</v>
      </c>
      <c r="AG8" s="1880"/>
      <c r="AH8" s="1880"/>
      <c r="AI8" s="1880"/>
      <c r="AJ8" s="1880"/>
      <c r="AK8" s="1880"/>
      <c r="AL8" s="1880"/>
      <c r="AM8" s="1880"/>
      <c r="AN8" s="1880"/>
      <c r="AO8" s="1880"/>
      <c r="AP8" s="1881" t="s">
        <v>2096</v>
      </c>
      <c r="AQ8" s="1881"/>
      <c r="AR8" s="1881"/>
      <c r="AS8" s="1881"/>
      <c r="AT8" s="1881"/>
      <c r="AU8" s="1881"/>
      <c r="AV8" s="1190"/>
      <c r="AW8" s="1190"/>
      <c r="AX8" s="1190"/>
      <c r="AY8" s="1190"/>
      <c r="AZ8" s="1190"/>
      <c r="BA8" s="1190"/>
      <c r="BB8" s="1190"/>
      <c r="BC8" s="1190"/>
      <c r="BD8" s="1190"/>
      <c r="BE8" s="1191"/>
      <c r="BM8" s="1187" t="s">
        <v>1981</v>
      </c>
    </row>
    <row r="9" spans="1:65" ht="14.7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2445</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2444</v>
      </c>
    </row>
    <row r="10" spans="1:65" ht="14.75">
      <c r="A10" s="1189"/>
      <c r="B10" s="1192" t="s">
        <v>2443</v>
      </c>
      <c r="C10" s="1192"/>
      <c r="D10" s="1192"/>
      <c r="E10" s="1192"/>
      <c r="F10" s="1192"/>
      <c r="G10" s="1192"/>
      <c r="H10" s="1192"/>
      <c r="I10" s="1192"/>
      <c r="J10" s="1192"/>
      <c r="K10" s="1192"/>
      <c r="L10" s="1192"/>
      <c r="M10" s="1190"/>
      <c r="N10" s="1906">
        <f>Application!AO627</f>
        <v>6400000</v>
      </c>
      <c r="O10" s="1906"/>
      <c r="P10" s="1906"/>
      <c r="Q10" s="1906"/>
      <c r="R10" s="1906"/>
      <c r="S10" s="1906"/>
      <c r="T10" s="1906"/>
      <c r="U10" s="1190"/>
      <c r="V10" s="1190"/>
      <c r="W10" s="1190"/>
      <c r="X10" s="1193"/>
      <c r="Y10" s="1193"/>
      <c r="Z10" s="1193"/>
      <c r="AA10" s="1193"/>
      <c r="AB10" s="1193"/>
      <c r="AC10" s="1193"/>
      <c r="AD10" s="1193"/>
      <c r="AE10" s="1193"/>
      <c r="AF10" s="1891" t="s">
        <v>2442</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2441</v>
      </c>
    </row>
    <row r="11" spans="1:65" ht="14.75">
      <c r="A11" s="1189"/>
      <c r="B11" s="1192" t="s">
        <v>2440</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2439</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2096</v>
      </c>
    </row>
    <row r="12" spans="1:65" ht="15.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ht="15.5" thickBot="1">
      <c r="A13" s="1190"/>
      <c r="B13" s="1894" t="s">
        <v>2437</v>
      </c>
      <c r="C13" s="1895"/>
      <c r="D13" s="1895"/>
      <c r="E13" s="1895"/>
      <c r="F13" s="1895"/>
      <c r="G13" s="1895"/>
      <c r="H13" s="1895"/>
      <c r="I13" s="1895"/>
      <c r="J13" s="1895"/>
      <c r="K13" s="1895"/>
      <c r="L13" s="1895"/>
      <c r="M13" s="1895"/>
      <c r="N13" s="1895"/>
      <c r="O13" s="1895"/>
      <c r="P13" s="1896"/>
      <c r="Q13" s="1897" t="s">
        <v>667</v>
      </c>
      <c r="R13" s="1898"/>
      <c r="S13" s="1898"/>
      <c r="T13" s="1899"/>
      <c r="U13" s="1193"/>
      <c r="V13" s="1190"/>
      <c r="W13" s="1190"/>
      <c r="X13" s="1190"/>
      <c r="Y13" s="1190"/>
      <c r="Z13" s="1190"/>
      <c r="AA13" s="1900" t="s">
        <v>2436</v>
      </c>
      <c r="AB13" s="1900"/>
      <c r="AC13" s="1900"/>
      <c r="AD13" s="1900"/>
      <c r="AE13" s="1900"/>
      <c r="AF13" s="1900"/>
      <c r="AG13" s="1900"/>
      <c r="AH13" s="1900"/>
      <c r="AI13" s="1900"/>
      <c r="AJ13" s="1900"/>
      <c r="AK13" s="1900"/>
      <c r="AL13" s="1900"/>
      <c r="AM13" s="1900"/>
      <c r="AN13" s="1900"/>
      <c r="AO13" s="1901">
        <f>Application!W473</f>
        <v>11</v>
      </c>
      <c r="AP13" s="1902"/>
      <c r="AQ13" s="1902"/>
      <c r="AR13" s="1902"/>
      <c r="AS13" s="1902"/>
      <c r="AT13" s="1193"/>
      <c r="AU13" s="1193"/>
      <c r="AV13" s="1193"/>
      <c r="AW13" s="1193"/>
      <c r="AX13" s="1193"/>
      <c r="AY13" s="1193"/>
      <c r="AZ13" s="1193"/>
      <c r="BA13" s="1193"/>
      <c r="BB13" s="1193"/>
      <c r="BC13" s="1193"/>
      <c r="BD13" s="1193"/>
      <c r="BE13" s="1194"/>
      <c r="BM13" s="1187" t="s">
        <v>2435</v>
      </c>
    </row>
    <row r="14" spans="1:65" ht="15.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2434</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ht="15.5" thickBot="1">
      <c r="A15" s="1190"/>
      <c r="B15" s="1907" t="s">
        <v>2433</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2432</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ht="15.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75">
      <c r="A17" s="1190"/>
      <c r="B17" s="1912" t="s">
        <v>2431</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2430</v>
      </c>
      <c r="C18" s="1916"/>
      <c r="D18" s="1916"/>
      <c r="E18" s="1916"/>
      <c r="F18" s="1916"/>
      <c r="G18" s="1916"/>
      <c r="H18" s="1916"/>
      <c r="I18" s="1917"/>
      <c r="J18" s="1918" t="s">
        <v>1584</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2429</v>
      </c>
      <c r="AU18" s="1919"/>
      <c r="AV18" s="1919"/>
      <c r="AW18" s="1919"/>
      <c r="AX18" s="1919"/>
      <c r="AY18" s="1921"/>
      <c r="AZ18" s="1190"/>
      <c r="BA18" s="1190"/>
      <c r="BB18" s="1190"/>
      <c r="BC18" s="1190"/>
      <c r="BD18" s="1190"/>
      <c r="BE18" s="1194"/>
    </row>
    <row r="19" spans="1:58" ht="14.75">
      <c r="A19" s="1190"/>
      <c r="B19" s="1922">
        <v>0.3</v>
      </c>
      <c r="C19" s="1923"/>
      <c r="D19" s="1923"/>
      <c r="E19" s="1923"/>
      <c r="F19" s="1923"/>
      <c r="G19" s="1923"/>
      <c r="H19" s="1923"/>
      <c r="I19" s="1924"/>
      <c r="J19" s="1925">
        <f t="shared" ref="J19:J24" si="0">SUM(P19:AS19)</f>
        <v>22</v>
      </c>
      <c r="K19" s="1926"/>
      <c r="L19" s="1926"/>
      <c r="M19" s="1926"/>
      <c r="N19" s="1926"/>
      <c r="O19" s="1927"/>
      <c r="P19" s="1925" cm="1">
        <f t="array" ref="P19">SUMPRODUCT((Application!$B$718:$B$752 = 'CalHFA Addendum'!P$18)*(Application!$AC$718:$AC$752 = 'CalHFA Addendum'!$B19),Application!$G$718:$G$752)</f>
        <v>10</v>
      </c>
      <c r="Q19" s="1926"/>
      <c r="R19" s="1926"/>
      <c r="S19" s="1926"/>
      <c r="T19" s="1926"/>
      <c r="U19" s="1927"/>
      <c r="V19" s="1925" cm="1">
        <f t="array" ref="V19">SUMPRODUCT((Application!$B$714:$B$738 = 'CalHFA Addendum'!V$18)*(Application!$AC$714:$AC$738 = 'CalHFA Addendum'!$B19),Application!$G$714:$G$738)</f>
        <v>7</v>
      </c>
      <c r="W19" s="1926"/>
      <c r="X19" s="1926"/>
      <c r="Y19" s="1926"/>
      <c r="Z19" s="1926"/>
      <c r="AA19" s="1927"/>
      <c r="AB19" s="1925" cm="1">
        <f t="array" ref="AB19">SUMPRODUCT((Application!$B$714:$B$738 = 'CalHFA Addendum'!AB$18)*(Application!$AC$714:$AC$738 = 'CalHFA Addendum'!$B19),Application!$G$714:$G$738)</f>
        <v>4</v>
      </c>
      <c r="AC19" s="1926"/>
      <c r="AD19" s="1926"/>
      <c r="AE19" s="1926"/>
      <c r="AF19" s="1926"/>
      <c r="AG19" s="1927"/>
      <c r="AH19" s="1925" cm="1">
        <f t="array" ref="AH19">SUMPRODUCT((Application!$B$714:$B$738 = 'CalHFA Addendum'!AH$18)*(Application!$AC$714:$AC$738 = 'CalHFA Addendum'!$B19),Application!$G$714:$G$738)</f>
        <v>1</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0.30555555555555558</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4.75">
      <c r="A21" s="1190"/>
      <c r="B21" s="1922">
        <v>0.5</v>
      </c>
      <c r="C21" s="1923"/>
      <c r="D21" s="1923"/>
      <c r="E21" s="1923"/>
      <c r="F21" s="1923"/>
      <c r="G21" s="1923"/>
      <c r="H21" s="1923"/>
      <c r="I21" s="1924"/>
      <c r="J21" s="1925">
        <f t="shared" si="0"/>
        <v>7</v>
      </c>
      <c r="K21" s="1926"/>
      <c r="L21" s="1926"/>
      <c r="M21" s="1926"/>
      <c r="N21" s="1926"/>
      <c r="O21" s="1927"/>
      <c r="P21" s="1925" cm="1">
        <f t="array" ref="P21">SUMPRODUCT((Application!$B$714:$B$738 = 'CalHFA Addendum'!P$18)*(Application!$AC$714:$AC$738 = 'CalHFA Addendum'!$B21),Application!$G$714:$G$738)</f>
        <v>2</v>
      </c>
      <c r="Q21" s="1926"/>
      <c r="R21" s="1926"/>
      <c r="S21" s="1926"/>
      <c r="T21" s="1926"/>
      <c r="U21" s="1927"/>
      <c r="V21" s="1925" cm="1">
        <f t="array" ref="V21">SUMPRODUCT((Application!$B$714:$B$738 = 'CalHFA Addendum'!V$18)*(Application!$AC$714:$AC$738 = 'CalHFA Addendum'!$B21),Application!$G$714:$G$738)</f>
        <v>2</v>
      </c>
      <c r="W21" s="1926"/>
      <c r="X21" s="1926"/>
      <c r="Y21" s="1926"/>
      <c r="Z21" s="1926"/>
      <c r="AA21" s="1927"/>
      <c r="AB21" s="1925" cm="1">
        <f t="array" ref="AB21">SUMPRODUCT((Application!$B$714:$B$738 = 'CalHFA Addendum'!AB$18)*(Application!$AC$714:$AC$738 = 'CalHFA Addendum'!$B21),Application!$G$714:$G$738)</f>
        <v>2</v>
      </c>
      <c r="AC21" s="1926"/>
      <c r="AD21" s="1926"/>
      <c r="AE21" s="1926"/>
      <c r="AF21" s="1926"/>
      <c r="AG21" s="1927"/>
      <c r="AH21" s="1925" cm="1">
        <f t="array" ref="AH21">SUMPRODUCT((Application!$B$714:$B$738 = 'CalHFA Addendum'!AH$18)*(Application!$AC$714:$AC$738 = 'CalHFA Addendum'!$B21),Application!$G$714:$G$738)</f>
        <v>1</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9.7222222222222224E-2</v>
      </c>
      <c r="AU21" s="1929"/>
      <c r="AV21" s="1929"/>
      <c r="AW21" s="1929"/>
      <c r="AX21" s="1929"/>
      <c r="AY21" s="1930"/>
      <c r="AZ21" s="1190"/>
      <c r="BA21" s="1190"/>
      <c r="BB21" s="1190"/>
      <c r="BC21" s="1190"/>
      <c r="BD21" s="1190"/>
      <c r="BE21" s="1194"/>
    </row>
    <row r="22" spans="1:58" ht="14.75">
      <c r="A22" s="1190"/>
      <c r="B22" s="1922">
        <v>0.6</v>
      </c>
      <c r="C22" s="1923"/>
      <c r="D22" s="1923"/>
      <c r="E22" s="1923"/>
      <c r="F22" s="1923"/>
      <c r="G22" s="1923"/>
      <c r="H22" s="1923"/>
      <c r="I22" s="1924"/>
      <c r="J22" s="1925">
        <f t="shared" si="0"/>
        <v>22</v>
      </c>
      <c r="K22" s="1926"/>
      <c r="L22" s="1926"/>
      <c r="M22" s="1926"/>
      <c r="N22" s="1926"/>
      <c r="O22" s="1927"/>
      <c r="P22" s="1925" cm="1">
        <f t="array" ref="P22">SUMPRODUCT((Application!$B$714:$B$738 = 'CalHFA Addendum'!P$18)*(Application!$AC$714:$AC$738 = 'CalHFA Addendum'!$B22),Application!$G$714:$G$738)</f>
        <v>2</v>
      </c>
      <c r="Q22" s="1926"/>
      <c r="R22" s="1926"/>
      <c r="S22" s="1926"/>
      <c r="T22" s="1926"/>
      <c r="U22" s="1927"/>
      <c r="V22" s="1925" cm="1">
        <f t="array" ref="V22">SUMPRODUCT((Application!$B$714:$B$738 = 'CalHFA Addendum'!V$18)*(Application!$AC$714:$AC$738 = 'CalHFA Addendum'!$B22),Application!$G$714:$G$738)</f>
        <v>2</v>
      </c>
      <c r="W22" s="1926"/>
      <c r="X22" s="1926"/>
      <c r="Y22" s="1926"/>
      <c r="Z22" s="1926"/>
      <c r="AA22" s="1927"/>
      <c r="AB22" s="1925" cm="1">
        <f t="array" ref="AB22">SUMPRODUCT((Application!$B$714:$B$738 = 'CalHFA Addendum'!AB$18)*(Application!$AC$714:$AC$738 = 'CalHFA Addendum'!$B22),Application!$G$714:$G$738)</f>
        <v>10</v>
      </c>
      <c r="AC22" s="1926"/>
      <c r="AD22" s="1926"/>
      <c r="AE22" s="1926"/>
      <c r="AF22" s="1926"/>
      <c r="AG22" s="1927"/>
      <c r="AH22" s="1925" cm="1">
        <f t="array" ref="AH22">SUMPRODUCT((Application!$B$714:$B$738 = 'CalHFA Addendum'!AH$18)*(Application!$AC$714:$AC$738 = 'CalHFA Addendum'!$B22),Application!$G$714:$G$738)</f>
        <v>8</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0.30555555555555558</v>
      </c>
      <c r="AU22" s="1929"/>
      <c r="AV22" s="1929"/>
      <c r="AW22" s="1929"/>
      <c r="AX22" s="1929"/>
      <c r="AY22" s="1930"/>
      <c r="AZ22" s="1190"/>
      <c r="BA22" s="1190"/>
      <c r="BB22" s="1190"/>
      <c r="BC22" s="1190"/>
      <c r="BD22" s="1190"/>
      <c r="BE22" s="1194"/>
    </row>
    <row r="23" spans="1:58" ht="14.75">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4.75">
      <c r="A24" s="1190"/>
      <c r="B24" s="1922">
        <v>0.8</v>
      </c>
      <c r="C24" s="1923"/>
      <c r="D24" s="1923"/>
      <c r="E24" s="1923"/>
      <c r="F24" s="1923"/>
      <c r="G24" s="1923"/>
      <c r="H24" s="1923"/>
      <c r="I24" s="1924"/>
      <c r="J24" s="1925">
        <f t="shared" si="0"/>
        <v>21</v>
      </c>
      <c r="K24" s="1926"/>
      <c r="L24" s="1926"/>
      <c r="M24" s="1926"/>
      <c r="N24" s="1926"/>
      <c r="O24" s="1927"/>
      <c r="P24" s="1925" cm="1">
        <f t="array" ref="P24">SUMPRODUCT((Application!$B$714:$B$738 = 'CalHFA Addendum'!P$18)*(Application!$AC$714:$AC$738 = 'CalHFA Addendum'!$B24),Application!$G$714:$G$738)</f>
        <v>1</v>
      </c>
      <c r="Q24" s="1926"/>
      <c r="R24" s="1926"/>
      <c r="S24" s="1926"/>
      <c r="T24" s="1926"/>
      <c r="U24" s="1927"/>
      <c r="V24" s="1925" cm="1">
        <f t="array" ref="V24">SUMPRODUCT((Application!$B$714:$B$738 = 'CalHFA Addendum'!V$18)*(Application!$AC$714:$AC$738 = 'CalHFA Addendum'!$B24),Application!$G$714:$G$738)</f>
        <v>1</v>
      </c>
      <c r="W24" s="1926"/>
      <c r="X24" s="1926"/>
      <c r="Y24" s="1926"/>
      <c r="Z24" s="1926"/>
      <c r="AA24" s="1927"/>
      <c r="AB24" s="1925" cm="1">
        <f t="array" ref="AB24">SUMPRODUCT((Application!$B$714:$B$738 = 'CalHFA Addendum'!AB$18)*(Application!$AC$714:$AC$738 = 'CalHFA Addendum'!$B24),Application!$G$714:$G$738)</f>
        <v>11</v>
      </c>
      <c r="AC24" s="1926"/>
      <c r="AD24" s="1926"/>
      <c r="AE24" s="1926"/>
      <c r="AF24" s="1926"/>
      <c r="AG24" s="1927"/>
      <c r="AH24" s="1925" cm="1">
        <f t="array" ref="AH24">SUMPRODUCT((Application!$B$714:$B$738 = 'CalHFA Addendum'!AH$18)*(Application!$AC$714:$AC$738 = 'CalHFA Addendum'!$B24),Application!$G$714:$G$738)</f>
        <v>8</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0.29166666666666669</v>
      </c>
      <c r="AU24" s="1929"/>
      <c r="AV24" s="1929"/>
      <c r="AW24" s="1929"/>
      <c r="AX24" s="1929"/>
      <c r="AY24" s="1930"/>
      <c r="AZ24" s="1190"/>
      <c r="BA24" s="1190"/>
      <c r="BB24" s="1190"/>
      <c r="BC24" s="1190"/>
      <c r="BD24" s="1190"/>
      <c r="BE24" s="1194"/>
    </row>
    <row r="25" spans="1:58" ht="14.7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4.7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4.7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ht="15.5" thickBot="1">
      <c r="A28" s="1190"/>
      <c r="B28" s="1934" t="s">
        <v>2428</v>
      </c>
      <c r="C28" s="1935"/>
      <c r="D28" s="1935"/>
      <c r="E28" s="1935"/>
      <c r="F28" s="1935"/>
      <c r="G28" s="1935"/>
      <c r="H28" s="1935"/>
      <c r="I28" s="1936"/>
      <c r="J28" s="1937">
        <f>SUM(P28:AS28)</f>
        <v>0</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0</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0</v>
      </c>
      <c r="AU28" s="1941"/>
      <c r="AV28" s="1941"/>
      <c r="AW28" s="1941"/>
      <c r="AX28" s="1941"/>
      <c r="AY28" s="1942"/>
      <c r="AZ28" s="1190"/>
      <c r="BA28" s="1190"/>
      <c r="BB28" s="1190"/>
      <c r="BC28" s="1190"/>
      <c r="BD28" s="1190"/>
      <c r="BE28" s="1194"/>
    </row>
    <row r="29" spans="1:58" ht="15.5" thickBot="1">
      <c r="A29" s="1190"/>
      <c r="B29" s="1971" t="s">
        <v>1584</v>
      </c>
      <c r="C29" s="1944"/>
      <c r="D29" s="1944"/>
      <c r="E29" s="1944"/>
      <c r="F29" s="1944"/>
      <c r="G29" s="1944"/>
      <c r="H29" s="1944"/>
      <c r="I29" s="1945"/>
      <c r="J29" s="1943">
        <f>SUM(J19:O28)</f>
        <v>72</v>
      </c>
      <c r="K29" s="1944"/>
      <c r="L29" s="1944"/>
      <c r="M29" s="1944"/>
      <c r="N29" s="1944"/>
      <c r="O29" s="1945"/>
      <c r="P29" s="1943">
        <f>SUM(P19:U28)</f>
        <v>15</v>
      </c>
      <c r="Q29" s="1944"/>
      <c r="R29" s="1944"/>
      <c r="S29" s="1944"/>
      <c r="T29" s="1944"/>
      <c r="U29" s="1945"/>
      <c r="V29" s="1943">
        <f>SUM(V19:AA28)</f>
        <v>12</v>
      </c>
      <c r="W29" s="1944"/>
      <c r="X29" s="1944"/>
      <c r="Y29" s="1944"/>
      <c r="Z29" s="1944"/>
      <c r="AA29" s="1945"/>
      <c r="AB29" s="1943">
        <f>SUM(AB19:AG28)</f>
        <v>27</v>
      </c>
      <c r="AC29" s="1944"/>
      <c r="AD29" s="1944"/>
      <c r="AE29" s="1944"/>
      <c r="AF29" s="1944"/>
      <c r="AG29" s="1945"/>
      <c r="AH29" s="1943">
        <f>SUM(AH19:AM28)</f>
        <v>18</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ht="15.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5" thickBot="1">
      <c r="A31" s="1190"/>
      <c r="B31" s="1949" t="s">
        <v>2427</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ht="15.5" thickBot="1">
      <c r="A32" s="1190"/>
      <c r="B32" s="1952" t="s">
        <v>2426</v>
      </c>
      <c r="C32" s="1953"/>
      <c r="D32" s="1953"/>
      <c r="E32" s="1953"/>
      <c r="F32" s="1953"/>
      <c r="G32" s="1953"/>
      <c r="H32" s="1953"/>
      <c r="I32" s="1953"/>
      <c r="J32" s="1956" t="s">
        <v>2425</v>
      </c>
      <c r="K32" s="1957"/>
      <c r="L32" s="1957"/>
      <c r="M32" s="1957"/>
      <c r="N32" s="1956" t="s">
        <v>2424</v>
      </c>
      <c r="O32" s="1957"/>
      <c r="P32" s="1957"/>
      <c r="Q32" s="1959"/>
      <c r="R32" s="1961" t="s">
        <v>2423</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2422</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2421</v>
      </c>
      <c r="AT35" s="1973"/>
      <c r="AU35" s="1973"/>
      <c r="AV35" s="1973"/>
      <c r="AW35" s="1973"/>
      <c r="AX35" s="1981"/>
      <c r="AY35" s="1972" t="s">
        <v>2420</v>
      </c>
      <c r="AZ35" s="1973"/>
      <c r="BA35" s="1973"/>
      <c r="BB35" s="1973"/>
      <c r="BC35" s="1973"/>
      <c r="BD35" s="1974"/>
      <c r="BE35" s="1194"/>
    </row>
    <row r="36" spans="1:58" ht="15.75" customHeight="1">
      <c r="A36" s="1190"/>
      <c r="B36" s="1991" t="s">
        <v>2419</v>
      </c>
      <c r="C36" s="1992"/>
      <c r="D36" s="1992"/>
      <c r="E36" s="1992"/>
      <c r="F36" s="1992"/>
      <c r="G36" s="1992"/>
      <c r="H36" s="1992"/>
      <c r="I36" s="1992"/>
      <c r="J36" s="1993" t="s">
        <v>2418</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2417</v>
      </c>
      <c r="C37" s="1992"/>
      <c r="D37" s="1992"/>
      <c r="E37" s="1992"/>
      <c r="F37" s="1992"/>
      <c r="G37" s="1992"/>
      <c r="H37" s="1992"/>
      <c r="I37" s="1992"/>
      <c r="J37" s="1993" t="s">
        <v>2416</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2415</v>
      </c>
      <c r="C38" s="1992"/>
      <c r="D38" s="1992"/>
      <c r="E38" s="1992"/>
      <c r="F38" s="1992"/>
      <c r="G38" s="1992"/>
      <c r="H38" s="1992"/>
      <c r="I38" s="1992"/>
      <c r="J38" s="1993" t="s">
        <v>2414</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2413</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2413</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2412</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2412</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2411</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2410</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2409</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2333</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2406</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2399</v>
      </c>
      <c r="C51" s="2011"/>
      <c r="D51" s="2011"/>
      <c r="E51" s="2011"/>
      <c r="F51" s="2011"/>
      <c r="G51" s="2011"/>
      <c r="H51" s="2011"/>
      <c r="I51" s="2011"/>
      <c r="J51" s="2011" t="s">
        <v>2405</v>
      </c>
      <c r="K51" s="2011"/>
      <c r="L51" s="2011"/>
      <c r="M51" s="2011"/>
      <c r="N51" s="2011"/>
      <c r="O51" s="2011"/>
      <c r="P51" s="2011"/>
      <c r="Q51" s="2011"/>
      <c r="R51" s="2012" t="s">
        <v>2404</v>
      </c>
      <c r="S51" s="2012"/>
      <c r="T51" s="2012"/>
      <c r="U51" s="2012"/>
      <c r="V51" s="2012"/>
      <c r="W51" s="2012"/>
      <c r="X51" s="2012"/>
      <c r="Y51" s="2012"/>
      <c r="Z51" s="2012" t="s">
        <v>2403</v>
      </c>
      <c r="AA51" s="2012"/>
      <c r="AB51" s="2012"/>
      <c r="AC51" s="2012"/>
      <c r="AD51" s="2012"/>
      <c r="AE51" s="2012"/>
      <c r="AF51" s="2012"/>
      <c r="AG51" s="2012"/>
      <c r="AH51" s="2012" t="s">
        <v>2402</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2401</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2400</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1584</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2399</v>
      </c>
      <c r="C59" s="2020"/>
      <c r="D59" s="2020"/>
      <c r="E59" s="2020"/>
      <c r="F59" s="2020"/>
      <c r="G59" s="2020"/>
      <c r="H59" s="2020"/>
      <c r="I59" s="2021"/>
      <c r="J59" s="1913" t="s">
        <v>2398</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2397</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2396</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2395</v>
      </c>
      <c r="AD68" s="2057"/>
      <c r="AE68" s="2057"/>
      <c r="AF68" s="2057"/>
      <c r="AG68" s="2057"/>
      <c r="AH68" s="2057"/>
      <c r="AI68" s="2057"/>
      <c r="AJ68" s="2057"/>
      <c r="AK68" s="2057"/>
      <c r="AL68" s="2057"/>
      <c r="AM68" s="2057"/>
      <c r="AN68" s="2057"/>
      <c r="AO68" s="2057"/>
      <c r="AP68" s="2057"/>
      <c r="AQ68" s="2057"/>
      <c r="AR68" s="2057"/>
      <c r="AS68" s="2057"/>
      <c r="AT68" s="2057"/>
      <c r="AU68" s="2057"/>
      <c r="AV68" s="2034" t="s">
        <v>667</v>
      </c>
      <c r="AW68" s="2035"/>
      <c r="AX68" s="2035"/>
      <c r="AY68" s="2035"/>
      <c r="AZ68" s="2035"/>
      <c r="BA68" s="2035"/>
      <c r="BB68" s="2035"/>
      <c r="BC68" s="2036"/>
      <c r="BD68" s="1190"/>
      <c r="BE68" s="1194"/>
      <c r="BM68" s="1199" t="s">
        <v>2394</v>
      </c>
    </row>
    <row r="69" spans="1:94" ht="15.75" customHeight="1" thickTop="1" thickBot="1">
      <c r="A69" s="1190"/>
      <c r="B69" s="2037" t="s">
        <v>2393</v>
      </c>
      <c r="C69" s="2038"/>
      <c r="D69" s="2038"/>
      <c r="E69" s="2038"/>
      <c r="F69" s="2038"/>
      <c r="G69" s="2038"/>
      <c r="H69" s="2038"/>
      <c r="I69" s="2038"/>
      <c r="J69" s="2038"/>
      <c r="K69" s="2038"/>
      <c r="L69" s="2038"/>
      <c r="M69" s="2038"/>
      <c r="N69" s="2038"/>
      <c r="O69" s="2039" t="s">
        <v>2392</v>
      </c>
      <c r="P69" s="2040"/>
      <c r="Q69" s="2040"/>
      <c r="R69" s="2040"/>
      <c r="S69" s="2040"/>
      <c r="T69" s="2040"/>
      <c r="U69" s="2040"/>
      <c r="V69" s="2040"/>
      <c r="W69" s="2040"/>
      <c r="X69" s="2040"/>
      <c r="Y69" s="2040"/>
      <c r="Z69" s="2040"/>
      <c r="AA69" s="2041"/>
      <c r="AB69" s="1190"/>
      <c r="AC69" s="2042" t="s">
        <v>2391</v>
      </c>
      <c r="AD69" s="2043"/>
      <c r="AE69" s="2043"/>
      <c r="AF69" s="2043"/>
      <c r="AG69" s="2043"/>
      <c r="AH69" s="2043"/>
      <c r="AI69" s="2043"/>
      <c r="AJ69" s="2043"/>
      <c r="AK69" s="2043"/>
      <c r="AL69" s="2043"/>
      <c r="AM69" s="2043"/>
      <c r="AN69" s="2043"/>
      <c r="AO69" s="2043"/>
      <c r="AP69" s="2043"/>
      <c r="AQ69" s="2043"/>
      <c r="AR69" s="2043"/>
      <c r="AS69" s="2043"/>
      <c r="AT69" s="2043"/>
      <c r="AU69" s="2043"/>
      <c r="AV69" s="2034" t="s">
        <v>667</v>
      </c>
      <c r="AW69" s="2035"/>
      <c r="AX69" s="2035"/>
      <c r="AY69" s="2035"/>
      <c r="AZ69" s="2035"/>
      <c r="BA69" s="2035"/>
      <c r="BB69" s="2035"/>
      <c r="BC69" s="2036"/>
      <c r="BD69" s="1190"/>
      <c r="BE69" s="1194"/>
      <c r="BM69" s="1200" t="s">
        <v>544</v>
      </c>
    </row>
    <row r="70" spans="1:94" ht="15.75" customHeight="1">
      <c r="A70" s="1190"/>
      <c r="B70" s="1991" t="s">
        <v>2390</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2389</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667</v>
      </c>
    </row>
    <row r="71" spans="1:94" ht="15.75" customHeight="1" thickBot="1">
      <c r="A71" s="1190"/>
      <c r="B71" s="1991" t="s">
        <v>2388</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2387</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2386</v>
      </c>
    </row>
    <row r="72" spans="1:94" ht="15.75" customHeight="1">
      <c r="A72" s="1190"/>
      <c r="B72" s="1991" t="s">
        <v>2385</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2384</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2383</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2328</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2382</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2281</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2381</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2380</v>
      </c>
      <c r="C81" s="2067"/>
      <c r="D81" s="2067"/>
      <c r="E81" s="2067"/>
      <c r="F81" s="2067"/>
      <c r="G81" s="2067"/>
      <c r="H81" s="2067"/>
      <c r="I81" s="2067"/>
      <c r="J81" s="2067"/>
      <c r="K81" s="2067"/>
      <c r="L81" s="2067"/>
      <c r="M81" s="2067"/>
      <c r="N81" s="2067"/>
      <c r="O81" s="2067"/>
      <c r="P81" s="2067"/>
      <c r="Q81" s="2067"/>
      <c r="R81" s="2068" t="s">
        <v>2186</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2379</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2378</v>
      </c>
      <c r="AK83" s="2090"/>
      <c r="AL83" s="2090"/>
      <c r="AM83" s="2090"/>
      <c r="AN83" s="2090"/>
      <c r="AO83" s="2090"/>
      <c r="AP83" s="2090"/>
      <c r="AQ83" s="2090"/>
      <c r="AR83" s="2090"/>
      <c r="AS83" s="2090"/>
      <c r="AT83" s="2090"/>
      <c r="AU83" s="2090"/>
      <c r="AV83" s="2090"/>
      <c r="AW83" s="2090"/>
      <c r="AX83" s="2090"/>
      <c r="AY83" s="2093" t="s">
        <v>544</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2368</v>
      </c>
      <c r="J84" s="2011"/>
      <c r="K84" s="2011"/>
      <c r="L84" s="2011"/>
      <c r="M84" s="2011"/>
      <c r="N84" s="2011"/>
      <c r="O84" s="2011" t="s">
        <v>2344</v>
      </c>
      <c r="P84" s="2011"/>
      <c r="Q84" s="2011"/>
      <c r="R84" s="2011"/>
      <c r="S84" s="2011"/>
      <c r="T84" s="2011"/>
      <c r="U84" s="2011"/>
      <c r="V84" s="2097" t="s">
        <v>2343</v>
      </c>
      <c r="W84" s="2097"/>
      <c r="X84" s="2097"/>
      <c r="Y84" s="2097"/>
      <c r="Z84" s="2097"/>
      <c r="AA84" s="2097"/>
      <c r="AB84" s="2098" t="s">
        <v>2367</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2366</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2365</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2372</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2364</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2377</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2281</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2376</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2375</v>
      </c>
      <c r="C94" s="2067"/>
      <c r="D94" s="2067"/>
      <c r="E94" s="2067"/>
      <c r="F94" s="2067"/>
      <c r="G94" s="2067"/>
      <c r="H94" s="2067"/>
      <c r="I94" s="2067"/>
      <c r="J94" s="2067"/>
      <c r="K94" s="2067"/>
      <c r="L94" s="2067"/>
      <c r="M94" s="2067"/>
      <c r="N94" s="2067"/>
      <c r="O94" s="2067"/>
      <c r="P94" s="2067"/>
      <c r="Q94" s="2101"/>
      <c r="R94" s="2068" t="s">
        <v>2186</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2374</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2373</v>
      </c>
      <c r="AK96" s="2090"/>
      <c r="AL96" s="2090"/>
      <c r="AM96" s="2090"/>
      <c r="AN96" s="2090"/>
      <c r="AO96" s="2090"/>
      <c r="AP96" s="2090"/>
      <c r="AQ96" s="2090"/>
      <c r="AR96" s="2090"/>
      <c r="AS96" s="2090"/>
      <c r="AT96" s="2090"/>
      <c r="AU96" s="2090"/>
      <c r="AV96" s="2090"/>
      <c r="AW96" s="2090"/>
      <c r="AX96" s="2090"/>
      <c r="AY96" s="2093" t="s">
        <v>544</v>
      </c>
      <c r="AZ96" s="2093"/>
      <c r="BA96" s="2093"/>
      <c r="BB96" s="2094"/>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010"/>
      <c r="C97" s="2011"/>
      <c r="D97" s="2011"/>
      <c r="E97" s="2011"/>
      <c r="F97" s="2011"/>
      <c r="G97" s="2011"/>
      <c r="H97" s="2011"/>
      <c r="I97" s="2011" t="s">
        <v>2368</v>
      </c>
      <c r="J97" s="2011"/>
      <c r="K97" s="2011"/>
      <c r="L97" s="2011"/>
      <c r="M97" s="2011"/>
      <c r="N97" s="2011"/>
      <c r="O97" s="2011" t="s">
        <v>2344</v>
      </c>
      <c r="P97" s="2011"/>
      <c r="Q97" s="2011"/>
      <c r="R97" s="2011"/>
      <c r="S97" s="2011"/>
      <c r="T97" s="2011"/>
      <c r="U97" s="2011"/>
      <c r="V97" s="2097" t="s">
        <v>2343</v>
      </c>
      <c r="W97" s="2097"/>
      <c r="X97" s="2097"/>
      <c r="Y97" s="2097"/>
      <c r="Z97" s="2097"/>
      <c r="AA97" s="2097"/>
      <c r="AB97" s="2098" t="s">
        <v>2367</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2366</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2365</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2372</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2364</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Buckingham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2371</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2281</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2370</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2369</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2368</v>
      </c>
      <c r="J108" s="2011"/>
      <c r="K108" s="2011"/>
      <c r="L108" s="2011"/>
      <c r="M108" s="2011"/>
      <c r="N108" s="2011"/>
      <c r="O108" s="2011" t="s">
        <v>2344</v>
      </c>
      <c r="P108" s="2011"/>
      <c r="Q108" s="2011"/>
      <c r="R108" s="2011"/>
      <c r="S108" s="2011"/>
      <c r="T108" s="2011"/>
      <c r="U108" s="2011"/>
      <c r="V108" s="2097" t="s">
        <v>2343</v>
      </c>
      <c r="W108" s="2097"/>
      <c r="X108" s="2097"/>
      <c r="Y108" s="2097"/>
      <c r="Z108" s="2097"/>
      <c r="AA108" s="2097"/>
      <c r="AB108" s="2098" t="s">
        <v>2367</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2366</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2365</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2364</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2363</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2281</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2362</v>
      </c>
      <c r="C117" s="2117"/>
      <c r="D117" s="2117"/>
      <c r="E117" s="2117"/>
      <c r="F117" s="2117"/>
      <c r="G117" s="2117"/>
      <c r="H117" s="2117"/>
      <c r="I117" s="2117"/>
      <c r="J117" s="2117"/>
      <c r="K117" s="2117"/>
      <c r="L117" s="2117"/>
      <c r="M117" s="2117"/>
      <c r="N117" s="2117"/>
      <c r="O117" s="2117"/>
      <c r="P117" s="2117"/>
      <c r="Q117" s="2117"/>
      <c r="R117" s="2117"/>
      <c r="S117" s="2117"/>
      <c r="T117" s="2117"/>
      <c r="U117" s="2120" t="s">
        <v>544</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2362</v>
      </c>
      <c r="C121" s="2125"/>
      <c r="D121" s="2125"/>
      <c r="E121" s="2125"/>
      <c r="F121" s="2125"/>
      <c r="G121" s="2125"/>
      <c r="H121" s="2125"/>
      <c r="I121" s="2125"/>
      <c r="J121" s="2125"/>
      <c r="K121" s="2125"/>
      <c r="L121" s="2125"/>
      <c r="M121" s="2125"/>
      <c r="N121" s="2125"/>
      <c r="O121" s="2125"/>
      <c r="P121" s="2125"/>
      <c r="Q121" s="2125"/>
      <c r="R121" s="2125"/>
      <c r="S121" s="2125"/>
      <c r="T121" s="2125"/>
      <c r="U121" s="2128" t="s">
        <v>544</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2361</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2360</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1574</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2359</v>
      </c>
      <c r="J127" s="2011"/>
      <c r="K127" s="2011"/>
      <c r="L127" s="2011"/>
      <c r="M127" s="2011"/>
      <c r="N127" s="2011"/>
      <c r="O127" s="2108" t="s">
        <v>2358</v>
      </c>
      <c r="P127" s="2108"/>
      <c r="Q127" s="2108"/>
      <c r="R127" s="2108"/>
      <c r="S127" s="2108"/>
      <c r="T127" s="2108"/>
      <c r="U127" s="2109"/>
      <c r="V127" s="1190"/>
      <c r="W127" s="1190"/>
      <c r="X127" s="2076" t="s">
        <v>2328</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2342</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2341</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2357</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2356</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2344</v>
      </c>
      <c r="J134" s="2154"/>
      <c r="K134" s="2154"/>
      <c r="L134" s="2154"/>
      <c r="M134" s="2154"/>
      <c r="N134" s="2154"/>
      <c r="O134" s="2154"/>
      <c r="P134" s="2154" t="s">
        <v>2343</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2342</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2341</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2355</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544</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2354</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2353</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544</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2352</v>
      </c>
      <c r="C142" s="2141"/>
      <c r="D142" s="2141"/>
      <c r="E142" s="2141"/>
      <c r="F142" s="2141"/>
      <c r="G142" s="2141"/>
      <c r="H142" s="2141"/>
      <c r="I142" s="2141"/>
      <c r="J142" s="2141"/>
      <c r="K142" s="2141"/>
      <c r="L142" s="2141"/>
      <c r="M142" s="2141"/>
      <c r="N142" s="2141"/>
      <c r="O142" s="2141"/>
      <c r="P142" s="2141"/>
      <c r="Q142" s="2141"/>
      <c r="R142" s="2142" t="s">
        <v>2351</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2350</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2349</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2348</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2347</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2346</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2344</v>
      </c>
      <c r="J157" s="2154"/>
      <c r="K157" s="2154"/>
      <c r="L157" s="2154"/>
      <c r="M157" s="2154"/>
      <c r="N157" s="2154"/>
      <c r="O157" s="2154"/>
      <c r="P157" s="2154" t="s">
        <v>2345</v>
      </c>
      <c r="Q157" s="2154"/>
      <c r="R157" s="2154"/>
      <c r="S157" s="2154"/>
      <c r="T157" s="2154"/>
      <c r="U157" s="2155"/>
      <c r="V157" s="1190"/>
      <c r="W157" s="1190"/>
      <c r="X157" s="2152"/>
      <c r="Y157" s="2153"/>
      <c r="Z157" s="2153"/>
      <c r="AA157" s="2153"/>
      <c r="AB157" s="2153"/>
      <c r="AC157" s="2153"/>
      <c r="AD157" s="2153"/>
      <c r="AE157" s="2154" t="s">
        <v>2344</v>
      </c>
      <c r="AF157" s="2154"/>
      <c r="AG157" s="2154"/>
      <c r="AH157" s="2154"/>
      <c r="AI157" s="2154"/>
      <c r="AJ157" s="2154"/>
      <c r="AK157" s="2154"/>
      <c r="AL157" s="2154" t="s">
        <v>2343</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2342</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2342</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2341</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2340</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2325</v>
      </c>
      <c r="D163" s="2153"/>
      <c r="E163" s="2153"/>
      <c r="F163" s="2153"/>
      <c r="G163" s="2153"/>
      <c r="H163" s="2153"/>
      <c r="I163" s="2153"/>
      <c r="J163" s="2153"/>
      <c r="K163" s="2153"/>
      <c r="L163" s="2153"/>
      <c r="M163" s="2153"/>
      <c r="N163" s="2153"/>
      <c r="O163" s="2153"/>
      <c r="P163" s="2153"/>
      <c r="Q163" s="2153" t="s">
        <v>2339</v>
      </c>
      <c r="R163" s="2153"/>
      <c r="S163" s="2153"/>
      <c r="T163" s="2098" t="s">
        <v>2338</v>
      </c>
      <c r="U163" s="2098"/>
      <c r="V163" s="2098"/>
      <c r="W163" s="2098"/>
      <c r="X163" s="2098"/>
      <c r="Y163" s="2098"/>
      <c r="Z163" s="2098"/>
      <c r="AA163" s="2098"/>
      <c r="AB163" s="2153" t="s">
        <v>2337</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2336</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2335</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2334</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2333</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2314</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2314</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2314</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2332</v>
      </c>
      <c r="D172" s="2057"/>
      <c r="E172" s="2057"/>
      <c r="F172" s="2057"/>
      <c r="G172" s="2057"/>
      <c r="H172" s="2057"/>
      <c r="I172" s="2057"/>
      <c r="J172" s="2057"/>
      <c r="K172" s="2057"/>
      <c r="L172" s="2057"/>
      <c r="M172" s="2057"/>
      <c r="N172" s="2107"/>
      <c r="O172" s="1190"/>
      <c r="P172" s="2172" t="s">
        <v>2331</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2330</v>
      </c>
      <c r="D173" s="2153"/>
      <c r="E173" s="2153"/>
      <c r="F173" s="2153"/>
      <c r="G173" s="2153"/>
      <c r="H173" s="2153"/>
      <c r="I173" s="2153" t="s">
        <v>2329</v>
      </c>
      <c r="J173" s="2153"/>
      <c r="K173" s="2153"/>
      <c r="L173" s="2153"/>
      <c r="M173" s="2153"/>
      <c r="N173" s="2161"/>
      <c r="O173" s="1190"/>
      <c r="P173" s="2076" t="s">
        <v>2328</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2327</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2325</v>
      </c>
      <c r="D184" s="2057"/>
      <c r="E184" s="2057"/>
      <c r="F184" s="2057"/>
      <c r="G184" s="2057"/>
      <c r="H184" s="2057"/>
      <c r="I184" s="2057"/>
      <c r="J184" s="2057"/>
      <c r="K184" s="2057"/>
      <c r="L184" s="2057"/>
      <c r="M184" s="2057"/>
      <c r="N184" s="2057" t="s">
        <v>2326</v>
      </c>
      <c r="O184" s="2057"/>
      <c r="P184" s="2057"/>
      <c r="Q184" s="2057"/>
      <c r="R184" s="2057"/>
      <c r="S184" s="2057"/>
      <c r="T184" s="2057"/>
      <c r="U184" s="2008" t="s">
        <v>2325</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2324</v>
      </c>
      <c r="D185" s="2181"/>
      <c r="E185" s="2181"/>
      <c r="F185" s="2181"/>
      <c r="G185" s="2181"/>
      <c r="H185" s="2181"/>
      <c r="I185" s="2181"/>
      <c r="J185" s="2181"/>
      <c r="K185" s="2181"/>
      <c r="L185" s="2181"/>
      <c r="M185" s="2181"/>
      <c r="N185" s="2182">
        <f>'Sources and Uses Budget'!B105</f>
        <v>56420274</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2323</v>
      </c>
      <c r="D186" s="2181"/>
      <c r="E186" s="2181"/>
      <c r="F186" s="2181"/>
      <c r="G186" s="2181"/>
      <c r="H186" s="2181"/>
      <c r="I186" s="2181"/>
      <c r="J186" s="2181"/>
      <c r="K186" s="2181"/>
      <c r="L186" s="2181"/>
      <c r="M186" s="2181"/>
      <c r="N186" s="2182">
        <f>N185/J29</f>
        <v>783614.91666666663</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2322</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2321</v>
      </c>
      <c r="D188" s="2181"/>
      <c r="E188" s="2181"/>
      <c r="F188" s="2181"/>
      <c r="G188" s="2181"/>
      <c r="H188" s="2181"/>
      <c r="I188" s="2181"/>
      <c r="J188" s="2181"/>
      <c r="K188" s="2181"/>
      <c r="L188" s="2181"/>
      <c r="M188" s="2181"/>
      <c r="N188" s="2198">
        <f>SUM('Sources and Uses Budget'!B85:B86)</f>
        <v>1551929</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2320</v>
      </c>
      <c r="D189" s="2181"/>
      <c r="E189" s="2181"/>
      <c r="F189" s="2181"/>
      <c r="G189" s="2181"/>
      <c r="H189" s="2181"/>
      <c r="I189" s="2181"/>
      <c r="J189" s="2181"/>
      <c r="K189" s="2181"/>
      <c r="L189" s="2181"/>
      <c r="M189" s="2181"/>
      <c r="N189" s="2198">
        <f>'Sources and Uses Budget'!B8</f>
        <v>580000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2318</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2319</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2318</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2317</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2316</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2314</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2315</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2314</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2314</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2313</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2312</v>
      </c>
      <c r="D195" s="2220"/>
      <c r="E195" s="2220"/>
      <c r="F195" s="2220"/>
      <c r="G195" s="2220"/>
      <c r="H195" s="2220"/>
      <c r="I195" s="2220"/>
      <c r="J195" s="2220"/>
      <c r="K195" s="2220"/>
      <c r="L195" s="2220"/>
      <c r="M195" s="2220"/>
      <c r="N195" s="2221">
        <f>SUM(N187:T194)</f>
        <v>2131929</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2311</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2310</v>
      </c>
      <c r="D196" s="2230"/>
      <c r="E196" s="2230"/>
      <c r="F196" s="2230"/>
      <c r="G196" s="2230"/>
      <c r="H196" s="2230"/>
      <c r="I196" s="2230"/>
      <c r="J196" s="2230"/>
      <c r="K196" s="2230"/>
      <c r="L196" s="2230"/>
      <c r="M196" s="2230"/>
      <c r="N196" s="2231">
        <f>(N185-N195)/J29</f>
        <v>754004.79166666663</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2309</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2308</v>
      </c>
      <c r="D200" s="2256"/>
      <c r="E200" s="2256"/>
      <c r="F200" s="2256"/>
      <c r="G200" s="2256"/>
      <c r="H200" s="2256"/>
      <c r="I200" s="2256"/>
      <c r="J200" s="2256"/>
      <c r="K200" s="2256"/>
      <c r="L200" s="2256"/>
      <c r="M200" s="2256"/>
      <c r="N200" s="2256"/>
      <c r="O200" s="2257" t="s">
        <v>2307</v>
      </c>
      <c r="P200" s="2257"/>
      <c r="Q200" s="2257"/>
      <c r="R200" s="2257"/>
      <c r="S200" s="2257"/>
      <c r="T200" s="2257"/>
      <c r="U200" s="2257"/>
      <c r="V200" s="2257"/>
      <c r="W200" s="2257"/>
      <c r="X200" s="2257" t="s">
        <v>2306</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2305</v>
      </c>
      <c r="D201" s="2248"/>
      <c r="E201" s="2248"/>
      <c r="F201" s="2248"/>
      <c r="G201" s="2248"/>
      <c r="H201" s="2248"/>
      <c r="I201" s="2248"/>
      <c r="J201" s="2248"/>
      <c r="K201" s="2248"/>
      <c r="L201" s="2248"/>
      <c r="M201" s="2248"/>
      <c r="N201" s="2248"/>
      <c r="O201" s="2249" t="s">
        <v>2304</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852</v>
      </c>
      <c r="D202" s="2248"/>
      <c r="E202" s="2248"/>
      <c r="F202" s="2248"/>
      <c r="G202" s="2248"/>
      <c r="H202" s="2248"/>
      <c r="I202" s="2248"/>
      <c r="J202" s="2248"/>
      <c r="K202" s="2248"/>
      <c r="L202" s="2248"/>
      <c r="M202" s="2248"/>
      <c r="N202" s="2248"/>
      <c r="O202" s="2249" t="s">
        <v>2304</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2303</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2302</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2301</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2300</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2299</v>
      </c>
      <c r="D207" s="2263"/>
      <c r="E207" s="2263"/>
      <c r="F207" s="2264"/>
      <c r="G207" s="2268" t="s">
        <v>2298</v>
      </c>
      <c r="H207" s="2263"/>
      <c r="I207" s="2263"/>
      <c r="J207" s="2263"/>
      <c r="K207" s="2263"/>
      <c r="L207" s="2263"/>
      <c r="M207" s="2263"/>
      <c r="N207" s="2263"/>
      <c r="O207" s="2264"/>
      <c r="P207" s="2270" t="s">
        <v>2297</v>
      </c>
      <c r="Q207" s="2271"/>
      <c r="R207" s="2271"/>
      <c r="S207" s="2271"/>
      <c r="T207" s="2272"/>
      <c r="U207" s="2276" t="s">
        <v>2296</v>
      </c>
      <c r="V207" s="2277"/>
      <c r="W207" s="2277"/>
      <c r="X207" s="2278"/>
      <c r="Y207" s="2276" t="s">
        <v>2295</v>
      </c>
      <c r="Z207" s="2277"/>
      <c r="AA207" s="2277"/>
      <c r="AB207" s="2278"/>
      <c r="AC207" s="2276" t="s">
        <v>2294</v>
      </c>
      <c r="AD207" s="2277"/>
      <c r="AE207" s="2277"/>
      <c r="AF207" s="2278"/>
      <c r="AG207" s="2268" t="s">
        <v>2293</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1882</v>
      </c>
      <c r="H209" s="2289"/>
      <c r="I209" s="2289"/>
      <c r="J209" s="2289"/>
      <c r="K209" s="2289"/>
      <c r="L209" s="2289"/>
      <c r="M209" s="2289"/>
      <c r="N209" s="2289"/>
      <c r="O209" s="2289"/>
      <c r="P209" s="2290"/>
      <c r="Q209" s="2293"/>
      <c r="R209" s="2293"/>
      <c r="S209" s="2293"/>
      <c r="T209" s="2293"/>
      <c r="U209" s="2291" t="s">
        <v>1882</v>
      </c>
      <c r="V209" s="2291"/>
      <c r="W209" s="2291"/>
      <c r="X209" s="2291"/>
      <c r="Y209" s="2291" t="s">
        <v>1882</v>
      </c>
      <c r="Z209" s="2291"/>
      <c r="AA209" s="2291"/>
      <c r="AB209" s="2291"/>
      <c r="AC209" s="2292" t="s">
        <v>1882</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1882</v>
      </c>
      <c r="H210" s="2289"/>
      <c r="I210" s="2289"/>
      <c r="J210" s="2289"/>
      <c r="K210" s="2289"/>
      <c r="L210" s="2289"/>
      <c r="M210" s="2289"/>
      <c r="N210" s="2289"/>
      <c r="O210" s="2289"/>
      <c r="P210" s="2290"/>
      <c r="Q210" s="2290"/>
      <c r="R210" s="2290"/>
      <c r="S210" s="2290"/>
      <c r="T210" s="2290"/>
      <c r="U210" s="2291" t="s">
        <v>1882</v>
      </c>
      <c r="V210" s="2291"/>
      <c r="W210" s="2291"/>
      <c r="X210" s="2291"/>
      <c r="Y210" s="2291" t="s">
        <v>1882</v>
      </c>
      <c r="Z210" s="2291"/>
      <c r="AA210" s="2291"/>
      <c r="AB210" s="2291"/>
      <c r="AC210" s="2292" t="s">
        <v>1882</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1882</v>
      </c>
      <c r="H211" s="2289"/>
      <c r="I211" s="2289"/>
      <c r="J211" s="2289"/>
      <c r="K211" s="2289"/>
      <c r="L211" s="2289"/>
      <c r="M211" s="2289"/>
      <c r="N211" s="2289"/>
      <c r="O211" s="2289"/>
      <c r="P211" s="2290"/>
      <c r="Q211" s="2290"/>
      <c r="R211" s="2290"/>
      <c r="S211" s="2290"/>
      <c r="T211" s="2290"/>
      <c r="U211" s="2291" t="s">
        <v>1882</v>
      </c>
      <c r="V211" s="2291"/>
      <c r="W211" s="2291"/>
      <c r="X211" s="2291"/>
      <c r="Y211" s="2291" t="s">
        <v>1882</v>
      </c>
      <c r="Z211" s="2291"/>
      <c r="AA211" s="2291"/>
      <c r="AB211" s="2291"/>
      <c r="AC211" s="2292" t="s">
        <v>1882</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1882</v>
      </c>
      <c r="H212" s="2289"/>
      <c r="I212" s="2289"/>
      <c r="J212" s="2289"/>
      <c r="K212" s="2289"/>
      <c r="L212" s="2289"/>
      <c r="M212" s="2289"/>
      <c r="N212" s="2289"/>
      <c r="O212" s="2289"/>
      <c r="P212" s="2290"/>
      <c r="Q212" s="2290"/>
      <c r="R212" s="2290"/>
      <c r="S212" s="2290"/>
      <c r="T212" s="2290"/>
      <c r="U212" s="2291" t="s">
        <v>1882</v>
      </c>
      <c r="V212" s="2291"/>
      <c r="W212" s="2291"/>
      <c r="X212" s="2291"/>
      <c r="Y212" s="2291" t="s">
        <v>1882</v>
      </c>
      <c r="Z212" s="2291"/>
      <c r="AA212" s="2291"/>
      <c r="AB212" s="2291"/>
      <c r="AC212" s="2292" t="s">
        <v>1882</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1882</v>
      </c>
      <c r="H213" s="2289"/>
      <c r="I213" s="2289"/>
      <c r="J213" s="2289"/>
      <c r="K213" s="2289"/>
      <c r="L213" s="2289"/>
      <c r="M213" s="2289"/>
      <c r="N213" s="2289"/>
      <c r="O213" s="2289"/>
      <c r="P213" s="2290"/>
      <c r="Q213" s="2290"/>
      <c r="R213" s="2290"/>
      <c r="S213" s="2290"/>
      <c r="T213" s="2290"/>
      <c r="U213" s="2291" t="s">
        <v>1882</v>
      </c>
      <c r="V213" s="2291"/>
      <c r="W213" s="2291"/>
      <c r="X213" s="2291"/>
      <c r="Y213" s="2291" t="s">
        <v>1882</v>
      </c>
      <c r="Z213" s="2291"/>
      <c r="AA213" s="2291"/>
      <c r="AB213" s="2291"/>
      <c r="AC213" s="2292" t="s">
        <v>1882</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1882</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1882</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1882</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2292</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2291</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2290</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2289</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2288</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2287</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2286</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2285</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2284</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2283</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2282</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2281</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440</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2280</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2279</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J65" sqref="AJ65"/>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36328125" style="402" hidden="1" customWidth="1"/>
    <col min="281" max="284" width="2.54296875" style="402" hidden="1" customWidth="1"/>
    <col min="285" max="285" width="2.36328125" style="402" hidden="1" customWidth="1"/>
    <col min="286" max="289" width="2.54296875" style="402" hidden="1" customWidth="1"/>
    <col min="290" max="295" width="2.36328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36328125" style="402" hidden="1" customWidth="1"/>
    <col min="537" max="540" width="2.54296875" style="402" hidden="1" customWidth="1"/>
    <col min="541" max="541" width="2.36328125" style="402" hidden="1" customWidth="1"/>
    <col min="542" max="545" width="2.54296875" style="402" hidden="1" customWidth="1"/>
    <col min="546" max="551" width="2.36328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36328125" style="402" hidden="1" customWidth="1"/>
    <col min="793" max="796" width="2.54296875" style="402" hidden="1" customWidth="1"/>
    <col min="797" max="797" width="2.36328125" style="402" hidden="1" customWidth="1"/>
    <col min="798" max="801" width="2.54296875" style="402" hidden="1" customWidth="1"/>
    <col min="802" max="807" width="2.36328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36328125" style="402" hidden="1" customWidth="1"/>
    <col min="1049" max="1052" width="2.54296875" style="402" hidden="1" customWidth="1"/>
    <col min="1053" max="1053" width="2.36328125" style="402" hidden="1" customWidth="1"/>
    <col min="1054" max="1057" width="2.54296875" style="402" hidden="1" customWidth="1"/>
    <col min="1058" max="1063" width="2.36328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36328125" style="402" hidden="1" customWidth="1"/>
    <col min="1305" max="1308" width="2.54296875" style="402" hidden="1" customWidth="1"/>
    <col min="1309" max="1309" width="2.36328125" style="402" hidden="1" customWidth="1"/>
    <col min="1310" max="1313" width="2.54296875" style="402" hidden="1" customWidth="1"/>
    <col min="1314" max="1319" width="2.36328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36328125" style="402" hidden="1" customWidth="1"/>
    <col min="1561" max="1564" width="2.54296875" style="402" hidden="1" customWidth="1"/>
    <col min="1565" max="1565" width="2.36328125" style="402" hidden="1" customWidth="1"/>
    <col min="1566" max="1569" width="2.54296875" style="402" hidden="1" customWidth="1"/>
    <col min="1570" max="1575" width="2.36328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36328125" style="402" hidden="1" customWidth="1"/>
    <col min="1817" max="1820" width="2.54296875" style="402" hidden="1" customWidth="1"/>
    <col min="1821" max="1821" width="2.36328125" style="402" hidden="1" customWidth="1"/>
    <col min="1822" max="1825" width="2.54296875" style="402" hidden="1" customWidth="1"/>
    <col min="1826" max="1831" width="2.36328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36328125" style="402" hidden="1" customWidth="1"/>
    <col min="2073" max="2076" width="2.54296875" style="402" hidden="1" customWidth="1"/>
    <col min="2077" max="2077" width="2.36328125" style="402" hidden="1" customWidth="1"/>
    <col min="2078" max="2081" width="2.54296875" style="402" hidden="1" customWidth="1"/>
    <col min="2082" max="2087" width="2.36328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36328125" style="402" hidden="1" customWidth="1"/>
    <col min="2329" max="2332" width="2.54296875" style="402" hidden="1" customWidth="1"/>
    <col min="2333" max="2333" width="2.36328125" style="402" hidden="1" customWidth="1"/>
    <col min="2334" max="2337" width="2.54296875" style="402" hidden="1" customWidth="1"/>
    <col min="2338" max="2343" width="2.36328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36328125" style="402" hidden="1" customWidth="1"/>
    <col min="2585" max="2588" width="2.54296875" style="402" hidden="1" customWidth="1"/>
    <col min="2589" max="2589" width="2.36328125" style="402" hidden="1" customWidth="1"/>
    <col min="2590" max="2593" width="2.54296875" style="402" hidden="1" customWidth="1"/>
    <col min="2594" max="2599" width="2.36328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36328125" style="402" hidden="1" customWidth="1"/>
    <col min="2841" max="2844" width="2.54296875" style="402" hidden="1" customWidth="1"/>
    <col min="2845" max="2845" width="2.36328125" style="402" hidden="1" customWidth="1"/>
    <col min="2846" max="2849" width="2.54296875" style="402" hidden="1" customWidth="1"/>
    <col min="2850" max="2855" width="2.36328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36328125" style="402" hidden="1" customWidth="1"/>
    <col min="3097" max="3100" width="2.54296875" style="402" hidden="1" customWidth="1"/>
    <col min="3101" max="3101" width="2.36328125" style="402" hidden="1" customWidth="1"/>
    <col min="3102" max="3105" width="2.54296875" style="402" hidden="1" customWidth="1"/>
    <col min="3106" max="3111" width="2.36328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36328125" style="402" hidden="1" customWidth="1"/>
    <col min="3353" max="3356" width="2.54296875" style="402" hidden="1" customWidth="1"/>
    <col min="3357" max="3357" width="2.36328125" style="402" hidden="1" customWidth="1"/>
    <col min="3358" max="3361" width="2.54296875" style="402" hidden="1" customWidth="1"/>
    <col min="3362" max="3367" width="2.36328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36328125" style="402" hidden="1" customWidth="1"/>
    <col min="3609" max="3612" width="2.54296875" style="402" hidden="1" customWidth="1"/>
    <col min="3613" max="3613" width="2.36328125" style="402" hidden="1" customWidth="1"/>
    <col min="3614" max="3617" width="2.54296875" style="402" hidden="1" customWidth="1"/>
    <col min="3618" max="3623" width="2.36328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36328125" style="402" hidden="1" customWidth="1"/>
    <col min="3865" max="3868" width="2.54296875" style="402" hidden="1" customWidth="1"/>
    <col min="3869" max="3869" width="2.36328125" style="402" hidden="1" customWidth="1"/>
    <col min="3870" max="3873" width="2.54296875" style="402" hidden="1" customWidth="1"/>
    <col min="3874" max="3879" width="2.36328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36328125" style="402" hidden="1" customWidth="1"/>
    <col min="4121" max="4124" width="2.54296875" style="402" hidden="1" customWidth="1"/>
    <col min="4125" max="4125" width="2.36328125" style="402" hidden="1" customWidth="1"/>
    <col min="4126" max="4129" width="2.54296875" style="402" hidden="1" customWidth="1"/>
    <col min="4130" max="4135" width="2.36328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36328125" style="402" hidden="1" customWidth="1"/>
    <col min="4377" max="4380" width="2.54296875" style="402" hidden="1" customWidth="1"/>
    <col min="4381" max="4381" width="2.36328125" style="402" hidden="1" customWidth="1"/>
    <col min="4382" max="4385" width="2.54296875" style="402" hidden="1" customWidth="1"/>
    <col min="4386" max="4391" width="2.36328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36328125" style="402" hidden="1" customWidth="1"/>
    <col min="4633" max="4636" width="2.54296875" style="402" hidden="1" customWidth="1"/>
    <col min="4637" max="4637" width="2.36328125" style="402" hidden="1" customWidth="1"/>
    <col min="4638" max="4641" width="2.54296875" style="402" hidden="1" customWidth="1"/>
    <col min="4642" max="4647" width="2.36328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36328125" style="402" hidden="1" customWidth="1"/>
    <col min="4889" max="4892" width="2.54296875" style="402" hidden="1" customWidth="1"/>
    <col min="4893" max="4893" width="2.36328125" style="402" hidden="1" customWidth="1"/>
    <col min="4894" max="4897" width="2.54296875" style="402" hidden="1" customWidth="1"/>
    <col min="4898" max="4903" width="2.36328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36328125" style="402" hidden="1" customWidth="1"/>
    <col min="5145" max="5148" width="2.54296875" style="402" hidden="1" customWidth="1"/>
    <col min="5149" max="5149" width="2.36328125" style="402" hidden="1" customWidth="1"/>
    <col min="5150" max="5153" width="2.54296875" style="402" hidden="1" customWidth="1"/>
    <col min="5154" max="5159" width="2.36328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36328125" style="402" hidden="1" customWidth="1"/>
    <col min="5401" max="5404" width="2.54296875" style="402" hidden="1" customWidth="1"/>
    <col min="5405" max="5405" width="2.36328125" style="402" hidden="1" customWidth="1"/>
    <col min="5406" max="5409" width="2.54296875" style="402" hidden="1" customWidth="1"/>
    <col min="5410" max="5415" width="2.36328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36328125" style="402" hidden="1" customWidth="1"/>
    <col min="5657" max="5660" width="2.54296875" style="402" hidden="1" customWidth="1"/>
    <col min="5661" max="5661" width="2.36328125" style="402" hidden="1" customWidth="1"/>
    <col min="5662" max="5665" width="2.54296875" style="402" hidden="1" customWidth="1"/>
    <col min="5666" max="5671" width="2.36328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36328125" style="402" hidden="1" customWidth="1"/>
    <col min="5913" max="5916" width="2.54296875" style="402" hidden="1" customWidth="1"/>
    <col min="5917" max="5917" width="2.36328125" style="402" hidden="1" customWidth="1"/>
    <col min="5918" max="5921" width="2.54296875" style="402" hidden="1" customWidth="1"/>
    <col min="5922" max="5927" width="2.36328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36328125" style="402" hidden="1" customWidth="1"/>
    <col min="6169" max="6172" width="2.54296875" style="402" hidden="1" customWidth="1"/>
    <col min="6173" max="6173" width="2.36328125" style="402" hidden="1" customWidth="1"/>
    <col min="6174" max="6177" width="2.54296875" style="402" hidden="1" customWidth="1"/>
    <col min="6178" max="6183" width="2.36328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36328125" style="402" hidden="1" customWidth="1"/>
    <col min="6425" max="6428" width="2.54296875" style="402" hidden="1" customWidth="1"/>
    <col min="6429" max="6429" width="2.36328125" style="402" hidden="1" customWidth="1"/>
    <col min="6430" max="6433" width="2.54296875" style="402" hidden="1" customWidth="1"/>
    <col min="6434" max="6439" width="2.36328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36328125" style="402" hidden="1" customWidth="1"/>
    <col min="6681" max="6684" width="2.54296875" style="402" hidden="1" customWidth="1"/>
    <col min="6685" max="6685" width="2.36328125" style="402" hidden="1" customWidth="1"/>
    <col min="6686" max="6689" width="2.54296875" style="402" hidden="1" customWidth="1"/>
    <col min="6690" max="6695" width="2.36328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36328125" style="402" hidden="1" customWidth="1"/>
    <col min="6937" max="6940" width="2.54296875" style="402" hidden="1" customWidth="1"/>
    <col min="6941" max="6941" width="2.36328125" style="402" hidden="1" customWidth="1"/>
    <col min="6942" max="6945" width="2.54296875" style="402" hidden="1" customWidth="1"/>
    <col min="6946" max="6951" width="2.36328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36328125" style="402" hidden="1" customWidth="1"/>
    <col min="7193" max="7196" width="2.54296875" style="402" hidden="1" customWidth="1"/>
    <col min="7197" max="7197" width="2.36328125" style="402" hidden="1" customWidth="1"/>
    <col min="7198" max="7201" width="2.54296875" style="402" hidden="1" customWidth="1"/>
    <col min="7202" max="7207" width="2.36328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36328125" style="402" hidden="1" customWidth="1"/>
    <col min="7449" max="7452" width="2.54296875" style="402" hidden="1" customWidth="1"/>
    <col min="7453" max="7453" width="2.36328125" style="402" hidden="1" customWidth="1"/>
    <col min="7454" max="7457" width="2.54296875" style="402" hidden="1" customWidth="1"/>
    <col min="7458" max="7463" width="2.36328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36328125" style="402" hidden="1" customWidth="1"/>
    <col min="7705" max="7708" width="2.54296875" style="402" hidden="1" customWidth="1"/>
    <col min="7709" max="7709" width="2.36328125" style="402" hidden="1" customWidth="1"/>
    <col min="7710" max="7713" width="2.54296875" style="402" hidden="1" customWidth="1"/>
    <col min="7714" max="7719" width="2.36328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36328125" style="402" hidden="1" customWidth="1"/>
    <col min="7961" max="7964" width="2.54296875" style="402" hidden="1" customWidth="1"/>
    <col min="7965" max="7965" width="2.36328125" style="402" hidden="1" customWidth="1"/>
    <col min="7966" max="7969" width="2.54296875" style="402" hidden="1" customWidth="1"/>
    <col min="7970" max="7975" width="2.36328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36328125" style="402" hidden="1" customWidth="1"/>
    <col min="8217" max="8220" width="2.54296875" style="402" hidden="1" customWidth="1"/>
    <col min="8221" max="8221" width="2.36328125" style="402" hidden="1" customWidth="1"/>
    <col min="8222" max="8225" width="2.54296875" style="402" hidden="1" customWidth="1"/>
    <col min="8226" max="8231" width="2.36328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36328125" style="402" hidden="1" customWidth="1"/>
    <col min="8473" max="8476" width="2.54296875" style="402" hidden="1" customWidth="1"/>
    <col min="8477" max="8477" width="2.36328125" style="402" hidden="1" customWidth="1"/>
    <col min="8478" max="8481" width="2.54296875" style="402" hidden="1" customWidth="1"/>
    <col min="8482" max="8487" width="2.36328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36328125" style="402" hidden="1" customWidth="1"/>
    <col min="8729" max="8732" width="2.54296875" style="402" hidden="1" customWidth="1"/>
    <col min="8733" max="8733" width="2.36328125" style="402" hidden="1" customWidth="1"/>
    <col min="8734" max="8737" width="2.54296875" style="402" hidden="1" customWidth="1"/>
    <col min="8738" max="8743" width="2.36328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36328125" style="402" hidden="1" customWidth="1"/>
    <col min="8985" max="8988" width="2.54296875" style="402" hidden="1" customWidth="1"/>
    <col min="8989" max="8989" width="2.36328125" style="402" hidden="1" customWidth="1"/>
    <col min="8990" max="8993" width="2.54296875" style="402" hidden="1" customWidth="1"/>
    <col min="8994" max="8999" width="2.36328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36328125" style="402" hidden="1" customWidth="1"/>
    <col min="9241" max="9244" width="2.54296875" style="402" hidden="1" customWidth="1"/>
    <col min="9245" max="9245" width="2.36328125" style="402" hidden="1" customWidth="1"/>
    <col min="9246" max="9249" width="2.54296875" style="402" hidden="1" customWidth="1"/>
    <col min="9250" max="9255" width="2.36328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36328125" style="402" hidden="1" customWidth="1"/>
    <col min="9497" max="9500" width="2.54296875" style="402" hidden="1" customWidth="1"/>
    <col min="9501" max="9501" width="2.36328125" style="402" hidden="1" customWidth="1"/>
    <col min="9502" max="9505" width="2.54296875" style="402" hidden="1" customWidth="1"/>
    <col min="9506" max="9511" width="2.36328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36328125" style="402" hidden="1" customWidth="1"/>
    <col min="9753" max="9756" width="2.54296875" style="402" hidden="1" customWidth="1"/>
    <col min="9757" max="9757" width="2.36328125" style="402" hidden="1" customWidth="1"/>
    <col min="9758" max="9761" width="2.54296875" style="402" hidden="1" customWidth="1"/>
    <col min="9762" max="9767" width="2.36328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36328125" style="402" hidden="1" customWidth="1"/>
    <col min="10009" max="10012" width="2.54296875" style="402" hidden="1" customWidth="1"/>
    <col min="10013" max="10013" width="2.36328125" style="402" hidden="1" customWidth="1"/>
    <col min="10014" max="10017" width="2.54296875" style="402" hidden="1" customWidth="1"/>
    <col min="10018" max="10023" width="2.36328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36328125" style="402" hidden="1" customWidth="1"/>
    <col min="10265" max="10268" width="2.54296875" style="402" hidden="1" customWidth="1"/>
    <col min="10269" max="10269" width="2.36328125" style="402" hidden="1" customWidth="1"/>
    <col min="10270" max="10273" width="2.54296875" style="402" hidden="1" customWidth="1"/>
    <col min="10274" max="10279" width="2.36328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36328125" style="402" hidden="1" customWidth="1"/>
    <col min="10521" max="10524" width="2.54296875" style="402" hidden="1" customWidth="1"/>
    <col min="10525" max="10525" width="2.36328125" style="402" hidden="1" customWidth="1"/>
    <col min="10526" max="10529" width="2.54296875" style="402" hidden="1" customWidth="1"/>
    <col min="10530" max="10535" width="2.36328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36328125" style="402" hidden="1" customWidth="1"/>
    <col min="10777" max="10780" width="2.54296875" style="402" hidden="1" customWidth="1"/>
    <col min="10781" max="10781" width="2.36328125" style="402" hidden="1" customWidth="1"/>
    <col min="10782" max="10785" width="2.54296875" style="402" hidden="1" customWidth="1"/>
    <col min="10786" max="10791" width="2.36328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36328125" style="402" hidden="1" customWidth="1"/>
    <col min="11033" max="11036" width="2.54296875" style="402" hidden="1" customWidth="1"/>
    <col min="11037" max="11037" width="2.36328125" style="402" hidden="1" customWidth="1"/>
    <col min="11038" max="11041" width="2.54296875" style="402" hidden="1" customWidth="1"/>
    <col min="11042" max="11047" width="2.36328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36328125" style="402" hidden="1" customWidth="1"/>
    <col min="11289" max="11292" width="2.54296875" style="402" hidden="1" customWidth="1"/>
    <col min="11293" max="11293" width="2.36328125" style="402" hidden="1" customWidth="1"/>
    <col min="11294" max="11297" width="2.54296875" style="402" hidden="1" customWidth="1"/>
    <col min="11298" max="11303" width="2.36328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36328125" style="402" hidden="1" customWidth="1"/>
    <col min="11545" max="11548" width="2.54296875" style="402" hidden="1" customWidth="1"/>
    <col min="11549" max="11549" width="2.36328125" style="402" hidden="1" customWidth="1"/>
    <col min="11550" max="11553" width="2.54296875" style="402" hidden="1" customWidth="1"/>
    <col min="11554" max="11559" width="2.36328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36328125" style="402" hidden="1" customWidth="1"/>
    <col min="11801" max="11804" width="2.54296875" style="402" hidden="1" customWidth="1"/>
    <col min="11805" max="11805" width="2.36328125" style="402" hidden="1" customWidth="1"/>
    <col min="11806" max="11809" width="2.54296875" style="402" hidden="1" customWidth="1"/>
    <col min="11810" max="11815" width="2.36328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36328125" style="402" hidden="1" customWidth="1"/>
    <col min="12057" max="12060" width="2.54296875" style="402" hidden="1" customWidth="1"/>
    <col min="12061" max="12061" width="2.36328125" style="402" hidden="1" customWidth="1"/>
    <col min="12062" max="12065" width="2.54296875" style="402" hidden="1" customWidth="1"/>
    <col min="12066" max="12071" width="2.36328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36328125" style="402" hidden="1" customWidth="1"/>
    <col min="12313" max="12316" width="2.54296875" style="402" hidden="1" customWidth="1"/>
    <col min="12317" max="12317" width="2.36328125" style="402" hidden="1" customWidth="1"/>
    <col min="12318" max="12321" width="2.54296875" style="402" hidden="1" customWidth="1"/>
    <col min="12322" max="12327" width="2.36328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36328125" style="402" hidden="1" customWidth="1"/>
    <col min="12569" max="12572" width="2.54296875" style="402" hidden="1" customWidth="1"/>
    <col min="12573" max="12573" width="2.36328125" style="402" hidden="1" customWidth="1"/>
    <col min="12574" max="12577" width="2.54296875" style="402" hidden="1" customWidth="1"/>
    <col min="12578" max="12583" width="2.36328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36328125" style="402" hidden="1" customWidth="1"/>
    <col min="12825" max="12828" width="2.54296875" style="402" hidden="1" customWidth="1"/>
    <col min="12829" max="12829" width="2.36328125" style="402" hidden="1" customWidth="1"/>
    <col min="12830" max="12833" width="2.54296875" style="402" hidden="1" customWidth="1"/>
    <col min="12834" max="12839" width="2.36328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36328125" style="402" hidden="1" customWidth="1"/>
    <col min="13081" max="13084" width="2.54296875" style="402" hidden="1" customWidth="1"/>
    <col min="13085" max="13085" width="2.36328125" style="402" hidden="1" customWidth="1"/>
    <col min="13086" max="13089" width="2.54296875" style="402" hidden="1" customWidth="1"/>
    <col min="13090" max="13095" width="2.36328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36328125" style="402" hidden="1" customWidth="1"/>
    <col min="13337" max="13340" width="2.54296875" style="402" hidden="1" customWidth="1"/>
    <col min="13341" max="13341" width="2.36328125" style="402" hidden="1" customWidth="1"/>
    <col min="13342" max="13345" width="2.54296875" style="402" hidden="1" customWidth="1"/>
    <col min="13346" max="13351" width="2.36328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36328125" style="402" hidden="1" customWidth="1"/>
    <col min="13593" max="13596" width="2.54296875" style="402" hidden="1" customWidth="1"/>
    <col min="13597" max="13597" width="2.36328125" style="402" hidden="1" customWidth="1"/>
    <col min="13598" max="13601" width="2.54296875" style="402" hidden="1" customWidth="1"/>
    <col min="13602" max="13607" width="2.36328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36328125" style="402" hidden="1" customWidth="1"/>
    <col min="13849" max="13852" width="2.54296875" style="402" hidden="1" customWidth="1"/>
    <col min="13853" max="13853" width="2.36328125" style="402" hidden="1" customWidth="1"/>
    <col min="13854" max="13857" width="2.54296875" style="402" hidden="1" customWidth="1"/>
    <col min="13858" max="13863" width="2.36328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36328125" style="402" hidden="1" customWidth="1"/>
    <col min="14105" max="14108" width="2.54296875" style="402" hidden="1" customWidth="1"/>
    <col min="14109" max="14109" width="2.36328125" style="402" hidden="1" customWidth="1"/>
    <col min="14110" max="14113" width="2.54296875" style="402" hidden="1" customWidth="1"/>
    <col min="14114" max="14119" width="2.36328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36328125" style="402" hidden="1" customWidth="1"/>
    <col min="14361" max="14364" width="2.54296875" style="402" hidden="1" customWidth="1"/>
    <col min="14365" max="14365" width="2.36328125" style="402" hidden="1" customWidth="1"/>
    <col min="14366" max="14369" width="2.54296875" style="402" hidden="1" customWidth="1"/>
    <col min="14370" max="14375" width="2.36328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36328125" style="402" hidden="1" customWidth="1"/>
    <col min="14617" max="14620" width="2.54296875" style="402" hidden="1" customWidth="1"/>
    <col min="14621" max="14621" width="2.36328125" style="402" hidden="1" customWidth="1"/>
    <col min="14622" max="14625" width="2.54296875" style="402" hidden="1" customWidth="1"/>
    <col min="14626" max="14631" width="2.36328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36328125" style="402" hidden="1" customWidth="1"/>
    <col min="14873" max="14876" width="2.54296875" style="402" hidden="1" customWidth="1"/>
    <col min="14877" max="14877" width="2.36328125" style="402" hidden="1" customWidth="1"/>
    <col min="14878" max="14881" width="2.54296875" style="402" hidden="1" customWidth="1"/>
    <col min="14882" max="14887" width="2.36328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36328125" style="402" hidden="1" customWidth="1"/>
    <col min="15129" max="15132" width="2.54296875" style="402" hidden="1" customWidth="1"/>
    <col min="15133" max="15133" width="2.36328125" style="402" hidden="1" customWidth="1"/>
    <col min="15134" max="15137" width="2.54296875" style="402" hidden="1" customWidth="1"/>
    <col min="15138" max="15143" width="2.36328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36328125" style="402" hidden="1" customWidth="1"/>
    <col min="15385" max="15388" width="2.54296875" style="402" hidden="1" customWidth="1"/>
    <col min="15389" max="15389" width="2.36328125" style="402" hidden="1" customWidth="1"/>
    <col min="15390" max="15393" width="2.54296875" style="402" hidden="1" customWidth="1"/>
    <col min="15394" max="15399" width="2.36328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36328125" style="402" hidden="1" customWidth="1"/>
    <col min="15641" max="15644" width="2.54296875" style="402" hidden="1" customWidth="1"/>
    <col min="15645" max="15645" width="2.36328125" style="402" hidden="1" customWidth="1"/>
    <col min="15646" max="15649" width="2.54296875" style="402" hidden="1" customWidth="1"/>
    <col min="15650" max="15655" width="2.36328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36328125" style="402" hidden="1" customWidth="1"/>
    <col min="15897" max="15900" width="2.54296875" style="402" hidden="1" customWidth="1"/>
    <col min="15901" max="15901" width="2.36328125" style="402" hidden="1" customWidth="1"/>
    <col min="15902" max="15905" width="2.54296875" style="402" hidden="1" customWidth="1"/>
    <col min="15906" max="15911" width="2.36328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36328125" style="402" hidden="1" customWidth="1"/>
    <col min="16153" max="16156" width="2.54296875" style="402" hidden="1" customWidth="1"/>
    <col min="16157" max="16157" width="2.36328125" style="402" hidden="1" customWidth="1"/>
    <col min="16158" max="16161" width="2.54296875" style="402" hidden="1" customWidth="1"/>
    <col min="16162" max="16167" width="2.36328125" style="402" hidden="1" customWidth="1"/>
    <col min="16168" max="16168" width="1.54296875" style="402" hidden="1" customWidth="1"/>
    <col min="16169" max="16384" width="2.54296875" style="402" hidden="1"/>
  </cols>
  <sheetData>
    <row r="1" spans="1:40" ht="13" customHeight="1">
      <c r="A1" s="2359" t="s">
        <v>1278</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3"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1236</v>
      </c>
    </row>
    <row r="7" spans="1:40" ht="13"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3"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3"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3"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3"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55155523</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3" customHeight="1">
      <c r="B12" s="2355" t="s">
        <v>496</v>
      </c>
      <c r="C12" s="1286"/>
      <c r="D12" s="1286"/>
      <c r="E12" s="1286"/>
      <c r="F12" s="1286"/>
      <c r="G12" s="1286"/>
      <c r="H12" s="1286"/>
      <c r="I12" s="1286"/>
      <c r="J12" s="1286"/>
      <c r="K12" s="1286"/>
      <c r="L12" s="1286"/>
      <c r="M12" s="1286"/>
      <c r="N12" s="1286"/>
      <c r="O12" s="1286"/>
      <c r="P12" s="1286"/>
      <c r="Q12" s="1286"/>
      <c r="R12" s="1286"/>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3" customHeight="1">
      <c r="B13" s="435"/>
      <c r="C13" s="2357" t="s">
        <v>497</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3" customHeight="1">
      <c r="B14" s="435"/>
      <c r="C14" s="2357" t="s">
        <v>498</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3" customHeight="1">
      <c r="B15" s="435"/>
      <c r="C15" s="2357" t="s">
        <v>499</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3" customHeight="1">
      <c r="B16" s="435"/>
      <c r="C16" s="2357" t="s">
        <v>803</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3" customHeight="1">
      <c r="B17" s="435"/>
      <c r="C17" s="2357" t="s">
        <v>500</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3" customHeight="1">
      <c r="A18"/>
      <c r="B18" s="1150"/>
      <c r="C18" s="1813" t="s">
        <v>958</v>
      </c>
      <c r="D18" s="1813"/>
      <c r="E18" s="1813"/>
      <c r="F18" s="1813"/>
      <c r="G18" s="1813"/>
      <c r="H18" s="1813"/>
      <c r="I18" s="1813"/>
      <c r="J18" s="1813"/>
      <c r="K18" s="1813"/>
      <c r="L18" s="1813"/>
      <c r="M18" s="1813"/>
      <c r="N18" s="1813"/>
      <c r="O18" s="1813"/>
      <c r="P18" s="1813"/>
      <c r="Q18" s="1813"/>
      <c r="R18" s="1813"/>
      <c r="S18" s="1814"/>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3" customHeight="1">
      <c r="B19" s="1150"/>
      <c r="C19" s="1813" t="s">
        <v>958</v>
      </c>
      <c r="D19" s="1813"/>
      <c r="E19" s="1813"/>
      <c r="F19" s="1813"/>
      <c r="G19" s="1813"/>
      <c r="H19" s="1813"/>
      <c r="I19" s="1813"/>
      <c r="J19" s="1813"/>
      <c r="K19" s="1813"/>
      <c r="L19" s="1813"/>
      <c r="M19" s="1813"/>
      <c r="N19" s="1813"/>
      <c r="O19" s="1813"/>
      <c r="P19" s="1813"/>
      <c r="Q19" s="1813"/>
      <c r="R19" s="1813"/>
      <c r="S19" s="1814"/>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3" customHeight="1">
      <c r="B20" s="2340" t="s">
        <v>501</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3" customHeight="1">
      <c r="B21" s="2340" t="s">
        <v>1261</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3" customHeight="1">
      <c r="B22" s="2340" t="s">
        <v>502</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3" customHeight="1">
      <c r="B23" s="2340" t="s">
        <v>503</v>
      </c>
      <c r="C23" s="2341"/>
      <c r="D23" s="2341"/>
      <c r="E23" s="2341"/>
      <c r="F23" s="2341"/>
      <c r="G23" s="2341"/>
      <c r="H23" s="2341"/>
      <c r="I23" s="2341"/>
      <c r="J23" s="2341"/>
      <c r="K23" s="2341"/>
      <c r="L23" s="2341"/>
      <c r="M23" s="2341"/>
      <c r="N23" s="2341"/>
      <c r="O23" s="2341"/>
      <c r="P23" s="2341"/>
      <c r="Q23" s="2341"/>
      <c r="R23" s="2341"/>
      <c r="S23" s="2342"/>
      <c r="T23" s="2333">
        <f>T11+T22</f>
        <v>55155523</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3" customHeight="1">
      <c r="B24" s="2340" t="s">
        <v>959</v>
      </c>
      <c r="C24" s="2341"/>
      <c r="D24" s="2341"/>
      <c r="E24" s="2341"/>
      <c r="F24" s="2341"/>
      <c r="G24" s="2341"/>
      <c r="H24" s="2341"/>
      <c r="I24" s="2341"/>
      <c r="J24" s="2341"/>
      <c r="K24" s="2341"/>
      <c r="L24" s="2341"/>
      <c r="M24" s="2341"/>
      <c r="N24" s="2341"/>
      <c r="O24" s="2341"/>
      <c r="P24" s="2341"/>
      <c r="Q24" s="2341"/>
      <c r="R24" s="2341"/>
      <c r="S24" s="2342"/>
      <c r="T24" s="2335">
        <f>Application!AJ1053</f>
        <v>76966414.5</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3" customHeight="1">
      <c r="B25" s="2344" t="s">
        <v>1262</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3" customHeight="1">
      <c r="B26" s="2340" t="s">
        <v>504</v>
      </c>
      <c r="C26" s="2341"/>
      <c r="D26" s="2341"/>
      <c r="E26" s="2341"/>
      <c r="F26" s="2341"/>
      <c r="G26" s="2341"/>
      <c r="H26" s="2341"/>
      <c r="I26" s="2341"/>
      <c r="J26" s="2341"/>
      <c r="K26" s="2341"/>
      <c r="L26" s="2341"/>
      <c r="M26" s="2341"/>
      <c r="N26" s="2341"/>
      <c r="O26" s="2341"/>
      <c r="P26" s="2341"/>
      <c r="Q26" s="2341"/>
      <c r="R26" s="2341"/>
      <c r="S26" s="2342"/>
      <c r="T26" s="2333">
        <f>T23*T25</f>
        <v>71702179.900000006</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3" customHeight="1">
      <c r="A27" s="410"/>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3" customHeight="1">
      <c r="A28" s="404"/>
      <c r="B28" s="2340" t="s">
        <v>505</v>
      </c>
      <c r="C28" s="2341"/>
      <c r="D28" s="2341"/>
      <c r="E28" s="2341"/>
      <c r="F28" s="2341"/>
      <c r="G28" s="2341"/>
      <c r="H28" s="2341"/>
      <c r="I28" s="2341"/>
      <c r="J28" s="2341"/>
      <c r="K28" s="2341"/>
      <c r="L28" s="2341"/>
      <c r="M28" s="2341"/>
      <c r="N28" s="2341"/>
      <c r="O28" s="2341"/>
      <c r="P28" s="2341"/>
      <c r="Q28" s="2341"/>
      <c r="R28" s="2341"/>
      <c r="S28" s="2342"/>
      <c r="T28" s="2333">
        <f>IF(ISERROR((T26*T27)),0,(T26*T27))</f>
        <v>71702179.900000006</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3" customHeight="1">
      <c r="B29" s="2340" t="s">
        <v>522</v>
      </c>
      <c r="C29" s="2341"/>
      <c r="D29" s="2341"/>
      <c r="E29" s="2341"/>
      <c r="F29" s="2341"/>
      <c r="G29" s="2341"/>
      <c r="H29" s="2341"/>
      <c r="I29" s="2341"/>
      <c r="J29" s="2341"/>
      <c r="K29" s="2341"/>
      <c r="L29" s="2341"/>
      <c r="M29" s="2341"/>
      <c r="N29" s="2341"/>
      <c r="O29" s="2341"/>
      <c r="P29" s="2341"/>
      <c r="Q29" s="2341"/>
      <c r="R29" s="2341"/>
      <c r="S29" s="2342"/>
      <c r="T29" s="2335">
        <f>T28+Y28+AD28+AI28</f>
        <v>71702179.900000006</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3" customHeight="1">
      <c r="B30" s="2343" t="s">
        <v>1264</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3" customHeight="1">
      <c r="B31" s="2343" t="s">
        <v>1263</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575</v>
      </c>
      <c r="C34" s="404" t="s">
        <v>567</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1152</v>
      </c>
      <c r="Z35" s="2361"/>
      <c r="AA35" s="2361"/>
      <c r="AB35" s="2361"/>
      <c r="AC35" s="2361"/>
      <c r="AD35" s="2381" t="s">
        <v>369</v>
      </c>
      <c r="AE35" s="2381"/>
      <c r="AF35" s="2381"/>
      <c r="AG35" s="2381"/>
      <c r="AH35" s="2381"/>
    </row>
    <row r="36" spans="1:76" ht="13" customHeight="1">
      <c r="B36" s="407"/>
      <c r="X36" s="412"/>
      <c r="Y36" s="2361"/>
      <c r="Z36" s="2361"/>
      <c r="AA36" s="2361"/>
      <c r="AB36" s="2361"/>
      <c r="AC36" s="2361"/>
      <c r="AD36" s="2381"/>
      <c r="AE36" s="2381"/>
      <c r="AF36" s="2381"/>
      <c r="AG36" s="2381"/>
      <c r="AH36" s="2381"/>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3" customHeight="1">
      <c r="A38" s="404"/>
      <c r="B38" s="2340" t="s">
        <v>505</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71702179.900000006</v>
      </c>
      <c r="Z38" s="2334"/>
      <c r="AA38" s="2334"/>
      <c r="AB38" s="2334"/>
      <c r="AC38" s="2334"/>
      <c r="AD38" s="2334">
        <f>IF(T24&gt;=(T23+Y23+AD23+AI23),AD28+AI28,0)</f>
        <v>0</v>
      </c>
      <c r="AE38" s="2334"/>
      <c r="AF38" s="2334"/>
      <c r="AG38" s="2334"/>
      <c r="AH38" s="2334"/>
    </row>
    <row r="39" spans="1:76" ht="13" customHeight="1">
      <c r="B39" s="2340" t="s">
        <v>1689</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3" customHeight="1">
      <c r="A40" s="404"/>
      <c r="B40" s="2340" t="s">
        <v>640</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2868087</v>
      </c>
      <c r="Z40" s="2334"/>
      <c r="AA40" s="2334"/>
      <c r="AB40" s="2334"/>
      <c r="AC40" s="2334"/>
      <c r="AD40" s="2333">
        <f>ROUND(AD38*AD39,0)</f>
        <v>0</v>
      </c>
      <c r="AE40" s="2334"/>
      <c r="AF40" s="2334"/>
      <c r="AG40" s="2334"/>
      <c r="AH40" s="2334"/>
    </row>
    <row r="41" spans="1:76" ht="13" customHeight="1">
      <c r="B41" s="2340" t="s">
        <v>641</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2868087</v>
      </c>
      <c r="Z41" s="2336"/>
      <c r="AA41" s="2336"/>
      <c r="AB41" s="2336"/>
      <c r="AC41" s="2336"/>
      <c r="AD41" s="2336"/>
      <c r="AE41" s="2336"/>
      <c r="AF41" s="2336"/>
      <c r="AG41" s="2336"/>
      <c r="AH41" s="2333"/>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8" t="s">
        <v>1274</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3" customHeight="1" thickTop="1"/>
    <row r="46" spans="1:76" ht="13" customHeight="1">
      <c r="A46" s="404" t="s">
        <v>585</v>
      </c>
      <c r="C46" s="404" t="s">
        <v>282</v>
      </c>
    </row>
    <row r="47" spans="1:76" ht="13" customHeight="1">
      <c r="D47" s="404" t="s">
        <v>283</v>
      </c>
      <c r="AB47" s="2350">
        <f>'Sources and Uses Budget'!B105-MAX(IF('Sources and Uses Budget'!B15="",0,'Sources and Uses Budget'!B15),IF(Application!AG394="",0,Application!AG394))</f>
        <v>56420274</v>
      </c>
      <c r="AC47" s="2351"/>
      <c r="AD47" s="2351"/>
      <c r="AE47" s="2351"/>
      <c r="AF47" s="2352"/>
    </row>
    <row r="48" spans="1:76" ht="13" customHeight="1">
      <c r="D48" s="404" t="s">
        <v>21</v>
      </c>
      <c r="AB48" s="2350">
        <f>Application!AO639-MAX(IF('Sources and Uses Budget'!B15="",0,'Sources and Uses Budget'!B15),IF(Application!AG394="",0,Application!AG394))</f>
        <v>20521551</v>
      </c>
      <c r="AC48" s="2351"/>
      <c r="AD48" s="2351"/>
      <c r="AE48" s="2351"/>
      <c r="AF48" s="2352"/>
    </row>
    <row r="49" spans="1:76" ht="13" customHeight="1">
      <c r="D49" s="404" t="s">
        <v>91</v>
      </c>
      <c r="AB49" s="2350">
        <f>AB47-AB48</f>
        <v>35898723</v>
      </c>
      <c r="AC49" s="2351"/>
      <c r="AD49" s="2351"/>
      <c r="AE49" s="2351"/>
      <c r="AF49" s="2352"/>
    </row>
    <row r="50" spans="1:76" ht="13" customHeight="1">
      <c r="D50" s="404" t="s">
        <v>679</v>
      </c>
      <c r="AA50" s="415"/>
      <c r="AB50" s="2377">
        <f>0.9999*0.82</f>
        <v>0.81991799999999992</v>
      </c>
      <c r="AC50" s="2378"/>
      <c r="AD50" s="2378"/>
      <c r="AE50" s="2378"/>
      <c r="AF50" s="2379"/>
    </row>
    <row r="51" spans="1:76" s="417" customFormat="1" ht="13" customHeight="1">
      <c r="A51" s="402"/>
      <c r="B51" s="402"/>
      <c r="C51" s="402"/>
      <c r="D51" s="402"/>
      <c r="E51" s="2380" t="s">
        <v>2609</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0">
        <f>ROUND(IF(ISERROR((AB49/AB50)),0,(AB49/AB50)),0)</f>
        <v>43783309</v>
      </c>
      <c r="AC54" s="2351"/>
      <c r="AD54" s="2351"/>
      <c r="AE54" s="2351"/>
      <c r="AF54" s="2352"/>
    </row>
    <row r="55" spans="1:76" ht="13" customHeight="1">
      <c r="D55" s="404" t="s">
        <v>333</v>
      </c>
      <c r="AB55" s="2350">
        <f>(AB54/10)</f>
        <v>4378330.9000000004</v>
      </c>
      <c r="AC55" s="2351"/>
      <c r="AD55" s="2351"/>
      <c r="AE55" s="2351"/>
      <c r="AF55" s="2352"/>
    </row>
    <row r="56" spans="1:76" ht="13" customHeight="1">
      <c r="D56" s="404" t="s">
        <v>754</v>
      </c>
      <c r="AB56" s="2350">
        <f>ROUND((IF((Y41&lt;AB55),Y41,AB55)),0)</f>
        <v>2868087</v>
      </c>
      <c r="AC56" s="2351"/>
      <c r="AD56" s="2351"/>
      <c r="AE56" s="2351"/>
      <c r="AF56" s="2352"/>
    </row>
    <row r="57" spans="1:76" ht="13" customHeight="1">
      <c r="D57" s="404" t="s">
        <v>753</v>
      </c>
      <c r="AB57" s="2350">
        <f>ROUND((10*AB56*AB50),0)</f>
        <v>23515962</v>
      </c>
      <c r="AC57" s="2351"/>
      <c r="AD57" s="2351"/>
      <c r="AE57" s="2351"/>
      <c r="AF57" s="2352"/>
    </row>
    <row r="58" spans="1:76" ht="13" customHeight="1">
      <c r="D58" s="404"/>
      <c r="AB58" s="423"/>
      <c r="AC58" s="423"/>
      <c r="AD58" s="423"/>
      <c r="AE58" s="423"/>
      <c r="AF58" s="423"/>
    </row>
    <row r="59" spans="1:76" ht="13" customHeight="1">
      <c r="D59" s="404" t="s">
        <v>752</v>
      </c>
      <c r="AB59" s="2373">
        <f>AB49-AB57</f>
        <v>12382761</v>
      </c>
      <c r="AC59" s="2373"/>
      <c r="AD59" s="2373"/>
      <c r="AE59" s="2373"/>
      <c r="AF59" s="2373"/>
    </row>
    <row r="60" spans="1:76" ht="13" customHeight="1">
      <c r="D60" s="404"/>
      <c r="AB60" s="423"/>
      <c r="AC60" s="423"/>
      <c r="AD60" s="423"/>
      <c r="AE60" s="423"/>
      <c r="AF60" s="423"/>
    </row>
    <row r="61" spans="1:76" s="204" customFormat="1" ht="13"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3" customHeight="1" thickTop="1"/>
    <row r="63" spans="1:76" ht="13" customHeight="1">
      <c r="A63" s="404" t="s">
        <v>588</v>
      </c>
      <c r="C63" s="205" t="s">
        <v>1246</v>
      </c>
      <c r="Y63" s="2374" t="s">
        <v>982</v>
      </c>
      <c r="Z63" s="2374"/>
      <c r="AA63" s="2374"/>
      <c r="AB63" s="2374"/>
      <c r="AC63" s="2374"/>
      <c r="AD63" s="2374" t="s">
        <v>369</v>
      </c>
      <c r="AE63" s="2374"/>
      <c r="AF63" s="2374"/>
      <c r="AG63" s="2374"/>
      <c r="AH63" s="2374"/>
    </row>
    <row r="64" spans="1:76" ht="13" customHeight="1">
      <c r="C64" s="404"/>
      <c r="D64" s="377" t="s">
        <v>1247</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55155523</v>
      </c>
      <c r="Z64" s="2375"/>
      <c r="AA64" s="2375"/>
      <c r="AB64" s="2375"/>
      <c r="AC64" s="2376"/>
      <c r="AD64" s="2335">
        <f>IF(AND(OR(Application!D211="At-Risk",Application!D211="At-Risk and Special Needs"),Application!M358="yes"),AD28+AI28,0)</f>
        <v>0</v>
      </c>
      <c r="AE64" s="2375"/>
      <c r="AF64" s="2375"/>
      <c r="AG64" s="2375"/>
      <c r="AH64" s="2376"/>
    </row>
    <row r="65" spans="1:36" ht="13" customHeight="1">
      <c r="C65" s="404"/>
      <c r="E65" s="1017" t="s">
        <v>1846</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1847</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0.3</v>
      </c>
      <c r="Z67" s="2388"/>
      <c r="AA67" s="2388"/>
      <c r="AB67" s="2388"/>
      <c r="AC67" s="2388"/>
      <c r="AD67" s="2388">
        <f>IF(Application!Z205="15% set-aside with qualifying low value rehab", 0.95,IF(OR(Application!D211="At-Risk",'Points System'!B13="Yes"),0.13,0))</f>
        <v>0</v>
      </c>
      <c r="AE67" s="2388"/>
      <c r="AF67" s="2388"/>
      <c r="AG67" s="2388"/>
      <c r="AH67" s="2388"/>
    </row>
    <row r="68" spans="1:36" ht="13" customHeight="1">
      <c r="C68" s="404"/>
      <c r="D68" s="205" t="s">
        <v>2222</v>
      </c>
      <c r="Y68" s="2334">
        <f>ROUND(Y64*Y67,0)</f>
        <v>16546657</v>
      </c>
      <c r="Z68" s="2389"/>
      <c r="AA68" s="2389"/>
      <c r="AB68" s="2389"/>
      <c r="AC68" s="2389"/>
      <c r="AD68" s="2334">
        <f>ROUND(AD64*AD67,0)</f>
        <v>0</v>
      </c>
      <c r="AE68" s="2389"/>
      <c r="AF68" s="2389"/>
      <c r="AG68" s="2389"/>
      <c r="AH68" s="2389"/>
    </row>
    <row r="69" spans="1:36" ht="13" customHeight="1">
      <c r="C69" s="404"/>
      <c r="D69" s="205" t="s">
        <v>2223</v>
      </c>
      <c r="Y69" s="2334">
        <f>IF(OR(Application!Z205="State Farmworker Credit",Application!Z205="$500M (Farmworker Housing)"),Y68+AD68,MIN(Y68+AD68,200000*(Application!G753+Application!O777)))</f>
        <v>14400000</v>
      </c>
      <c r="Z69" s="2334"/>
      <c r="AA69" s="2334"/>
      <c r="AB69" s="2334"/>
      <c r="AC69" s="2334"/>
      <c r="AD69" s="2334"/>
      <c r="AE69" s="2334"/>
      <c r="AF69" s="2334"/>
      <c r="AG69" s="2334"/>
      <c r="AH69" s="2334"/>
    </row>
    <row r="70" spans="1:36" ht="13" customHeight="1">
      <c r="C70" s="404"/>
      <c r="E70" s="404"/>
      <c r="AB70" s="422"/>
      <c r="AC70" s="422"/>
      <c r="AD70" s="422"/>
      <c r="AE70" s="422"/>
      <c r="AF70" s="422"/>
    </row>
    <row r="71" spans="1:36" ht="13" customHeight="1">
      <c r="A71" s="404" t="s">
        <v>589</v>
      </c>
      <c r="C71" s="205" t="s">
        <v>284</v>
      </c>
    </row>
    <row r="72" spans="1:36" ht="13" customHeight="1">
      <c r="A72" s="404"/>
      <c r="C72" s="404"/>
      <c r="D72" s="205" t="s">
        <v>1248</v>
      </c>
      <c r="AB72" s="2377">
        <v>0.85991395000000004</v>
      </c>
      <c r="AC72" s="2378"/>
      <c r="AD72" s="2378"/>
      <c r="AE72" s="2378"/>
      <c r="AF72" s="2379"/>
    </row>
    <row r="73" spans="1:36" ht="13" customHeight="1">
      <c r="A73" s="404"/>
      <c r="C73" s="404"/>
      <c r="D73" s="404"/>
      <c r="E73" s="2390" t="s">
        <v>1249</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3"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3"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1250</v>
      </c>
      <c r="AB77" s="2383">
        <f>ROUND(IF(ISERROR((AB59/AB72)),0,(AB59/AB72)),0)</f>
        <v>14400000</v>
      </c>
      <c r="AC77" s="2383"/>
      <c r="AD77" s="2383"/>
      <c r="AE77" s="2383"/>
      <c r="AF77" s="2383"/>
    </row>
    <row r="78" spans="1:36" ht="13" customHeight="1">
      <c r="C78" s="404"/>
      <c r="D78" s="205" t="s">
        <v>1251</v>
      </c>
      <c r="AB78" s="2384">
        <f>ROUNDUP(MIN(Y69,AB77),0)</f>
        <v>14400000</v>
      </c>
      <c r="AC78" s="2385"/>
      <c r="AD78" s="2385"/>
      <c r="AE78" s="2385"/>
      <c r="AF78" s="2386"/>
    </row>
    <row r="79" spans="1:36" ht="13" customHeight="1">
      <c r="C79" s="404"/>
      <c r="D79" s="205" t="s">
        <v>1252</v>
      </c>
      <c r="AB79" s="2387">
        <f>AB78*AB72</f>
        <v>12382760.880000001</v>
      </c>
      <c r="AC79" s="2387"/>
      <c r="AD79" s="2387"/>
      <c r="AE79" s="2387"/>
      <c r="AF79" s="2387"/>
    </row>
    <row r="80" spans="1:36" ht="13" customHeight="1">
      <c r="C80" s="404"/>
      <c r="D80" s="404"/>
      <c r="AB80" s="425"/>
      <c r="AC80" s="425"/>
      <c r="AD80" s="425"/>
      <c r="AE80" s="425"/>
      <c r="AF80" s="425"/>
    </row>
    <row r="81" spans="1:78" ht="13" customHeight="1">
      <c r="D81" s="404" t="s">
        <v>752</v>
      </c>
      <c r="AB81" s="2373">
        <f>AB49-(AB57+AB79)</f>
        <v>0.11999999731779099</v>
      </c>
      <c r="AC81" s="2373"/>
      <c r="AD81" s="2373"/>
      <c r="AE81" s="2373"/>
      <c r="AF81" s="2373"/>
    </row>
    <row r="82" spans="1:78" ht="13" customHeight="1">
      <c r="F82" s="522"/>
      <c r="J82" s="522" t="str">
        <f>IF(AB81&gt;0,"FUNDING GAP MUST NOT EXCEED ZERO","")</f>
        <v>FUNDING GAP MUST NOT EXCEED ZERO</v>
      </c>
    </row>
    <row r="83" spans="1:78" ht="13" customHeight="1">
      <c r="D83" s="523"/>
    </row>
    <row r="84" spans="1:78" ht="13"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3" customHeight="1" thickTop="1"/>
    <row r="86" spans="1:78" ht="13" customHeight="1">
      <c r="A86" s="404"/>
      <c r="C86" s="205"/>
    </row>
    <row r="87" spans="1:78" ht="13" customHeight="1">
      <c r="D87" s="205"/>
      <c r="AB87" s="2339"/>
      <c r="AC87" s="2339"/>
      <c r="AD87" s="2339"/>
      <c r="AE87" s="2339"/>
      <c r="AF87" s="2339"/>
    </row>
    <row r="88" spans="1:78" ht="13"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M5" sqref="M5"/>
    </sheetView>
  </sheetViews>
  <sheetFormatPr defaultColWidth="0" defaultRowHeight="13" zeroHeight="1"/>
  <cols>
    <col min="1" max="1" width="2.7265625" style="14" customWidth="1"/>
    <col min="2" max="3" width="2.36328125" style="14" customWidth="1"/>
    <col min="4" max="4" width="3.08984375" style="14" customWidth="1"/>
    <col min="5" max="5" width="3.36328125" style="14" customWidth="1"/>
    <col min="6" max="6" width="2.81640625" style="14" customWidth="1"/>
    <col min="7" max="14" width="2.36328125" style="14" customWidth="1"/>
    <col min="15" max="15" width="2.81640625" style="14" customWidth="1"/>
    <col min="16" max="16" width="2.36328125" style="14" customWidth="1"/>
    <col min="17" max="17" width="3.81640625" style="14" customWidth="1"/>
    <col min="18" max="18" width="4.54296875" style="14" customWidth="1"/>
    <col min="19" max="19" width="3.26953125" style="14" customWidth="1"/>
    <col min="20" max="26" width="2.36328125" style="14" customWidth="1"/>
    <col min="27" max="30" width="2.54296875" style="14" customWidth="1"/>
    <col min="31" max="32" width="2.36328125" style="14" customWidth="1"/>
    <col min="33" max="33" width="3.36328125" style="14" customWidth="1"/>
    <col min="34" max="36" width="2.36328125" style="14" customWidth="1"/>
    <col min="37" max="37" width="5.54296875" style="14" customWidth="1"/>
    <col min="38" max="38" width="2.36328125" style="14" customWidth="1"/>
    <col min="39" max="39" width="3.36328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36328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2621" t="s">
        <v>1298</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1299</v>
      </c>
      <c r="B4" s="539" t="s">
        <v>1300</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1301</v>
      </c>
      <c r="B7" s="539" t="s">
        <v>1302</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1303</v>
      </c>
      <c r="AF7" s="2462"/>
      <c r="AG7" s="2462"/>
      <c r="AH7" s="2462"/>
      <c r="AI7" s="2462"/>
      <c r="AJ7" s="2462"/>
      <c r="AK7" s="2462"/>
      <c r="AL7" s="540"/>
      <c r="AM7" s="540"/>
      <c r="AN7" s="535"/>
    </row>
    <row r="8" spans="1:42" s="536" customFormat="1" ht="12.75" customHeight="1">
      <c r="A8" s="538"/>
      <c r="B8" s="539" t="s">
        <v>1727</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590</v>
      </c>
      <c r="C13" s="2615"/>
      <c r="D13" s="547"/>
      <c r="E13" s="548" t="s">
        <v>1304</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590</v>
      </c>
      <c r="C16" s="2615"/>
      <c r="D16" s="547"/>
      <c r="E16" s="2607" t="s">
        <v>1305</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1306</v>
      </c>
    </row>
    <row r="19" spans="1:42" s="536" customFormat="1" ht="12.75" customHeight="1">
      <c r="A19" s="540"/>
      <c r="B19" s="540"/>
      <c r="C19" s="540"/>
      <c r="D19" s="551"/>
      <c r="E19" s="552" t="s">
        <v>1307</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590</v>
      </c>
      <c r="C22" s="2615"/>
      <c r="D22" s="547"/>
      <c r="E22" s="2625" t="s">
        <v>1308</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1306</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590</v>
      </c>
      <c r="C25" s="2615"/>
      <c r="D25" s="547"/>
      <c r="E25" s="2542" t="s">
        <v>2031</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1306</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590</v>
      </c>
      <c r="C28" s="2615"/>
      <c r="D28" s="547"/>
      <c r="E28" s="2644" t="s">
        <v>2246</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1306</v>
      </c>
    </row>
    <row r="33" spans="1:41" s="536" customFormat="1" ht="12.75" customHeight="1">
      <c r="A33" s="540"/>
      <c r="B33" s="2615" t="s">
        <v>590</v>
      </c>
      <c r="C33" s="2615"/>
      <c r="D33" s="547"/>
      <c r="E33" s="2625" t="s">
        <v>2248</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590</v>
      </c>
      <c r="C36" s="2615"/>
      <c r="D36" s="547"/>
      <c r="E36" s="2542" t="s">
        <v>2249</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590</v>
      </c>
      <c r="C40" s="2615"/>
      <c r="D40" s="547"/>
      <c r="E40" s="2542" t="s">
        <v>2247</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590</v>
      </c>
      <c r="C45" s="2615"/>
      <c r="D45" s="1142"/>
      <c r="E45" s="2542" t="s">
        <v>2006</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590</v>
      </c>
      <c r="C52" s="2615"/>
      <c r="D52" s="540"/>
      <c r="E52" s="2542" t="s">
        <v>2011</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590</v>
      </c>
      <c r="C56" s="2615"/>
      <c r="D56" s="540"/>
      <c r="E56" s="2641" t="s">
        <v>2012</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590</v>
      </c>
      <c r="C58" s="2615"/>
      <c r="D58" s="540"/>
      <c r="E58" s="2542" t="s">
        <v>2013</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1309</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1310</v>
      </c>
      <c r="B65" s="539" t="s">
        <v>1311</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1312</v>
      </c>
      <c r="AF65" s="2462"/>
      <c r="AG65" s="2462"/>
      <c r="AH65" s="2462"/>
      <c r="AI65" s="2462"/>
      <c r="AJ65" s="2462"/>
      <c r="AK65" s="2462"/>
      <c r="AL65" s="540"/>
      <c r="AM65" s="540"/>
      <c r="AN65" s="535"/>
    </row>
    <row r="66" spans="1:42" s="536" customFormat="1" ht="12.75" customHeight="1">
      <c r="A66" s="538"/>
      <c r="B66" s="539" t="s">
        <v>1726</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590</v>
      </c>
      <c r="C68" s="2615"/>
      <c r="D68" s="547" t="s">
        <v>1313</v>
      </c>
      <c r="E68" s="2607" t="s">
        <v>2014</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10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1314</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544</v>
      </c>
      <c r="C74" s="2615"/>
      <c r="D74" s="547" t="s">
        <v>1315</v>
      </c>
      <c r="E74" s="971" t="s">
        <v>1722</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590</v>
      </c>
      <c r="F75" s="2615"/>
      <c r="G75" s="575"/>
      <c r="H75" s="558" t="s">
        <v>1316</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590</v>
      </c>
      <c r="F76" s="2636"/>
      <c r="G76" s="575"/>
      <c r="H76" s="558" t="s">
        <v>1317</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544</v>
      </c>
      <c r="F77" s="2636"/>
      <c r="G77" s="575"/>
      <c r="H77" s="558" t="s">
        <v>1737</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590</v>
      </c>
      <c r="F79" s="2615"/>
      <c r="G79" s="906"/>
      <c r="H79" s="976" t="s">
        <v>1736</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590</v>
      </c>
      <c r="C81" s="2615"/>
      <c r="D81" s="547" t="s">
        <v>1318</v>
      </c>
      <c r="E81" s="2542" t="s">
        <v>1738</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1319</v>
      </c>
      <c r="AK84" s="2588">
        <f>IF(AK62&gt;0,0,AO71)</f>
        <v>10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1320</v>
      </c>
      <c r="B87" s="539" t="s">
        <v>1321</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1303</v>
      </c>
      <c r="AF87" s="2462"/>
      <c r="AG87" s="2462"/>
      <c r="AH87" s="2462"/>
      <c r="AI87" s="2462"/>
      <c r="AJ87" s="2462"/>
      <c r="AK87" s="2462"/>
      <c r="AL87" s="540"/>
      <c r="AM87" s="540"/>
      <c r="AN87" s="535"/>
    </row>
    <row r="88" spans="1:43" s="536" customFormat="1" ht="12.75" customHeight="1">
      <c r="A88" s="538"/>
      <c r="B88" s="539" t="s">
        <v>1322</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590</v>
      </c>
      <c r="C90" s="2615"/>
      <c r="D90" s="547" t="s">
        <v>1313</v>
      </c>
      <c r="E90" s="2607" t="s">
        <v>1323</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0.55694444444444435</v>
      </c>
      <c r="F93" s="2604"/>
      <c r="G93" s="2604"/>
      <c r="H93" s="2604"/>
      <c r="I93" s="577"/>
      <c r="J93" s="580" t="s">
        <v>1324</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3.9999999999999925E-2</v>
      </c>
      <c r="F94" s="2409"/>
      <c r="G94" s="2409"/>
      <c r="H94" s="2409"/>
      <c r="I94" s="577"/>
      <c r="J94" s="580" t="s">
        <v>1325</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7.9999999999999849</v>
      </c>
      <c r="F95" s="2620"/>
      <c r="G95" s="2620"/>
      <c r="H95" s="2620"/>
      <c r="I95" s="577"/>
      <c r="J95" s="580" t="s">
        <v>1326</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1306</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544</v>
      </c>
      <c r="C98" s="2615"/>
      <c r="D98" s="547" t="s">
        <v>1315</v>
      </c>
      <c r="E98" s="2607" t="s">
        <v>1723</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0.55694444444444435</v>
      </c>
      <c r="F103" s="2604"/>
      <c r="G103" s="2604"/>
      <c r="H103" s="2604"/>
      <c r="I103" s="577"/>
      <c r="J103" s="580" t="s">
        <v>1324</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0.30555555555555558</v>
      </c>
      <c r="F104" s="2604"/>
      <c r="G104" s="2604"/>
      <c r="H104" s="2604"/>
      <c r="I104" s="577"/>
      <c r="J104" s="580" t="s">
        <v>1327</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9.7222222222222224E-2</v>
      </c>
      <c r="F105" s="2604"/>
      <c r="G105" s="2604"/>
      <c r="H105" s="2604"/>
      <c r="I105" s="577"/>
      <c r="J105" s="580" t="s">
        <v>1328</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1326</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1306</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1329</v>
      </c>
      <c r="AK109" s="2588">
        <f ca="1">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1330</v>
      </c>
      <c r="B112" s="539" t="s">
        <v>1331</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1312</v>
      </c>
      <c r="AF112" s="2462"/>
      <c r="AG112" s="2462"/>
      <c r="AH112" s="2462"/>
      <c r="AI112" s="2462"/>
      <c r="AJ112" s="2462"/>
      <c r="AK112" s="2462"/>
      <c r="AL112" s="540"/>
      <c r="AM112" s="540"/>
      <c r="AN112" s="535"/>
      <c r="AO112" s="536" t="str">
        <f>Application!B718</f>
        <v>SRO/Studio</v>
      </c>
      <c r="AQ112" s="536">
        <f>Application!O718</f>
        <v>483</v>
      </c>
    </row>
    <row r="113" spans="1:52" s="536" customFormat="1" ht="12.75" customHeight="1">
      <c r="A113" s="540"/>
      <c r="B113" s="539" t="s">
        <v>1322</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840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1019</v>
      </c>
    </row>
    <row r="115" spans="1:52" s="536" customFormat="1" ht="12.75" customHeight="1">
      <c r="A115" s="540"/>
      <c r="B115" s="2615" t="s">
        <v>544</v>
      </c>
      <c r="C115" s="2615"/>
      <c r="D115" s="547" t="s">
        <v>1313</v>
      </c>
      <c r="E115" s="2607" t="s">
        <v>1855</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SRO/Studio</v>
      </c>
      <c r="AQ115" s="536">
        <f>Application!O721</f>
        <v>1376</v>
      </c>
      <c r="AU115" s="536" t="s">
        <v>1838</v>
      </c>
      <c r="AV115" s="595" t="s">
        <v>1839</v>
      </c>
      <c r="AW115" s="536" t="s">
        <v>1840</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1 Bedroom</v>
      </c>
      <c r="AQ116" s="536">
        <f>Application!O722</f>
        <v>504</v>
      </c>
      <c r="AU116" s="856" t="str">
        <f>E124</f>
        <v>Studio/SRO</v>
      </c>
      <c r="AV116" s="536">
        <f t="array" ref="AV116">SUM(IF(Application!B718:F752="SRO/Studio",Application!G718:J752))</f>
        <v>15</v>
      </c>
      <c r="AW116" s="1011">
        <f>AV116/AV122</f>
        <v>0.20833333333333334</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t="str">
        <f>Application!B723</f>
        <v>1 Bedroom</v>
      </c>
      <c r="AQ117" s="536">
        <f>Application!O723</f>
        <v>886</v>
      </c>
      <c r="AU117" s="856" t="str">
        <f>J124</f>
        <v>1-bedroom</v>
      </c>
      <c r="AV117" s="536">
        <f t="array" ref="AV117">SUM(IF(Application!B718:F752="1 Bedroom",Application!G718:J752))</f>
        <v>12</v>
      </c>
      <c r="AW117" s="1011">
        <f>AV117/AV122</f>
        <v>0.16666666666666666</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t="str">
        <f>Application!B724</f>
        <v>1 Bedroom</v>
      </c>
      <c r="AQ118" s="536">
        <f>Application!O724</f>
        <v>1078</v>
      </c>
      <c r="AU118" s="856" t="str">
        <f>O124</f>
        <v>2-bedroom</v>
      </c>
      <c r="AV118" s="536">
        <f t="array" ref="AV118">SUM(IF(Application!B718:F752="2 Bedrooms",Application!G718:J752))</f>
        <v>27</v>
      </c>
      <c r="AW118" s="1011">
        <f>AV118/AV122</f>
        <v>0.375</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t="str">
        <f>Application!B725</f>
        <v>1 Bedroom</v>
      </c>
      <c r="AQ119" s="536">
        <f>Application!O725</f>
        <v>1461</v>
      </c>
      <c r="AU119" s="856" t="str">
        <f>T124</f>
        <v>3-bedroom</v>
      </c>
      <c r="AV119" s="536">
        <f t="array" ref="AV119">SUM(IF(Application!B718:F752="3 Bedrooms",Application!G718:J752))</f>
        <v>18</v>
      </c>
      <c r="AW119" s="1011">
        <f>AV119/AV122</f>
        <v>0.25</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t="str">
        <f>Application!B726</f>
        <v>2 Bedrooms</v>
      </c>
      <c r="AQ120" s="536">
        <f>Application!O726</f>
        <v>594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t="str">
        <f>Application!B727</f>
        <v>2 Bedrooms</v>
      </c>
      <c r="AQ121" s="536">
        <f>Application!O727</f>
        <v>1053</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t="str">
        <f>Application!B728</f>
        <v>2 Bedrooms</v>
      </c>
      <c r="AQ122" s="536">
        <f>Application!O728</f>
        <v>1283</v>
      </c>
      <c r="AV122" s="536">
        <f>SUM(AV116:AV121)</f>
        <v>72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1742</v>
      </c>
    </row>
    <row r="124" spans="1:52" s="536" customFormat="1" ht="12.75" customHeight="1">
      <c r="A124" s="540"/>
      <c r="B124" s="539"/>
      <c r="C124" s="540"/>
      <c r="D124" s="540"/>
      <c r="E124" s="2603" t="s">
        <v>1586</v>
      </c>
      <c r="F124" s="2604"/>
      <c r="G124" s="2604"/>
      <c r="H124" s="2604"/>
      <c r="I124" s="577"/>
      <c r="J124" s="2604" t="s">
        <v>1629</v>
      </c>
      <c r="K124" s="2604"/>
      <c r="L124" s="2604"/>
      <c r="M124" s="2604"/>
      <c r="N124" s="577"/>
      <c r="O124" s="2604" t="s">
        <v>1630</v>
      </c>
      <c r="P124" s="2604"/>
      <c r="Q124" s="2604"/>
      <c r="R124" s="2604"/>
      <c r="S124" s="577"/>
      <c r="T124" s="2604" t="s">
        <v>1332</v>
      </c>
      <c r="U124" s="2604"/>
      <c r="V124" s="2604"/>
      <c r="W124" s="2604"/>
      <c r="X124" s="577"/>
      <c r="Y124" s="2604" t="s">
        <v>1631</v>
      </c>
      <c r="Z124" s="2604"/>
      <c r="AA124" s="2604"/>
      <c r="AB124" s="2604"/>
      <c r="AC124" s="577"/>
      <c r="AD124" s="2604" t="s">
        <v>1632</v>
      </c>
      <c r="AE124" s="2604"/>
      <c r="AF124" s="2604"/>
      <c r="AG124" s="2604"/>
      <c r="AH124" s="577"/>
      <c r="AI124" s="577"/>
      <c r="AJ124" s="579"/>
      <c r="AK124" s="540"/>
      <c r="AL124" s="540"/>
      <c r="AM124" s="540"/>
      <c r="AN124" s="535"/>
      <c r="AO124" s="536" t="str">
        <f>Application!B730</f>
        <v>3 Bedrooms</v>
      </c>
      <c r="AQ124" s="536">
        <f>Application!O730</f>
        <v>652</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1182</v>
      </c>
    </row>
    <row r="126" spans="1:52" s="536" customFormat="1" ht="12.75" customHeight="1">
      <c r="A126" s="540"/>
      <c r="B126" s="539"/>
      <c r="C126" s="540"/>
      <c r="D126" s="540"/>
      <c r="E126" s="866" t="s">
        <v>1633</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1448</v>
      </c>
    </row>
    <row r="127" spans="1:52" s="536" customFormat="1" ht="12.75" customHeight="1">
      <c r="A127" s="540"/>
      <c r="B127" s="539"/>
      <c r="C127" s="540"/>
      <c r="D127" s="540"/>
      <c r="E127" s="2605">
        <v>1558</v>
      </c>
      <c r="F127" s="2606"/>
      <c r="G127" s="2606"/>
      <c r="H127" s="2606"/>
      <c r="I127" s="864"/>
      <c r="J127" s="2606">
        <v>2033</v>
      </c>
      <c r="K127" s="2606"/>
      <c r="L127" s="2606"/>
      <c r="M127" s="2606"/>
      <c r="N127" s="864"/>
      <c r="O127" s="2606">
        <v>2362</v>
      </c>
      <c r="P127" s="2606"/>
      <c r="Q127" s="2606"/>
      <c r="R127" s="2606"/>
      <c r="S127" s="864"/>
      <c r="T127" s="2606">
        <v>2603</v>
      </c>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t="str">
        <f>Application!B733</f>
        <v>3 Bedrooms</v>
      </c>
      <c r="AQ127" s="536">
        <f>Application!O733</f>
        <v>1979</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1842</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661.6</v>
      </c>
      <c r="F130" s="2614"/>
      <c r="G130" s="2614"/>
      <c r="H130" s="2614"/>
      <c r="I130" s="864"/>
      <c r="J130" s="2614">
        <f>Application!EC670</f>
        <v>743.08333333333326</v>
      </c>
      <c r="K130" s="2614"/>
      <c r="L130" s="2614"/>
      <c r="M130" s="2614"/>
      <c r="N130" s="864"/>
      <c r="O130" s="2614">
        <f>Application!EH670</f>
        <v>1350.8888888888889</v>
      </c>
      <c r="P130" s="2614"/>
      <c r="Q130" s="2614"/>
      <c r="R130" s="2614"/>
      <c r="S130" s="868"/>
      <c r="T130" s="2614">
        <f>Application!EM670</f>
        <v>1625</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1843</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f>(E127-E130)/E127</f>
        <v>0.5753530166880616</v>
      </c>
      <c r="F133" s="2409"/>
      <c r="G133" s="2409"/>
      <c r="H133" s="2410"/>
      <c r="I133" s="577"/>
      <c r="J133" s="2408">
        <f>(J127-J130)/J127</f>
        <v>0.63448926053451393</v>
      </c>
      <c r="K133" s="2409"/>
      <c r="L133" s="2409"/>
      <c r="M133" s="2410"/>
      <c r="N133" s="577"/>
      <c r="O133" s="2408">
        <f>(O127-O130)/O127</f>
        <v>0.42807413679555933</v>
      </c>
      <c r="P133" s="2409"/>
      <c r="Q133" s="2409"/>
      <c r="R133" s="2410"/>
      <c r="S133" s="577"/>
      <c r="T133" s="2408">
        <f>(T127-T130)/T127</f>
        <v>0.37572032270457167</v>
      </c>
      <c r="U133" s="2409"/>
      <c r="V133" s="2409"/>
      <c r="W133" s="2410"/>
      <c r="X133" s="577"/>
      <c r="Y133" s="2408" t="e">
        <f>(Y127-Y130)/Y127</f>
        <v>#DIV/0!</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1844</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f>IF(((E133-0.1)*AW116)&gt;0,((E133-0.1)*AW116),0)</f>
        <v>9.9031878476679505E-2</v>
      </c>
      <c r="F136" s="2617"/>
      <c r="G136" s="2617"/>
      <c r="H136" s="2618"/>
      <c r="I136" s="577"/>
      <c r="J136" s="2616">
        <f>IF(((J133-0.1)*AW117)&gt;0,((J133-0.1)*AW117),0)</f>
        <v>8.9081543422418988E-2</v>
      </c>
      <c r="K136" s="2617"/>
      <c r="L136" s="2617"/>
      <c r="M136" s="2618"/>
      <c r="N136" s="577"/>
      <c r="O136" s="2616">
        <f>IF(((O133-0.1)*AW118)&gt;0,((O133-0.1)*AW118),0)</f>
        <v>0.12302780129833474</v>
      </c>
      <c r="P136" s="2617"/>
      <c r="Q136" s="2617"/>
      <c r="R136" s="2618"/>
      <c r="S136" s="577"/>
      <c r="T136" s="2616">
        <f>IF(((T133-0.1)*AW119)&gt;0,((T133-0.1)*AW119),0)</f>
        <v>6.8930080676142924E-2</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0.38</v>
      </c>
      <c r="F138" s="2409"/>
      <c r="G138" s="2409"/>
      <c r="H138" s="2410"/>
      <c r="I138" s="577"/>
      <c r="J138" s="580" t="s">
        <v>1845</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1326</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1333</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1334</v>
      </c>
      <c r="AE146" s="2462" t="s">
        <v>1312</v>
      </c>
      <c r="AF146" s="2462"/>
      <c r="AG146" s="2462"/>
      <c r="AH146" s="2462"/>
      <c r="AI146" s="2462"/>
      <c r="AJ146" s="2462"/>
      <c r="AK146" s="2462"/>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1335</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1336</v>
      </c>
      <c r="AG148" s="2522"/>
      <c r="AH148" s="2522"/>
      <c r="AI148" s="2522"/>
      <c r="AJ148" s="2522"/>
      <c r="AK148" s="2522"/>
      <c r="AL148" s="2522"/>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
        <v>2627</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1337</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1338</v>
      </c>
      <c r="AP152" s="489">
        <v>5</v>
      </c>
    </row>
    <row r="153" spans="1:42" s="536" customFormat="1" ht="12.75" customHeight="1">
      <c r="A153" s="538"/>
      <c r="B153" s="2593" t="s">
        <v>1339</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1339</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2250</v>
      </c>
      <c r="AP154" s="489">
        <v>7</v>
      </c>
    </row>
    <row r="155" spans="1:42" s="536" customFormat="1" ht="12.75" customHeight="1">
      <c r="A155" s="538"/>
      <c r="B155" s="539" t="s">
        <v>1340</v>
      </c>
      <c r="AB155" s="2394" t="s">
        <v>590</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1341</v>
      </c>
      <c r="AP156" s="489"/>
    </row>
    <row r="157" spans="1:42" s="536" customFormat="1" ht="12.75" customHeight="1">
      <c r="A157" s="538"/>
      <c r="B157" s="538" t="s">
        <v>1342</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1343</v>
      </c>
      <c r="AP157" s="489">
        <v>5</v>
      </c>
    </row>
    <row r="158" spans="1:42" s="536" customFormat="1" ht="12.75" customHeight="1">
      <c r="A158" s="538"/>
      <c r="B158" s="2593" t="s">
        <v>1341</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1344</v>
      </c>
      <c r="AP158" s="489">
        <v>7</v>
      </c>
    </row>
    <row r="159" spans="1:42" s="536" customFormat="1" ht="12.75" customHeight="1">
      <c r="B159" s="539" t="s">
        <v>1345</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2473</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2474</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2472</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590</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1347</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1349</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1350</v>
      </c>
      <c r="AG168" s="2522"/>
      <c r="AH168" s="2522"/>
      <c r="AI168" s="2522"/>
      <c r="AJ168" s="2522"/>
      <c r="AK168" s="2522"/>
      <c r="AL168" s="2522"/>
      <c r="AM168" s="603"/>
      <c r="AN168" s="598"/>
    </row>
    <row r="169" spans="1:42" s="550" customFormat="1" ht="12.75" customHeight="1">
      <c r="A169" s="536"/>
      <c r="B169" s="539" t="s">
        <v>1351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1348</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1346</v>
      </c>
      <c r="AP171" s="599">
        <v>2</v>
      </c>
    </row>
    <row r="172" spans="1:42" s="550" customFormat="1" ht="12.75" customHeight="1">
      <c r="A172" s="536"/>
      <c r="B172" s="536"/>
      <c r="C172" s="539" t="s">
        <v>1353</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590</v>
      </c>
      <c r="AG172" s="2394"/>
      <c r="AH172" s="536"/>
      <c r="AI172" s="536"/>
      <c r="AJ172" s="536"/>
      <c r="AK172" s="536"/>
      <c r="AL172" s="536"/>
      <c r="AM172" s="603"/>
      <c r="AN172" s="597"/>
      <c r="AO172" s="476" t="s">
        <v>1348</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593" t="s">
        <v>1341</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1345</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1355</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1341</v>
      </c>
      <c r="AP177" s="476"/>
    </row>
    <row r="178" spans="1:73" s="550" customFormat="1" ht="12.75" customHeight="1">
      <c r="A178" s="536"/>
      <c r="B178" s="536"/>
      <c r="C178" s="2594" t="str">
        <f>Application!AA335</f>
        <v>Buckingham Property Management</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1352</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1354</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1356</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1357</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1358</v>
      </c>
      <c r="AQ185" s="612">
        <v>0</v>
      </c>
    </row>
    <row r="186" spans="1:73" s="550" customFormat="1" ht="12.75" customHeight="1">
      <c r="A186" s="538" t="s">
        <v>1359</v>
      </c>
      <c r="B186" s="538" t="s">
        <v>1725</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1312</v>
      </c>
      <c r="AF186" s="2462"/>
      <c r="AG186" s="2462"/>
      <c r="AH186" s="2462"/>
      <c r="AI186" s="2462"/>
      <c r="AJ186" s="2462"/>
      <c r="AK186" s="2462"/>
      <c r="AL186" s="591"/>
      <c r="AN186" s="597"/>
      <c r="AP186" s="550" t="s">
        <v>1039</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1360</v>
      </c>
      <c r="AQ187" s="550">
        <v>10</v>
      </c>
    </row>
    <row r="188" spans="1:73" s="550" customFormat="1" ht="12.75" customHeight="1">
      <c r="A188" s="536"/>
      <c r="B188" s="2591" t="s">
        <v>1039</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1361</v>
      </c>
      <c r="AG188" s="2522"/>
      <c r="AH188" s="2522"/>
      <c r="AI188" s="2522"/>
      <c r="AJ188" s="2522"/>
      <c r="AK188" s="2522"/>
      <c r="AL188" s="2522"/>
      <c r="AN188" s="597"/>
      <c r="AP188" s="550" t="s">
        <v>1041</v>
      </c>
      <c r="AQ188" s="550">
        <v>10</v>
      </c>
    </row>
    <row r="189" spans="1:73" s="550" customFormat="1" ht="12.75" customHeight="1">
      <c r="A189" s="536"/>
      <c r="B189" s="2393" t="s">
        <v>1724</v>
      </c>
      <c r="C189" s="2393"/>
      <c r="D189" s="2393"/>
      <c r="E189" s="2393"/>
      <c r="F189" s="2393"/>
      <c r="G189" s="2393"/>
      <c r="H189" s="2393"/>
      <c r="I189" s="2393"/>
      <c r="J189" s="2393"/>
      <c r="K189" s="2393"/>
      <c r="L189" s="2393"/>
      <c r="M189" s="2393"/>
      <c r="N189" s="2393"/>
      <c r="O189" s="2393"/>
      <c r="P189" s="2393"/>
      <c r="Q189" s="2393"/>
      <c r="R189" s="2393"/>
      <c r="S189" s="2393"/>
      <c r="T189" s="2592" t="s">
        <v>590</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1362</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1365</v>
      </c>
      <c r="AQ190" s="550">
        <v>10</v>
      </c>
      <c r="AS190" s="550" t="s">
        <v>1363</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1364</v>
      </c>
      <c r="AK191" s="2429">
        <f>IF(AK84&gt;0,VLOOKUP($B$188,AP185:AQ191,2,FALSE),0)</f>
        <v>10</v>
      </c>
      <c r="AL191" s="2430"/>
      <c r="AM191" s="2431"/>
      <c r="AN191" s="535"/>
      <c r="AP191" s="550" t="s">
        <v>1367</v>
      </c>
      <c r="AQ191" s="550">
        <v>10</v>
      </c>
      <c r="AS191" s="550" t="s">
        <v>1366</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1368</v>
      </c>
      <c r="B194" s="538" t="s">
        <v>1369</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1370</v>
      </c>
      <c r="AF194" s="2462"/>
      <c r="AG194" s="2462"/>
      <c r="AH194" s="2462"/>
      <c r="AI194" s="2462"/>
      <c r="AJ194" s="2462"/>
      <c r="AK194" s="246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1587</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1623</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
        <v>2746</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v>3600000</v>
      </c>
      <c r="AE199" s="2575"/>
      <c r="AF199" s="2575"/>
      <c r="AG199" s="2575"/>
      <c r="AH199" s="2575"/>
      <c r="AI199" s="2575"/>
      <c r="AJ199" s="2575"/>
      <c r="AK199" s="610"/>
    </row>
    <row r="200" spans="1:40">
      <c r="A200" s="605"/>
      <c r="B200" s="2585" t="s">
        <v>2744</v>
      </c>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v>580000</v>
      </c>
      <c r="AE200" s="2575"/>
      <c r="AF200" s="2575"/>
      <c r="AG200" s="2575"/>
      <c r="AH200" s="2575"/>
      <c r="AI200" s="2575"/>
      <c r="AJ200" s="2575"/>
      <c r="AK200" s="610"/>
    </row>
    <row r="201" spans="1:40">
      <c r="A201" s="605"/>
      <c r="B201" s="2585" t="s">
        <v>2745</v>
      </c>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v>230551</v>
      </c>
      <c r="AE201" s="2575"/>
      <c r="AF201" s="2575"/>
      <c r="AG201" s="2575"/>
      <c r="AH201" s="2575"/>
      <c r="AI201" s="2575"/>
      <c r="AJ201" s="2575"/>
      <c r="AK201" s="610"/>
    </row>
    <row r="202" spans="1:40">
      <c r="A202" s="605"/>
      <c r="B202" s="2585" t="s">
        <v>2702</v>
      </c>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v>5000000</v>
      </c>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1625</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0</v>
      </c>
      <c r="AE209" s="2573"/>
      <c r="AF209" s="2573"/>
      <c r="AG209" s="2573"/>
      <c r="AH209" s="2573"/>
      <c r="AI209" s="2573"/>
      <c r="AJ209" s="2573"/>
      <c r="AK209" s="610"/>
    </row>
    <row r="210" spans="1:37">
      <c r="A210" s="605"/>
      <c r="B210" s="2447" t="s">
        <v>1588</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897</v>
      </c>
      <c r="AC211" s="536"/>
      <c r="AD211" s="2579">
        <f>SUM(AD199:AJ209)-AD210</f>
        <v>9410551</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1593</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1624</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1595</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1596</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1597</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1598</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1634</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1605</v>
      </c>
      <c r="J222" s="2598"/>
      <c r="K222" s="2598"/>
      <c r="L222" s="536"/>
      <c r="M222" s="536"/>
      <c r="N222" s="536"/>
      <c r="O222" s="536"/>
      <c r="P222" s="536"/>
      <c r="Q222" s="536"/>
      <c r="R222" s="536"/>
      <c r="S222" s="536"/>
      <c r="T222" s="2413" t="s">
        <v>1599</v>
      </c>
      <c r="U222" s="2413"/>
      <c r="V222" s="2413"/>
      <c r="W222" s="2413"/>
      <c r="X222" s="2413"/>
      <c r="Y222" s="2413"/>
      <c r="Z222" s="849"/>
      <c r="AA222" s="489"/>
      <c r="AB222" s="2595" t="s">
        <v>1600</v>
      </c>
      <c r="AC222" s="2595"/>
      <c r="AD222" s="2595"/>
      <c r="AE222" s="2595"/>
      <c r="AF222" s="2595"/>
      <c r="AG222" s="2595"/>
      <c r="AH222" s="827"/>
      <c r="AI222" s="827"/>
      <c r="AJ222" s="827"/>
      <c r="AK222" s="610"/>
    </row>
    <row r="223" spans="1:37">
      <c r="A223" s="605"/>
      <c r="B223" s="2596" t="s">
        <v>1585</v>
      </c>
      <c r="C223" s="2596"/>
      <c r="D223" s="2596"/>
      <c r="E223" s="2596"/>
      <c r="F223" s="2596"/>
      <c r="G223" s="2596"/>
      <c r="I223" s="2597" t="s">
        <v>1606</v>
      </c>
      <c r="J223" s="2597"/>
      <c r="K223" s="2597"/>
      <c r="L223" s="1008"/>
      <c r="N223" s="2448" t="s">
        <v>1601</v>
      </c>
      <c r="O223" s="2448"/>
      <c r="P223" s="2448"/>
      <c r="Q223" s="2448"/>
      <c r="R223" s="2448"/>
      <c r="T223" s="2448" t="s">
        <v>1602</v>
      </c>
      <c r="U223" s="2448"/>
      <c r="V223" s="2448"/>
      <c r="W223" s="2448"/>
      <c r="X223" s="2448"/>
      <c r="Y223" s="2448"/>
      <c r="Z223" s="850"/>
      <c r="AA223" s="489"/>
      <c r="AB223" s="2463" t="s">
        <v>1603</v>
      </c>
      <c r="AC223" s="2463"/>
      <c r="AD223" s="2463"/>
      <c r="AE223" s="2463"/>
      <c r="AF223" s="2463"/>
      <c r="AG223" s="2463"/>
      <c r="AH223" s="827"/>
      <c r="AI223" s="827"/>
      <c r="AJ223" s="827"/>
      <c r="AK223" s="610"/>
    </row>
    <row r="224" spans="1:37">
      <c r="A224" s="605"/>
      <c r="B224" s="2464" t="s">
        <v>1182</v>
      </c>
      <c r="C224" s="2464"/>
      <c r="D224" s="2464"/>
      <c r="E224" s="2464"/>
      <c r="F224" s="2464"/>
      <c r="G224" s="2464"/>
      <c r="H224" s="852"/>
      <c r="I224" s="2417"/>
      <c r="J224" s="2417"/>
      <c r="K224" s="2417"/>
      <c r="L224" s="1008"/>
      <c r="N224" s="2415"/>
      <c r="O224" s="2415"/>
      <c r="P224" s="2415"/>
      <c r="Q224" s="2415"/>
      <c r="R224" s="2415"/>
      <c r="T224" s="2414"/>
      <c r="U224" s="2414"/>
      <c r="V224" s="2414"/>
      <c r="W224" s="2414"/>
      <c r="X224" s="2414"/>
      <c r="Y224" s="2414"/>
      <c r="Z224" s="851"/>
      <c r="AA224" s="851"/>
      <c r="AB224" s="2412">
        <f t="shared" ref="AB224:AB233" si="0">MAX(($T224-$N224)*$I224*12,0)</f>
        <v>0</v>
      </c>
      <c r="AC224" s="2412"/>
      <c r="AD224" s="2412"/>
      <c r="AE224" s="2412"/>
      <c r="AF224" s="2412"/>
      <c r="AG224" s="2412"/>
      <c r="AH224" s="827"/>
      <c r="AI224" s="827"/>
      <c r="AJ224" s="827"/>
      <c r="AK224" s="610"/>
    </row>
    <row r="225" spans="1:37">
      <c r="A225" s="605"/>
      <c r="B225" s="2464" t="s">
        <v>1182</v>
      </c>
      <c r="C225" s="2464"/>
      <c r="D225" s="2464"/>
      <c r="E225" s="2464"/>
      <c r="F225" s="2464"/>
      <c r="G225" s="2464"/>
      <c r="I225" s="2417"/>
      <c r="J225" s="2417"/>
      <c r="K225" s="2417"/>
      <c r="L225" s="1008"/>
      <c r="N225" s="2415"/>
      <c r="O225" s="2415"/>
      <c r="P225" s="2415"/>
      <c r="Q225" s="2415"/>
      <c r="R225" s="2415"/>
      <c r="T225" s="2414"/>
      <c r="U225" s="2414"/>
      <c r="V225" s="2414"/>
      <c r="W225" s="2414"/>
      <c r="X225" s="2414"/>
      <c r="Y225" s="2414"/>
      <c r="Z225" s="851"/>
      <c r="AA225" s="851"/>
      <c r="AB225" s="2412">
        <f t="shared" si="0"/>
        <v>0</v>
      </c>
      <c r="AC225" s="2412"/>
      <c r="AD225" s="2412"/>
      <c r="AE225" s="2412"/>
      <c r="AF225" s="2412"/>
      <c r="AG225" s="2412"/>
      <c r="AH225" s="827"/>
      <c r="AI225" s="827"/>
      <c r="AJ225" s="827"/>
      <c r="AK225" s="610"/>
    </row>
    <row r="226" spans="1:37">
      <c r="A226" s="605"/>
      <c r="B226" s="2464" t="s">
        <v>1182</v>
      </c>
      <c r="C226" s="2464"/>
      <c r="D226" s="2464"/>
      <c r="E226" s="2464"/>
      <c r="F226" s="2464"/>
      <c r="G226" s="2464"/>
      <c r="I226" s="2417"/>
      <c r="J226" s="2417"/>
      <c r="K226" s="2417"/>
      <c r="L226" s="1008"/>
      <c r="N226" s="2415"/>
      <c r="O226" s="2415"/>
      <c r="P226" s="2415"/>
      <c r="Q226" s="2415"/>
      <c r="R226" s="2415"/>
      <c r="T226" s="2414"/>
      <c r="U226" s="2414"/>
      <c r="V226" s="2414"/>
      <c r="W226" s="2414"/>
      <c r="X226" s="2414"/>
      <c r="Y226" s="2414"/>
      <c r="Z226" s="851"/>
      <c r="AA226" s="851"/>
      <c r="AB226" s="2412">
        <f t="shared" si="0"/>
        <v>0</v>
      </c>
      <c r="AC226" s="2412"/>
      <c r="AD226" s="2412"/>
      <c r="AE226" s="2412"/>
      <c r="AF226" s="2412"/>
      <c r="AG226" s="2412"/>
      <c r="AH226" s="827"/>
      <c r="AI226" s="827"/>
      <c r="AJ226" s="827"/>
      <c r="AK226" s="610"/>
    </row>
    <row r="227" spans="1:37">
      <c r="A227" s="605"/>
      <c r="B227" s="2464" t="s">
        <v>1182</v>
      </c>
      <c r="C227" s="2464"/>
      <c r="D227" s="2464"/>
      <c r="E227" s="2464"/>
      <c r="F227" s="2464"/>
      <c r="G227" s="2464"/>
      <c r="I227" s="2417"/>
      <c r="J227" s="2417"/>
      <c r="K227" s="2417"/>
      <c r="L227" s="1008"/>
      <c r="N227" s="2415"/>
      <c r="O227" s="2415"/>
      <c r="P227" s="2415"/>
      <c r="Q227" s="2415"/>
      <c r="R227" s="2415"/>
      <c r="T227" s="2414"/>
      <c r="U227" s="2414"/>
      <c r="V227" s="2414"/>
      <c r="W227" s="2414"/>
      <c r="X227" s="2414"/>
      <c r="Y227" s="2414"/>
      <c r="Z227" s="851"/>
      <c r="AA227" s="851"/>
      <c r="AB227" s="2412">
        <f t="shared" si="0"/>
        <v>0</v>
      </c>
      <c r="AC227" s="2412"/>
      <c r="AD227" s="2412"/>
      <c r="AE227" s="2412"/>
      <c r="AF227" s="2412"/>
      <c r="AG227" s="2412"/>
      <c r="AH227" s="827"/>
      <c r="AI227" s="827"/>
      <c r="AJ227" s="827"/>
      <c r="AK227" s="610"/>
    </row>
    <row r="228" spans="1:37">
      <c r="A228" s="605"/>
      <c r="B228" s="2464" t="s">
        <v>1182</v>
      </c>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t="s">
        <v>1182</v>
      </c>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t="s">
        <v>1182</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1182</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1182</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1182</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1604</v>
      </c>
      <c r="AA234" s="853"/>
      <c r="AB234" s="2412">
        <f>SUM(AB224:AB233)</f>
        <v>0</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1594</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1622</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1620</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1614</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c r="A241" s="605"/>
      <c r="B241" s="837" t="s">
        <v>1619</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1621</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1615</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1616</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1617</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1618</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1607</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0</v>
      </c>
      <c r="AC250" s="2412"/>
      <c r="AD250" s="2412"/>
      <c r="AE250" s="2412"/>
      <c r="AF250" s="2412"/>
      <c r="AG250" s="2412"/>
      <c r="AH250" s="610"/>
      <c r="AI250" s="610"/>
      <c r="AJ250" s="610"/>
      <c r="AK250" s="610"/>
    </row>
    <row r="251" spans="1:37">
      <c r="A251" s="605"/>
      <c r="B251" s="476" t="s">
        <v>836</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1608</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0</v>
      </c>
      <c r="AC252" s="2584"/>
      <c r="AD252" s="2584"/>
      <c r="AE252" s="2584"/>
      <c r="AF252" s="2584"/>
      <c r="AG252" s="2584"/>
      <c r="AH252" s="610"/>
      <c r="AI252" s="610"/>
      <c r="AJ252" s="610"/>
      <c r="AK252" s="610"/>
    </row>
    <row r="253" spans="1:37">
      <c r="A253" s="605"/>
      <c r="B253" s="476" t="s">
        <v>1609</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1610</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0</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1611</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1612</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848</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1613</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0</v>
      </c>
      <c r="AC260" s="2577"/>
      <c r="AD260" s="2577"/>
      <c r="AE260" s="2577"/>
      <c r="AF260" s="2577"/>
      <c r="AG260" s="257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1589</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1592</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1591</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1590</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1371</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9410551</v>
      </c>
      <c r="AH268" s="2426"/>
      <c r="AI268" s="2426"/>
      <c r="AJ268" s="2426"/>
      <c r="AK268" s="2426"/>
    </row>
    <row r="269" spans="1:37">
      <c r="A269" s="622"/>
      <c r="B269" s="625" t="s">
        <v>1372</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56420274</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0.33</v>
      </c>
      <c r="AH270" s="2572"/>
      <c r="AI270" s="2572"/>
      <c r="AJ270" s="2572"/>
      <c r="AK270" s="2572"/>
    </row>
    <row r="271" spans="1:37">
      <c r="A271" s="622"/>
      <c r="B271" s="978" t="s">
        <v>1739</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1373</v>
      </c>
      <c r="AK273" s="2561">
        <f>IFERROR(IF(AG270=0,0,IF((AG270*100)&gt;8,8,(AG270*100))),0)</f>
        <v>8</v>
      </c>
      <c r="AL273" s="2561"/>
      <c r="AM273" s="2562"/>
    </row>
    <row r="274" spans="1:52" ht="13.7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1374</v>
      </c>
      <c r="B276" s="538" t="s">
        <v>1375</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1312</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3" t="s">
        <v>544</v>
      </c>
      <c r="D278" s="2443"/>
      <c r="E278" s="547"/>
      <c r="F278" s="2395" t="s">
        <v>2022</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1361</v>
      </c>
      <c r="AH278" s="2570"/>
      <c r="AI278" s="2570"/>
      <c r="AJ278" s="2570"/>
      <c r="AK278" s="550"/>
      <c r="AL278" s="550"/>
      <c r="AM278" s="550"/>
      <c r="AO278" s="550"/>
    </row>
    <row r="279" spans="1:52" ht="13.75"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75"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1377</v>
      </c>
      <c r="AK285" s="2561">
        <f>IF($C$278="yes",10,0)</f>
        <v>10</v>
      </c>
      <c r="AL285" s="2561"/>
      <c r="AM285" s="2562"/>
      <c r="AN285" s="73"/>
    </row>
    <row r="286" spans="1:52" ht="13.75" thickBot="1"/>
    <row r="287" spans="1:52" ht="13.7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1378</v>
      </c>
      <c r="B288" s="538" t="s">
        <v>1851</v>
      </c>
      <c r="AH288" s="591" t="s">
        <v>1312</v>
      </c>
    </row>
    <row r="289" spans="1:49" ht="15" customHeight="1">
      <c r="B289" s="539"/>
    </row>
    <row r="290" spans="1:49" ht="15" customHeight="1">
      <c r="B290" s="539" t="s">
        <v>1726</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9" t="s">
        <v>1380</v>
      </c>
      <c r="B292" s="1639"/>
      <c r="C292" s="2394" t="s">
        <v>544</v>
      </c>
      <c r="D292" s="2443"/>
      <c r="E292" s="547"/>
      <c r="F292" s="2563" t="s">
        <v>1381</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2015</v>
      </c>
      <c r="AH292" s="2566"/>
      <c r="AI292" s="2566"/>
      <c r="AJ292" s="2566"/>
      <c r="AK292" s="2566"/>
      <c r="AL292" s="550"/>
      <c r="AM292" s="550"/>
      <c r="AN292" s="73"/>
      <c r="AO292" s="14"/>
      <c r="AP292" s="30"/>
      <c r="AS292" s="570"/>
      <c r="AT292" s="570"/>
      <c r="AU292" s="570"/>
      <c r="AV292" s="32"/>
      <c r="AW292" s="32"/>
    </row>
    <row r="293" spans="1:49">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1" t="s">
        <v>2023</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10</v>
      </c>
      <c r="AQ295" s="574" t="s">
        <v>1314</v>
      </c>
      <c r="AS295" s="570"/>
      <c r="AT295" s="570"/>
      <c r="AU295" s="570"/>
      <c r="AV295" s="32"/>
      <c r="AW295" s="32"/>
    </row>
    <row r="296" spans="1:49">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1382</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1383</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9" t="s">
        <v>1384</v>
      </c>
      <c r="B302" s="1639"/>
      <c r="C302" s="2443" t="s">
        <v>590</v>
      </c>
      <c r="D302" s="2443"/>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1386</v>
      </c>
      <c r="AH302" s="551"/>
      <c r="AI302" s="551"/>
      <c r="AJ302" s="550"/>
      <c r="AK302" s="550"/>
      <c r="AL302" s="550"/>
      <c r="AM302" s="550"/>
      <c r="AN302" s="647"/>
      <c r="AO302" s="14"/>
    </row>
    <row r="303" spans="1:49">
      <c r="A303" s="550"/>
      <c r="B303" s="551"/>
      <c r="C303" s="550"/>
      <c r="D303" s="551"/>
      <c r="E303" s="550"/>
      <c r="F303" s="2545" t="s">
        <v>2017</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9" t="s">
        <v>1387</v>
      </c>
      <c r="B310" s="1639"/>
      <c r="C310" s="2443" t="s">
        <v>590</v>
      </c>
      <c r="D310" s="2443"/>
      <c r="E310" s="547"/>
      <c r="F310" s="644" t="s">
        <v>1385</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1386</v>
      </c>
      <c r="AH310" s="551"/>
      <c r="AI310" s="551"/>
      <c r="AJ310" s="550"/>
      <c r="AK310" s="550"/>
      <c r="AL310" s="550"/>
      <c r="AM310" s="550"/>
      <c r="AN310" s="73"/>
      <c r="AO310" s="14"/>
    </row>
    <row r="311" spans="1:44" hidden="1">
      <c r="A311" s="89"/>
      <c r="B311" s="89"/>
      <c r="C311" s="730"/>
      <c r="D311" s="730"/>
      <c r="E311" s="547"/>
      <c r="F311" s="2421" t="s">
        <v>2024</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1182</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1728</v>
      </c>
    </row>
    <row r="313" spans="1:44" hidden="1">
      <c r="A313" s="550"/>
      <c r="B313" s="551"/>
      <c r="C313" s="730"/>
      <c r="D313" s="730"/>
      <c r="E313" s="547"/>
      <c r="F313" s="652" t="s">
        <v>1388</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1730</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1182</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1729</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1182</v>
      </c>
    </row>
    <row r="324" spans="1:42" ht="12.75" hidden="1" customHeight="1">
      <c r="A324" s="550"/>
      <c r="B324" s="551"/>
      <c r="C324" s="730"/>
      <c r="D324" s="730"/>
      <c r="E324" s="547"/>
      <c r="F324" s="656"/>
      <c r="G324" s="575" t="s">
        <v>685</v>
      </c>
      <c r="H324" s="575"/>
      <c r="I324" s="2554" t="s">
        <v>1182</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1635</v>
      </c>
    </row>
    <row r="325" spans="1:42"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1731</v>
      </c>
    </row>
    <row r="326" spans="1:42"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1733</v>
      </c>
    </row>
    <row r="327" spans="1:42"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1732</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54" t="s">
        <v>1182</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1182</v>
      </c>
    </row>
    <row r="331" spans="1:42"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1389</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1636</v>
      </c>
    </row>
    <row r="333" spans="1:42" ht="12.75" hidden="1" customHeight="1">
      <c r="A333" s="1639" t="s">
        <v>1390</v>
      </c>
      <c r="B333" s="1639"/>
      <c r="C333" s="2443" t="s">
        <v>590</v>
      </c>
      <c r="D333" s="2443"/>
      <c r="E333" s="547"/>
      <c r="F333" s="2542" t="s">
        <v>2025</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1386</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1391</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1450</v>
      </c>
      <c r="AK338" s="2429">
        <f>IF(NOT(OR(Application!M355="Yes",Application!M356="Yes")),0,AP295)</f>
        <v>10</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1451</v>
      </c>
      <c r="B341" s="539" t="s">
        <v>843</v>
      </c>
      <c r="C341" s="536"/>
      <c r="AC341" s="539"/>
      <c r="AE341" s="2462" t="s">
        <v>1312</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1452</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4"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2090</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2205</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1453</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15"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1.9"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0</v>
      </c>
      <c r="AS357" s="539" t="s">
        <v>1454</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7</v>
      </c>
      <c r="AS359" s="539" t="s">
        <v>1455</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0</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580</v>
      </c>
      <c r="AP361" s="696">
        <f>IF(C407="Yes",5,0)</f>
        <v>0</v>
      </c>
      <c r="AS361" s="539" t="s">
        <v>1876</v>
      </c>
    </row>
    <row r="362" spans="1:46" s="550" customFormat="1" ht="12.75" customHeight="1">
      <c r="A362" s="603"/>
      <c r="B362" s="611"/>
      <c r="C362" s="2532" t="s">
        <v>2229</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3</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761</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583</v>
      </c>
      <c r="AP364" s="696">
        <f>IF(C421="Yes",5,0)</f>
        <v>0</v>
      </c>
    </row>
    <row r="365" spans="1:46" s="550" customFormat="1" ht="11.9"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4"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10</v>
      </c>
      <c r="AQ366" s="2441">
        <f>IF(AP366&gt;0,AP366,0)</f>
        <v>10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438" t="s">
        <v>1456</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455</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460</v>
      </c>
      <c r="AP370" s="696">
        <f>IF(C449="Yes",5,0)</f>
        <v>0</v>
      </c>
    </row>
    <row r="371" spans="1:81" s="550" customFormat="1" ht="68.150000000000006"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644</v>
      </c>
      <c r="AP371" s="701">
        <f>IF(C453="Yes",5,0)</f>
        <v>0</v>
      </c>
    </row>
    <row r="372" spans="1:81" s="550" customFormat="1" ht="12.4" customHeight="1">
      <c r="A372" s="603"/>
      <c r="B372" s="611"/>
      <c r="C372" s="550" t="s">
        <v>1457</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439">
        <f>Application!DU802-U374</f>
        <v>135</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0</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1">
        <f>IF(AP375&gt;0,AP375,0)</f>
        <v>0</v>
      </c>
      <c r="AR375" s="2441"/>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1313</v>
      </c>
      <c r="F377" s="2432" t="s">
        <v>1458</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590</v>
      </c>
      <c r="D381" s="2443"/>
      <c r="E381" s="719"/>
      <c r="F381" s="721" t="s">
        <v>1459</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1460</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1315</v>
      </c>
      <c r="F384" s="2432" t="s">
        <v>1461</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590</v>
      </c>
      <c r="D389" s="2443"/>
      <c r="E389" s="691"/>
      <c r="F389" s="721" t="s">
        <v>1462</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1460</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1318</v>
      </c>
      <c r="F392" s="2432" t="s">
        <v>1463</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544</v>
      </c>
      <c r="D397" s="2443"/>
      <c r="E397" s="691"/>
      <c r="F397" s="721" t="s">
        <v>1464</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1465</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590</v>
      </c>
      <c r="D399" s="2443"/>
      <c r="E399" s="691"/>
      <c r="F399" s="738" t="s">
        <v>1466</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1460</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1467</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1468</v>
      </c>
      <c r="F403" s="2432" t="s">
        <v>1469</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590</v>
      </c>
      <c r="D407" s="2443"/>
      <c r="E407" s="691"/>
      <c r="F407" s="721" t="s">
        <v>1470</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1460</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544</v>
      </c>
      <c r="D409" s="2443"/>
      <c r="E409" s="719"/>
      <c r="F409" s="721" t="s">
        <v>1471</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1472</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590</v>
      </c>
      <c r="D412" s="2443"/>
      <c r="E412" s="715" t="s">
        <v>1473</v>
      </c>
      <c r="F412" s="2432" t="s">
        <v>1474</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1460</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1475</v>
      </c>
      <c r="F417" s="2432" t="s">
        <v>1476</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590</v>
      </c>
      <c r="D421" s="2443"/>
      <c r="E421" s="691"/>
      <c r="F421" s="721" t="s">
        <v>1477</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1460</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590</v>
      </c>
      <c r="D423" s="2443"/>
      <c r="E423" s="719"/>
      <c r="F423" s="721" t="s">
        <v>1478</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1472</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1479</v>
      </c>
      <c r="F427" s="2432" t="s">
        <v>1480</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4"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590</v>
      </c>
      <c r="D430" s="2443"/>
      <c r="E430" s="691"/>
      <c r="F430" s="721" t="s">
        <v>1481</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1460</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1482</v>
      </c>
      <c r="F433" s="2432" t="s">
        <v>1483</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590</v>
      </c>
      <c r="D442" s="2443"/>
      <c r="E442" s="719"/>
      <c r="F442" s="596" t="s">
        <v>1484</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1460</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1485</v>
      </c>
      <c r="F445" s="2432" t="s">
        <v>1486</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590</v>
      </c>
      <c r="D449" s="2443"/>
      <c r="E449" s="719"/>
      <c r="F449" s="721" t="s">
        <v>1490</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1460</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1467</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590</v>
      </c>
      <c r="D453" s="2559"/>
      <c r="E453" s="715" t="s">
        <v>1495</v>
      </c>
      <c r="F453" s="2432" t="s">
        <v>1496</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1460</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649999999999999"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590</v>
      </c>
      <c r="D457" s="2443"/>
      <c r="E457" s="715" t="s">
        <v>1501</v>
      </c>
      <c r="F457" s="2432" t="s">
        <v>1502</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1460</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1504</v>
      </c>
      <c r="F462" s="2432" t="s">
        <v>1505</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590</v>
      </c>
      <c r="D466" s="2443"/>
      <c r="E466" s="719"/>
      <c r="F466" s="721" t="s">
        <v>1477</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1460</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1506</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1507</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1508</v>
      </c>
      <c r="C472" s="539"/>
      <c r="E472" s="596"/>
      <c r="AE472" s="2444" t="s">
        <v>1509</v>
      </c>
      <c r="AF472" s="2444"/>
      <c r="AG472" s="2444"/>
      <c r="AH472" s="2444"/>
      <c r="AI472" s="2444"/>
      <c r="AJ472" s="2444"/>
      <c r="AK472" s="2444"/>
      <c r="AL472" s="591"/>
      <c r="AN472" s="597"/>
      <c r="AO472" s="550" t="s">
        <v>1487</v>
      </c>
      <c r="AP472" s="550">
        <v>5</v>
      </c>
      <c r="AT472" s="550" t="s">
        <v>1487</v>
      </c>
      <c r="AU472" s="550">
        <v>5</v>
      </c>
      <c r="AV472" s="752"/>
    </row>
    <row r="473" spans="1:58" s="550" customFormat="1" ht="12.75" hidden="1" customHeight="1">
      <c r="A473" s="539"/>
      <c r="B473" s="536" t="s">
        <v>1510</v>
      </c>
      <c r="C473" s="539"/>
      <c r="E473" s="596"/>
      <c r="AE473" s="591"/>
      <c r="AF473" s="591"/>
      <c r="AG473" s="591"/>
      <c r="AH473" s="591"/>
      <c r="AI473" s="591"/>
      <c r="AJ473" s="591"/>
      <c r="AK473" s="591"/>
      <c r="AL473" s="591"/>
      <c r="AN473" s="597"/>
      <c r="AO473" s="550" t="s">
        <v>1511</v>
      </c>
      <c r="AP473" s="550">
        <v>5</v>
      </c>
      <c r="AT473" s="550" t="s">
        <v>1488</v>
      </c>
      <c r="AU473" s="550">
        <v>5</v>
      </c>
      <c r="AV473" s="752"/>
    </row>
    <row r="474" spans="1:58" s="550" customFormat="1" ht="12.75" hidden="1" customHeight="1">
      <c r="A474" s="539"/>
      <c r="B474" s="539" t="s">
        <v>1512</v>
      </c>
      <c r="C474" s="539"/>
      <c r="E474" s="596"/>
      <c r="AE474" s="591"/>
      <c r="AF474" s="591"/>
      <c r="AG474" s="591"/>
      <c r="AH474" s="591"/>
      <c r="AI474" s="591"/>
      <c r="AJ474" s="591"/>
      <c r="AK474" s="591"/>
      <c r="AL474" s="591"/>
      <c r="AN474" s="597"/>
      <c r="AO474" s="550" t="s">
        <v>1489</v>
      </c>
      <c r="AP474" s="550">
        <v>5</v>
      </c>
      <c r="AQ474" s="539"/>
      <c r="AR474" s="539"/>
      <c r="AS474" s="755"/>
      <c r="AT474" s="550" t="s">
        <v>1489</v>
      </c>
      <c r="AU474" s="550">
        <v>5</v>
      </c>
      <c r="AV474" s="536"/>
    </row>
    <row r="475" spans="1:58" s="550" customFormat="1" ht="12.75" hidden="1" customHeight="1">
      <c r="A475" s="539"/>
      <c r="B475" s="539" t="s">
        <v>1513</v>
      </c>
      <c r="C475" s="539"/>
      <c r="E475" s="596"/>
      <c r="AE475" s="591"/>
      <c r="AF475" s="591"/>
      <c r="AG475" s="591"/>
      <c r="AH475" s="591"/>
      <c r="AI475" s="591"/>
      <c r="AJ475" s="591"/>
      <c r="AK475" s="591"/>
      <c r="AL475" s="591"/>
      <c r="AN475" s="597"/>
      <c r="AO475" s="550" t="s">
        <v>1491</v>
      </c>
      <c r="AP475" s="550">
        <v>5</v>
      </c>
      <c r="AQ475" s="539"/>
      <c r="AR475" s="539"/>
      <c r="AT475" s="550" t="s">
        <v>1491</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1492</v>
      </c>
      <c r="AP476" s="550">
        <v>5</v>
      </c>
      <c r="AQ476" s="539"/>
      <c r="AR476" s="539"/>
      <c r="AT476" s="550" t="s">
        <v>1492</v>
      </c>
      <c r="AU476" s="550">
        <v>5</v>
      </c>
    </row>
    <row r="477" spans="1:58" s="550" customFormat="1" ht="12.75" hidden="1" customHeight="1">
      <c r="A477" s="539"/>
      <c r="C477" s="712" t="s">
        <v>1514</v>
      </c>
      <c r="D477" s="570"/>
      <c r="AE477" s="591"/>
      <c r="AF477" s="591"/>
      <c r="AG477" s="596"/>
      <c r="AH477" s="596"/>
      <c r="AI477" s="596"/>
      <c r="AJ477" s="596"/>
      <c r="AK477" s="596"/>
      <c r="AL477" s="596"/>
      <c r="AN477" s="597"/>
      <c r="AO477" s="550" t="s">
        <v>1493</v>
      </c>
      <c r="AP477" s="550">
        <v>5</v>
      </c>
      <c r="AT477" s="550" t="s">
        <v>1493</v>
      </c>
      <c r="AU477" s="550">
        <v>5</v>
      </c>
    </row>
    <row r="478" spans="1:58" s="550" customFormat="1" ht="12.75" hidden="1" customHeight="1">
      <c r="A478" s="539"/>
      <c r="C478" s="2451" t="s">
        <v>590</v>
      </c>
      <c r="D478" s="2452"/>
      <c r="E478" s="761" t="s">
        <v>506</v>
      </c>
      <c r="F478" s="2529" t="s">
        <v>1515</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1516</v>
      </c>
      <c r="AP478" s="550">
        <v>5</v>
      </c>
      <c r="AS478" s="758"/>
      <c r="AT478" s="550" t="s">
        <v>1494</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1497</v>
      </c>
      <c r="AP479" s="550">
        <v>1</v>
      </c>
      <c r="AT479" s="550" t="s">
        <v>1497</v>
      </c>
      <c r="AU479" s="550">
        <v>1</v>
      </c>
    </row>
    <row r="480" spans="1:58" s="550" customFormat="1" ht="12.75" hidden="1" customHeight="1">
      <c r="C480" s="764"/>
      <c r="D480" s="727"/>
      <c r="E480" s="765"/>
      <c r="F480" s="2457" t="s">
        <v>590</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1326</v>
      </c>
      <c r="AI480" s="767"/>
      <c r="AJ480" s="767"/>
      <c r="AK480" s="742"/>
      <c r="AN480" s="597"/>
      <c r="AS480" s="755"/>
      <c r="AX480" s="755"/>
      <c r="BB480" s="755" t="s">
        <v>1498</v>
      </c>
      <c r="BF480" s="755" t="s">
        <v>1499</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58" t="s">
        <v>544</v>
      </c>
      <c r="D482" s="2459"/>
      <c r="E482" s="761" t="s">
        <v>755</v>
      </c>
      <c r="F482" s="769" t="s">
        <v>1517</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1500</v>
      </c>
      <c r="AX482" s="637">
        <v>3</v>
      </c>
      <c r="AY482" s="593"/>
      <c r="BB482" s="758">
        <v>0.4</v>
      </c>
      <c r="BC482" s="593">
        <v>3</v>
      </c>
      <c r="BF482" s="758">
        <v>0.4</v>
      </c>
      <c r="BG482" s="593">
        <v>4</v>
      </c>
    </row>
    <row r="483" spans="1:81" s="550" customFormat="1" ht="12.75" hidden="1" customHeight="1">
      <c r="C483" s="770" t="s">
        <v>1518</v>
      </c>
      <c r="F483" s="771" t="s">
        <v>1519</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1503</v>
      </c>
      <c r="AX483" s="637">
        <v>5</v>
      </c>
      <c r="AY483" s="593"/>
      <c r="BB483" s="758">
        <v>0.6</v>
      </c>
      <c r="BC483" s="593">
        <v>4</v>
      </c>
      <c r="BF483" s="758">
        <v>0.6</v>
      </c>
      <c r="BG483" s="593">
        <v>5</v>
      </c>
    </row>
    <row r="484" spans="1:81" s="550" customFormat="1" ht="12.75" hidden="1" customHeight="1">
      <c r="C484" s="751"/>
      <c r="D484" s="730"/>
      <c r="E484" s="772"/>
      <c r="F484" s="771" t="s">
        <v>1520</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1521</v>
      </c>
      <c r="G485" s="550"/>
      <c r="H485" s="550"/>
      <c r="I485" s="771"/>
      <c r="J485" s="771"/>
      <c r="K485" s="771"/>
      <c r="L485" s="771"/>
      <c r="M485" s="771"/>
      <c r="N485" s="771"/>
      <c r="O485" s="771"/>
      <c r="P485" s="771"/>
      <c r="Q485" s="771"/>
      <c r="R485" s="771"/>
      <c r="S485" s="771"/>
      <c r="T485" s="771"/>
      <c r="U485" s="771"/>
      <c r="V485" s="2437" t="s">
        <v>590</v>
      </c>
      <c r="W485" s="2437"/>
      <c r="X485" s="2437"/>
      <c r="Y485" s="771"/>
      <c r="Z485" s="771"/>
      <c r="AA485" s="771"/>
      <c r="AB485" s="771"/>
      <c r="AC485" s="771"/>
      <c r="AD485" s="609"/>
      <c r="AE485" s="609"/>
      <c r="AF485" s="609"/>
      <c r="AG485" s="613">
        <f>IF(AND($C$482="Yes",$V$487="N/A",$V$492="N/A",$V$496="N/A",$V$498="N/A"),(VLOOKUP(V485,$AW$481:$AX$483,2,FALSE)),0)</f>
        <v>0</v>
      </c>
      <c r="AH485" s="640" t="s">
        <v>1326</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1522</v>
      </c>
      <c r="G487" s="550"/>
      <c r="H487" s="550"/>
      <c r="I487" s="771"/>
      <c r="J487" s="771"/>
      <c r="K487" s="771"/>
      <c r="L487" s="771"/>
      <c r="M487" s="771"/>
      <c r="N487" s="771"/>
      <c r="O487" s="771"/>
      <c r="P487" s="771"/>
      <c r="Q487" s="771"/>
      <c r="R487" s="771"/>
      <c r="S487" s="771"/>
      <c r="T487" s="771"/>
      <c r="U487" s="771"/>
      <c r="V487" s="2437" t="s">
        <v>590</v>
      </c>
      <c r="W487" s="2437"/>
      <c r="X487" s="2437"/>
      <c r="Y487" s="771"/>
      <c r="Z487" s="771"/>
      <c r="AA487" s="771"/>
      <c r="AB487" s="771"/>
      <c r="AC487" s="771"/>
      <c r="AD487" s="609"/>
      <c r="AE487" s="609"/>
      <c r="AF487" s="609"/>
      <c r="AG487" s="613">
        <f>IF(AND($C$482="Yes",$V$485="N/A", $V$492="N/A",$V$496="N/A",$V$498="N/A"),(VLOOKUP(V487,$AT$481:$AU$483,2,FALSE)),0)</f>
        <v>0</v>
      </c>
      <c r="AH487" s="640" t="s">
        <v>1326</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1523</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1524</v>
      </c>
      <c r="AP489" s="637">
        <v>2</v>
      </c>
    </row>
    <row r="490" spans="1:81" s="550" customFormat="1" ht="12.75" hidden="1" customHeight="1">
      <c r="C490" s="762"/>
      <c r="F490" s="609" t="s">
        <v>1525</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1526</v>
      </c>
      <c r="AP490" s="550">
        <v>2</v>
      </c>
    </row>
    <row r="491" spans="1:81" s="596" customFormat="1" ht="12.75" hidden="1" customHeight="1">
      <c r="A491" s="550"/>
      <c r="B491" s="550"/>
      <c r="C491" s="739"/>
      <c r="D491" s="570"/>
      <c r="E491" s="570"/>
      <c r="F491" s="609" t="s">
        <v>1527</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1528</v>
      </c>
      <c r="AP491" s="550">
        <v>2</v>
      </c>
    </row>
    <row r="492" spans="1:81" s="550" customFormat="1" ht="12.75" hidden="1" customHeight="1">
      <c r="C492" s="777"/>
      <c r="F492" s="775" t="s">
        <v>1529</v>
      </c>
      <c r="M492" s="763"/>
      <c r="N492" s="763"/>
      <c r="O492" s="763"/>
      <c r="P492" s="763"/>
      <c r="Q492" s="551"/>
      <c r="R492" s="551"/>
      <c r="S492" s="551"/>
      <c r="T492" s="551"/>
      <c r="U492" s="551"/>
      <c r="V492" s="2437" t="s">
        <v>590</v>
      </c>
      <c r="W492" s="2437"/>
      <c r="X492" s="2437"/>
      <c r="Y492" s="551"/>
      <c r="Z492" s="551"/>
      <c r="AA492" s="551"/>
      <c r="AB492" s="551"/>
      <c r="AC492" s="551"/>
      <c r="AG492" s="613">
        <f>IF(AND($C$482="Yes",$V$485="N/A",$V$487="N/A", $V$496="N/A",$V$498="N/A"),(VLOOKUP($V$492,$AT$485:$AU$487,2,FALSE)),0)</f>
        <v>0</v>
      </c>
      <c r="AH492" s="640" t="s">
        <v>1326</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1530</v>
      </c>
      <c r="D494" s="714"/>
      <c r="E494" s="714"/>
      <c r="F494" s="780" t="s">
        <v>1531</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56"/>
      <c r="E495" s="2456"/>
      <c r="F495" s="771" t="s">
        <v>1532</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1533</v>
      </c>
      <c r="AP495" s="637">
        <v>5</v>
      </c>
      <c r="AQ495" s="539"/>
    </row>
    <row r="496" spans="1:81" s="570" customFormat="1" ht="12.75" hidden="1" customHeight="1">
      <c r="A496" s="679"/>
      <c r="B496" s="550"/>
      <c r="C496" s="762"/>
      <c r="D496" s="550"/>
      <c r="E496" s="550"/>
      <c r="F496" s="782" t="s">
        <v>1521</v>
      </c>
      <c r="G496" s="550"/>
      <c r="H496" s="550"/>
      <c r="I496" s="550"/>
      <c r="J496" s="550"/>
      <c r="K496" s="550"/>
      <c r="L496" s="550"/>
      <c r="M496" s="550"/>
      <c r="N496" s="550"/>
      <c r="O496" s="550"/>
      <c r="P496" s="550"/>
      <c r="Q496" s="550"/>
      <c r="R496" s="550"/>
      <c r="S496" s="550"/>
      <c r="T496" s="550"/>
      <c r="U496" s="550"/>
      <c r="V496" s="2437" t="s">
        <v>590</v>
      </c>
      <c r="W496" s="2437"/>
      <c r="X496" s="2437"/>
      <c r="Y496" s="550"/>
      <c r="Z496" s="550"/>
      <c r="AA496" s="550"/>
      <c r="AB496" s="550"/>
      <c r="AC496" s="550"/>
      <c r="AD496" s="550"/>
      <c r="AE496" s="550"/>
      <c r="AF496" s="550"/>
      <c r="AG496" s="613">
        <f>IF(AND($C$482="Yes",$V$485="N/A",V487="N/A",$V$492="N/A",$V$498="N/A"),(VLOOKUP($V$496,$BB$481:$BC$484,2,FALSE)),0)</f>
        <v>0</v>
      </c>
      <c r="AH496" s="640" t="s">
        <v>1326</v>
      </c>
      <c r="AI496" s="551"/>
      <c r="AJ496" s="550"/>
      <c r="AK496" s="732"/>
      <c r="AL496" s="550"/>
      <c r="AM496" s="550"/>
      <c r="AN496" s="684"/>
      <c r="AO496" s="550" t="s">
        <v>1534</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1535</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1522</v>
      </c>
      <c r="G498" s="766"/>
      <c r="H498" s="766"/>
      <c r="I498" s="727"/>
      <c r="J498" s="727"/>
      <c r="K498" s="727"/>
      <c r="L498" s="727"/>
      <c r="M498" s="727"/>
      <c r="N498" s="727"/>
      <c r="O498" s="727"/>
      <c r="P498" s="727"/>
      <c r="Q498" s="727"/>
      <c r="R498" s="727"/>
      <c r="S498" s="727"/>
      <c r="T498" s="727"/>
      <c r="U498" s="727"/>
      <c r="V498" s="2437" t="s">
        <v>590</v>
      </c>
      <c r="W498" s="2437"/>
      <c r="X498" s="2437"/>
      <c r="Y498" s="727"/>
      <c r="Z498" s="727"/>
      <c r="AA498" s="727"/>
      <c r="AB498" s="727"/>
      <c r="AC498" s="727"/>
      <c r="AD498" s="727"/>
      <c r="AE498" s="727"/>
      <c r="AF498" s="727"/>
      <c r="AG498" s="783">
        <f>IF(AND($C$482="Yes",$V$485="N/A",$V$487="N/A",$V$492="N/A",$V$496="N/A"),(VLOOKUP($V$498,$BF$481:$BG$483,2,FALSE)),0)</f>
        <v>0</v>
      </c>
      <c r="AH498" s="768" t="s">
        <v>1326</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1536</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590</v>
      </c>
      <c r="D501" s="2452"/>
      <c r="E501" s="761" t="s">
        <v>506</v>
      </c>
      <c r="F501" s="2529" t="s">
        <v>1515</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590</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1326</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590</v>
      </c>
      <c r="D505" s="2452"/>
      <c r="E505" s="761" t="s">
        <v>755</v>
      </c>
      <c r="F505" s="2453" t="s">
        <v>1537</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1538</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5" t="s">
        <v>590</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1326</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1" t="s">
        <v>590</v>
      </c>
      <c r="D510" s="2452"/>
      <c r="E510" s="761" t="s">
        <v>1539</v>
      </c>
      <c r="F510" s="780" t="s">
        <v>1540</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1"/>
      <c r="D512" s="2456"/>
      <c r="E512" s="772"/>
      <c r="F512" s="551" t="s">
        <v>1541</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1326</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590</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590</v>
      </c>
      <c r="D515" s="2524"/>
      <c r="F515" s="551" t="s">
        <v>1542</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1326</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1543</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1544</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590</v>
      </c>
      <c r="D519" s="2524"/>
      <c r="F519" s="795" t="s">
        <v>1545</v>
      </c>
      <c r="G519" s="2433" t="s">
        <v>1546</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1326</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1547</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590</v>
      </c>
      <c r="D523" s="2526"/>
      <c r="E523" s="802" t="s">
        <v>1548</v>
      </c>
      <c r="F523" s="771" t="s">
        <v>1549</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1326</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590</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1550</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1551</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1552</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1553</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1554</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1555</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75" thickTop="1"/>
    <row r="538" spans="1:81" s="550" customFormat="1" ht="12.75" customHeight="1">
      <c r="A538" s="539" t="s">
        <v>1556</v>
      </c>
      <c r="B538" s="539" t="s">
        <v>1557</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1558</v>
      </c>
      <c r="AF538" s="2462"/>
      <c r="AG538" s="2462"/>
      <c r="AH538" s="2462"/>
      <c r="AI538" s="2462"/>
      <c r="AJ538" s="2462"/>
      <c r="AK538" s="2462"/>
      <c r="AL538" s="595"/>
      <c r="AM538" s="595"/>
      <c r="AN538" s="597"/>
    </row>
    <row r="539" spans="1:81" s="550" customFormat="1" ht="12.75" customHeight="1">
      <c r="A539" s="539"/>
      <c r="B539" s="539" t="s">
        <v>1322</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590</v>
      </c>
      <c r="D541" s="2443"/>
      <c r="E541" s="551"/>
      <c r="F541" s="2465" t="s">
        <v>1559</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544</v>
      </c>
      <c r="D544" s="2443"/>
      <c r="E544" s="806"/>
      <c r="F544" s="644" t="s">
        <v>1560</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1561</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1562</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34650450</v>
      </c>
      <c r="AQ550" s="2420"/>
      <c r="AR550" s="2420"/>
      <c r="AS550" s="550" t="s">
        <v>2167</v>
      </c>
    </row>
    <row r="551" spans="1:49" s="550" customFormat="1" ht="12.75" customHeight="1">
      <c r="A551" s="498"/>
      <c r="B551" s="447" t="s">
        <v>1563</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55155523</v>
      </c>
      <c r="AG551" s="2426"/>
      <c r="AH551" s="2426"/>
      <c r="AI551" s="2426"/>
      <c r="AJ551" s="2426"/>
      <c r="AK551" s="595"/>
      <c r="AL551" s="595"/>
      <c r="AM551" s="595"/>
      <c r="AN551" s="597"/>
    </row>
    <row r="552" spans="1:49" s="550" customFormat="1" ht="12.75" customHeight="1">
      <c r="A552" s="625"/>
      <c r="B552" s="625" t="s">
        <v>1564</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76966414.5</v>
      </c>
      <c r="AG552" s="2427"/>
      <c r="AH552" s="2427"/>
      <c r="AI552" s="2427"/>
      <c r="AJ552" s="2427"/>
      <c r="AK552" s="595"/>
      <c r="AL552" s="595"/>
      <c r="AM552" s="595"/>
      <c r="AN552" s="597"/>
      <c r="AP552" s="2420">
        <f>Application!AJ1045</f>
        <v>3118540.5</v>
      </c>
      <c r="AQ552" s="2420"/>
      <c r="AR552" s="2420"/>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0.56000000000000005</v>
      </c>
      <c r="AG553" s="2428"/>
      <c r="AH553" s="2428"/>
      <c r="AI553" s="2428"/>
      <c r="AJ553" s="2428"/>
      <c r="AK553" s="595"/>
      <c r="AL553" s="595"/>
      <c r="AM553" s="595"/>
      <c r="AN553" s="597"/>
      <c r="AP553" s="2416">
        <f>Application!AJ1049</f>
        <v>20790270</v>
      </c>
      <c r="AQ553" s="2416"/>
      <c r="AR553" s="2416"/>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0.69</v>
      </c>
      <c r="AQ554" s="2435"/>
      <c r="AR554" s="2435"/>
      <c r="AS554" s="550" t="s">
        <v>2169</v>
      </c>
    </row>
    <row r="555" spans="1:49" s="550" customFormat="1" ht="12.75" customHeight="1">
      <c r="A555" s="624"/>
      <c r="B555" s="2502" t="s">
        <v>2029</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53057604</v>
      </c>
      <c r="AQ556" s="2436"/>
      <c r="AR556" s="2436"/>
      <c r="AS556" s="550" t="s">
        <v>2171</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76966414.5</v>
      </c>
      <c r="AQ557" s="2420"/>
      <c r="AR557" s="2420"/>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1565</v>
      </c>
      <c r="AK559" s="2511">
        <f>IFERROR(IF(AND(C541="N/A",C544="N/A"),0,IF(AF553=0,0,IF((AF553*100)&gt;12,12,(AF553*100)))),0)</f>
        <v>12</v>
      </c>
      <c r="AL559" s="2511"/>
      <c r="AM559" s="2512"/>
      <c r="AN559" s="597"/>
      <c r="AP559" s="2405">
        <f>AP556+(AP550*AP554)</f>
        <v>76966414.5</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1312</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2020</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1392</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1393</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685</v>
      </c>
      <c r="E578" s="838" t="s">
        <v>1696</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1336</v>
      </c>
      <c r="AG578" s="2522"/>
      <c r="AH578" s="2522"/>
      <c r="AI578" s="2522"/>
      <c r="AJ578" s="2522"/>
      <c r="AK578" s="2522"/>
      <c r="AL578" s="2522"/>
      <c r="AN578" s="597"/>
    </row>
    <row r="579" spans="1:42" s="550" customFormat="1" ht="12.75" customHeight="1">
      <c r="B579" s="536"/>
      <c r="C579" s="616"/>
      <c r="D579" s="663"/>
      <c r="E579" s="838" t="s">
        <v>1697</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1698</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1699</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1700</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0</v>
      </c>
    </row>
    <row r="583" spans="1:42" s="550" customFormat="1" ht="12.75" customHeight="1">
      <c r="B583" s="536"/>
      <c r="C583" s="616"/>
      <c r="D583" s="663"/>
      <c r="E583" s="838" t="s">
        <v>1701</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1702</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1394</v>
      </c>
      <c r="AG585" s="2522"/>
      <c r="AH585" s="2522"/>
      <c r="AI585" s="2522"/>
      <c r="AJ585" s="2522"/>
      <c r="AK585" s="2522"/>
      <c r="AL585" s="2522"/>
      <c r="AN585" s="597"/>
    </row>
    <row r="586" spans="1:42" s="550" customFormat="1" ht="12.75" customHeight="1">
      <c r="B586" s="536"/>
      <c r="C586" s="933"/>
      <c r="D586" s="663"/>
      <c r="E586" s="838" t="s">
        <v>1703</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1704</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685</v>
      </c>
      <c r="AP587" s="550">
        <f>7*AP582</f>
        <v>0</v>
      </c>
    </row>
    <row r="588" spans="1:42" s="550" customFormat="1" ht="12.75" customHeight="1">
      <c r="B588" s="610"/>
      <c r="C588" s="931"/>
      <c r="D588" s="663"/>
      <c r="E588" s="838" t="s">
        <v>1706</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1705</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1395</v>
      </c>
      <c r="AP590" s="550">
        <v>4</v>
      </c>
    </row>
    <row r="591" spans="1:42" s="550" customFormat="1" ht="12.75" customHeight="1">
      <c r="B591" s="536"/>
      <c r="C591" s="931"/>
      <c r="D591" s="663" t="s">
        <v>278</v>
      </c>
      <c r="E591" s="838" t="s">
        <v>1707</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1376</v>
      </c>
      <c r="AG591" s="2522"/>
      <c r="AH591" s="2522"/>
      <c r="AI591" s="2522"/>
      <c r="AJ591" s="2522"/>
      <c r="AK591" s="2522"/>
      <c r="AL591" s="2522"/>
      <c r="AN591" s="597"/>
      <c r="AO591" s="611" t="s">
        <v>1396</v>
      </c>
      <c r="AP591" s="550">
        <v>3</v>
      </c>
    </row>
    <row r="592" spans="1:42" s="550" customFormat="1" ht="12.75" customHeight="1">
      <c r="B592" s="536"/>
      <c r="C592" s="933"/>
      <c r="D592" s="663"/>
      <c r="E592" s="838" t="s">
        <v>1703</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1704</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1706</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1705</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1395</v>
      </c>
      <c r="E597" s="838" t="s">
        <v>1708</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1397</v>
      </c>
      <c r="AG597" s="2522"/>
      <c r="AH597" s="2522"/>
      <c r="AI597" s="2522"/>
      <c r="AJ597" s="2522"/>
      <c r="AK597" s="2522"/>
      <c r="AL597" s="2522"/>
      <c r="AN597" s="597"/>
      <c r="AO597" s="550" t="str">
        <f>X634</f>
        <v>N/A</v>
      </c>
    </row>
    <row r="598" spans="1:53" s="550" customFormat="1" ht="12.75" customHeight="1">
      <c r="B598" s="536"/>
      <c r="C598" s="933"/>
      <c r="D598" s="663"/>
      <c r="E598" s="838" t="s">
        <v>1709</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1710</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38" t="s">
        <v>1182</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1396</v>
      </c>
      <c r="E603" s="838" t="s">
        <v>1712</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1350</v>
      </c>
      <c r="AG603" s="2522"/>
      <c r="AH603" s="2522"/>
      <c r="AI603" s="2522"/>
      <c r="AJ603" s="2522"/>
      <c r="AK603" s="2522"/>
      <c r="AL603" s="2522"/>
      <c r="AN603" s="597"/>
    </row>
    <row r="604" spans="1:53" s="550" customFormat="1" ht="12.75" customHeight="1">
      <c r="B604" s="536"/>
      <c r="C604" s="931"/>
      <c r="D604" s="663"/>
      <c r="E604" s="838" t="s">
        <v>1711</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1398</v>
      </c>
      <c r="E606" s="936"/>
      <c r="F606" s="936"/>
      <c r="G606" s="936"/>
      <c r="H606" s="2446" t="s">
        <v>1395</v>
      </c>
      <c r="I606" s="2446"/>
      <c r="J606" s="936"/>
      <c r="K606" s="936"/>
      <c r="L606" s="936"/>
      <c r="N606" s="22"/>
      <c r="O606" s="22"/>
      <c r="P606" s="22"/>
      <c r="Q606" s="1151" t="s">
        <v>2174</v>
      </c>
      <c r="R606" s="2539" t="s">
        <v>2175</v>
      </c>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685</v>
      </c>
      <c r="AP606" s="550">
        <v>3</v>
      </c>
      <c r="AT606" s="611" t="s">
        <v>685</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1713</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1714</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1715</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1716</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1398</v>
      </c>
      <c r="F614" s="936"/>
      <c r="G614" s="936"/>
      <c r="I614" s="2537" t="s">
        <v>590</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1399</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1400</v>
      </c>
      <c r="AP615" s="550">
        <v>2</v>
      </c>
    </row>
    <row r="616" spans="1:42" s="550" customFormat="1" ht="12.75" customHeight="1">
      <c r="B616" s="2394" t="s">
        <v>590</v>
      </c>
      <c r="C616" s="2394"/>
      <c r="D616" s="642"/>
      <c r="E616" s="2422" t="s">
        <v>1401</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1402</v>
      </c>
      <c r="AJ621" s="2429">
        <f>VLOOKUP($H$606,$AO$586:$AP$591,2,FALSE)+IF(R606=AO594,0,VLOOKUP($I$614,$AO$613:$AP$615,2,FALSE))</f>
        <v>4</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1403</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685</v>
      </c>
      <c r="E625" s="2536" t="s">
        <v>1692</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1350</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1404</v>
      </c>
      <c r="F634" s="941"/>
      <c r="G634" s="941"/>
      <c r="H634" s="941"/>
      <c r="I634" s="941"/>
      <c r="J634" s="941"/>
      <c r="K634" s="941"/>
      <c r="L634" s="941"/>
      <c r="M634" s="941"/>
      <c r="N634" s="941"/>
      <c r="O634" s="941"/>
      <c r="P634" s="941"/>
      <c r="Q634" s="941"/>
      <c r="R634" s="941"/>
      <c r="U634" s="941"/>
      <c r="V634" s="941"/>
      <c r="W634" s="941"/>
      <c r="X634" s="2394" t="s">
        <v>590</v>
      </c>
      <c r="Y634" s="2394"/>
      <c r="Z634" s="941"/>
      <c r="AA634" s="941"/>
      <c r="AB634" s="941"/>
      <c r="AC634" s="941"/>
      <c r="AD634" s="941"/>
      <c r="AE634" s="536"/>
      <c r="AF634" s="616"/>
      <c r="AG634" s="616"/>
      <c r="AH634" s="616"/>
      <c r="AI634" s="616"/>
      <c r="AJ634" s="616"/>
      <c r="AK634" s="536"/>
      <c r="AL634" s="536"/>
      <c r="AN634" s="597"/>
      <c r="AO634" s="611" t="s">
        <v>685</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1405</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1406</v>
      </c>
      <c r="AG636" s="2522"/>
      <c r="AH636" s="2522"/>
      <c r="AI636" s="2522"/>
      <c r="AJ636" s="2522"/>
      <c r="AK636" s="2522"/>
      <c r="AL636" s="252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1395</v>
      </c>
      <c r="AP637" s="680">
        <v>4</v>
      </c>
    </row>
    <row r="638" spans="1:42" s="550" customFormat="1" ht="12.75" customHeight="1">
      <c r="B638" s="536"/>
      <c r="C638" s="931"/>
      <c r="D638" s="536" t="s">
        <v>1398</v>
      </c>
      <c r="E638" s="936"/>
      <c r="F638" s="936"/>
      <c r="G638" s="936"/>
      <c r="H638" s="2446" t="s">
        <v>685</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1396</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1407</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1408</v>
      </c>
      <c r="AJ640" s="2429">
        <f>VLOOKUP($H$638,$AO$605:$AP$607,2,FALSE)</f>
        <v>3</v>
      </c>
      <c r="AK640" s="2431"/>
      <c r="AL640" s="595"/>
      <c r="AN640" s="597"/>
      <c r="AO640" s="611" t="s">
        <v>1409</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1410</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685</v>
      </c>
      <c r="E644" s="2422" t="s">
        <v>2095</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1350</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1411</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1406</v>
      </c>
      <c r="AG647" s="2522"/>
      <c r="AH647" s="2522"/>
      <c r="AI647" s="2522"/>
      <c r="AJ647" s="2522"/>
      <c r="AK647" s="2522"/>
      <c r="AL647" s="2522"/>
      <c r="AN647" s="597"/>
    </row>
    <row r="648" spans="1:42" s="550" customFormat="1" ht="12.75" customHeight="1">
      <c r="B648" s="536"/>
      <c r="C648" s="931"/>
      <c r="D648" s="663"/>
      <c r="E648" s="616" t="s">
        <v>1412</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1398</v>
      </c>
      <c r="E650" s="936"/>
      <c r="F650" s="936"/>
      <c r="G650" s="936"/>
      <c r="H650" s="2446" t="s">
        <v>685</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1413</v>
      </c>
      <c r="AJ652" s="2429">
        <f>VLOOKUP(H650,AT605:AU607,2,FALSE)</f>
        <v>3</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1414</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1415</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685</v>
      </c>
      <c r="E657" s="2422" t="s">
        <v>1416</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1376</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22" t="s">
        <v>1417</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1397</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2" t="s">
        <v>1418</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1350</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590</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685</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1395</v>
      </c>
      <c r="E669" s="2422" t="s">
        <v>1419</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1397</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1396</v>
      </c>
      <c r="E673" s="2422" t="s">
        <v>1420</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1350</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1407</v>
      </c>
      <c r="E677" s="2422" t="s">
        <v>1421</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1406</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1409</v>
      </c>
      <c r="E681" s="2422" t="s">
        <v>1422</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1423</v>
      </c>
      <c r="AG681" s="2522"/>
      <c r="AH681" s="2522"/>
      <c r="AI681" s="2522"/>
      <c r="AJ681" s="2522"/>
      <c r="AK681" s="2522"/>
      <c r="AL681" s="2522"/>
      <c r="AM681" s="596"/>
      <c r="AN681" s="597"/>
      <c r="AO681" s="611" t="s">
        <v>685</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1398</v>
      </c>
      <c r="E685" s="936"/>
      <c r="F685" s="936"/>
      <c r="G685" s="936"/>
      <c r="H685" s="2446" t="s">
        <v>685</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1424</v>
      </c>
      <c r="AJ687" s="2429">
        <f>VLOOKUP($H$685,$AO$633:$AP$640,2,FALSE)</f>
        <v>5</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72</v>
      </c>
    </row>
    <row r="691" spans="1:51" s="550" customFormat="1" ht="12.75" customHeight="1">
      <c r="A691" s="679"/>
      <c r="B691" s="536"/>
      <c r="C691" s="948"/>
      <c r="D691" s="663" t="s">
        <v>685</v>
      </c>
      <c r="E691" s="2392" t="s">
        <v>2187</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1350</v>
      </c>
      <c r="AG691" s="2522"/>
      <c r="AH691" s="2522"/>
      <c r="AI691" s="2522"/>
      <c r="AJ691" s="2522"/>
      <c r="AK691" s="2522"/>
      <c r="AL691" s="2522"/>
      <c r="AN691" s="597"/>
      <c r="AW691" s="22" t="s">
        <v>2182</v>
      </c>
      <c r="AX691" s="550">
        <f>Application!DE753</f>
        <v>18</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508</v>
      </c>
      <c r="E694" s="2422" t="s">
        <v>2131</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1350</v>
      </c>
      <c r="AG694" s="2522"/>
      <c r="AH694" s="2522"/>
      <c r="AI694" s="2522"/>
      <c r="AJ694" s="2522"/>
      <c r="AK694" s="2522"/>
      <c r="AL694" s="2522"/>
      <c r="AN694" s="597"/>
      <c r="AW694" s="22" t="s">
        <v>2185</v>
      </c>
      <c r="AX694" s="550">
        <f>AX691+AX692+AX693</f>
        <v>18</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1</v>
      </c>
      <c r="AP695" s="2436"/>
      <c r="AW695" s="22" t="s">
        <v>2186</v>
      </c>
      <c r="AX695" s="550">
        <f>IFERROR(AX694/AX690,0)</f>
        <v>0.25</v>
      </c>
      <c r="AY695" s="550">
        <f>IFERROR(AX694/(AX690-AX689),0)</f>
        <v>0.25</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685</v>
      </c>
      <c r="AP698" s="550">
        <v>2</v>
      </c>
    </row>
    <row r="699" spans="1:51" s="550" customFormat="1" ht="12.75" customHeight="1">
      <c r="B699" s="536"/>
      <c r="C699" s="931"/>
      <c r="D699" s="663" t="s">
        <v>278</v>
      </c>
      <c r="E699" s="2422" t="s">
        <v>2132</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1406</v>
      </c>
      <c r="AG699" s="2522"/>
      <c r="AH699" s="2522"/>
      <c r="AI699" s="2522"/>
      <c r="AJ699" s="2522"/>
      <c r="AK699" s="2522"/>
      <c r="AL699" s="2522"/>
      <c r="AN699" s="597"/>
      <c r="AO699" s="611" t="s">
        <v>508</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3"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685</v>
      </c>
      <c r="AP704" s="550">
        <v>3</v>
      </c>
    </row>
    <row r="705" spans="1:43" s="570" customFormat="1" ht="12.75" customHeight="1">
      <c r="A705" s="550"/>
      <c r="B705" s="536"/>
      <c r="C705" s="931"/>
      <c r="D705" s="536"/>
      <c r="E705" s="2422" t="s">
        <v>1691</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1398</v>
      </c>
      <c r="E709" s="936"/>
      <c r="F709" s="936"/>
      <c r="G709" s="936"/>
      <c r="H709" s="2446" t="s">
        <v>508</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1425</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1403</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29">
        <f>VLOOKUP($H$709,$AO$703:$AP$706,2,FALSE)</f>
        <v>3</v>
      </c>
      <c r="AK711" s="2431"/>
      <c r="AL711" s="595"/>
      <c r="AM711" s="550"/>
      <c r="AN711" s="684"/>
      <c r="AP711" s="570" t="s">
        <v>1410</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1426</v>
      </c>
    </row>
    <row r="713" spans="1:43" s="570" customFormat="1" ht="12.75" customHeight="1">
      <c r="A713" s="550"/>
      <c r="B713" s="536"/>
      <c r="C713" s="539" t="s">
        <v>1427</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1428</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1429</v>
      </c>
    </row>
    <row r="715" spans="1:43" s="570" customFormat="1" ht="12.75" customHeight="1">
      <c r="A715" s="637"/>
      <c r="B715" s="536"/>
      <c r="C715" s="931"/>
      <c r="D715" s="663" t="s">
        <v>685</v>
      </c>
      <c r="E715" s="2534" t="s">
        <v>1693</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1350</v>
      </c>
      <c r="AG715" s="2522"/>
      <c r="AH715" s="2522"/>
      <c r="AI715" s="2522"/>
      <c r="AJ715" s="2522"/>
      <c r="AK715" s="2522"/>
      <c r="AL715" s="2522"/>
      <c r="AM715" s="550"/>
      <c r="AN715" s="684"/>
      <c r="AP715" s="570" t="s">
        <v>1430</v>
      </c>
    </row>
    <row r="716" spans="1:43" s="570" customFormat="1" ht="11.9"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1431</v>
      </c>
    </row>
    <row r="717" spans="1:43" s="570" customFormat="1" ht="13.9"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1432</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1434</v>
      </c>
    </row>
    <row r="719" spans="1:43" s="570" customFormat="1" ht="13.9" customHeight="1">
      <c r="A719" s="550"/>
      <c r="B719" s="536"/>
      <c r="C719" s="931"/>
      <c r="D719" s="663" t="s">
        <v>508</v>
      </c>
      <c r="E719" s="2535" t="s">
        <v>1433</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1406</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685</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1398</v>
      </c>
      <c r="E723" s="936"/>
      <c r="F723" s="936"/>
      <c r="G723" s="936"/>
      <c r="H723" s="2446" t="s">
        <v>590</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1435</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1436</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685</v>
      </c>
      <c r="E729" s="2422" t="s">
        <v>1694</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1350</v>
      </c>
      <c r="AG729" s="2522"/>
      <c r="AH729" s="2522"/>
      <c r="AI729" s="2522"/>
      <c r="AJ729" s="2522"/>
      <c r="AK729" s="2522"/>
      <c r="AL729" s="2522"/>
      <c r="AM729" s="550"/>
      <c r="AN729" s="684"/>
      <c r="AT729" s="14"/>
      <c r="AU729" s="14"/>
      <c r="AV729" s="14"/>
      <c r="AW729" s="14"/>
      <c r="AX729" s="14"/>
      <c r="AY729" s="14"/>
      <c r="AZ729" s="14"/>
    </row>
    <row r="730" spans="1:81" s="570" customFormat="1">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22" t="s">
        <v>1437</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1406</v>
      </c>
      <c r="AG732" s="2522"/>
      <c r="AH732" s="2522"/>
      <c r="AI732" s="2522"/>
      <c r="AJ732" s="2522"/>
      <c r="AK732" s="2522"/>
      <c r="AL732" s="2522"/>
      <c r="AM732" s="550"/>
      <c r="AN732" s="684"/>
      <c r="AT732" s="14"/>
      <c r="AU732" s="14"/>
      <c r="AV732" s="14"/>
      <c r="AW732" s="14"/>
      <c r="AX732" s="14"/>
      <c r="AY732" s="14"/>
      <c r="AZ732" s="14"/>
    </row>
    <row r="733" spans="1:81" s="570" customFormat="1">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1398</v>
      </c>
      <c r="E735" s="936"/>
      <c r="F735" s="936"/>
      <c r="G735" s="936"/>
      <c r="H735" s="2446" t="s">
        <v>590</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1438</v>
      </c>
      <c r="AJ737" s="2429">
        <f>VLOOKUP($H$735,$AO$666:$AP$668,2,FALSE)</f>
        <v>0</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1439</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685</v>
      </c>
      <c r="E741" s="2422" t="s">
        <v>1440</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1350</v>
      </c>
      <c r="AG741" s="2522"/>
      <c r="AH741" s="2522"/>
      <c r="AI741" s="2522"/>
      <c r="AJ741" s="2522"/>
      <c r="AK741" s="2522"/>
      <c r="AL741" s="2522"/>
      <c r="AM741" s="550"/>
      <c r="AN741" s="684"/>
      <c r="AT741" s="14"/>
      <c r="AU741" s="14"/>
      <c r="AV741" s="14"/>
      <c r="AW741" s="14"/>
      <c r="AX741" s="14"/>
      <c r="AY741" s="14"/>
      <c r="AZ741" s="14"/>
    </row>
    <row r="742" spans="1:81" s="570" customFormat="1">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22" t="s">
        <v>1441</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1406</v>
      </c>
      <c r="AG746" s="2522"/>
      <c r="AH746" s="2522"/>
      <c r="AI746" s="2522"/>
      <c r="AJ746" s="2522"/>
      <c r="AK746" s="2522"/>
      <c r="AL746" s="2522"/>
      <c r="AM746" s="550"/>
      <c r="AN746" s="684"/>
      <c r="AO746" s="30"/>
      <c r="AP746" s="14"/>
    </row>
    <row r="747" spans="1:81" s="570" customFormat="1">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1398</v>
      </c>
      <c r="E751" s="936"/>
      <c r="F751" s="936"/>
      <c r="G751" s="936"/>
      <c r="H751" s="2446" t="s">
        <v>685</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1442</v>
      </c>
      <c r="AJ753" s="2429">
        <f>VLOOKUP($H$751,$AO$680:$AP$682,2,FALSE)</f>
        <v>3</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1432</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685</v>
      </c>
      <c r="E757" s="2422" t="s">
        <v>1443</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1406</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22" t="s">
        <v>1444</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1423</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1398</v>
      </c>
      <c r="E763" s="936"/>
      <c r="F763" s="936"/>
      <c r="G763" s="936"/>
      <c r="H763" s="2446" t="s">
        <v>685</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1445</v>
      </c>
      <c r="AJ765" s="2429">
        <f>VLOOKUP($H$763,$AO$697:$AP$699,2,FALSE)</f>
        <v>2</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1434</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685</v>
      </c>
      <c r="E769" s="2422" t="s">
        <v>1690</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1406</v>
      </c>
      <c r="AG769" s="2522"/>
      <c r="AH769" s="2522"/>
      <c r="AI769" s="2522"/>
      <c r="AJ769" s="2522"/>
      <c r="AK769" s="2522"/>
      <c r="AL769" s="2522"/>
      <c r="AM769" s="613"/>
      <c r="AN769" s="684"/>
      <c r="AO769" s="550" t="s">
        <v>590</v>
      </c>
      <c r="AP769" s="673">
        <v>0</v>
      </c>
    </row>
    <row r="770" spans="1:81" s="570" customFormat="1" ht="13.75"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685</v>
      </c>
      <c r="AP770" s="550">
        <v>2</v>
      </c>
    </row>
    <row r="771" spans="1:81" s="570" customFormat="1">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3" t="s">
        <v>1695</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1350</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1398</v>
      </c>
      <c r="E779" s="936"/>
      <c r="F779" s="936"/>
      <c r="G779" s="936"/>
      <c r="H779" s="2446" t="s">
        <v>590</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1446</v>
      </c>
      <c r="AJ781" s="2429">
        <f>VLOOKUP($H$779,$AO$769:$AP$771,2,FALSE)</f>
        <v>0</v>
      </c>
      <c r="AK781" s="243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1447</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685</v>
      </c>
      <c r="E785" s="2422" t="s">
        <v>2030</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1350</v>
      </c>
      <c r="AG785" s="2522"/>
      <c r="AH785" s="2522"/>
      <c r="AI785" s="2522"/>
      <c r="AJ785" s="2522"/>
      <c r="AK785" s="2522"/>
      <c r="AL785" s="2522"/>
      <c r="AM785" s="613"/>
      <c r="AN785" s="684"/>
      <c r="AO785" s="611" t="s">
        <v>544</v>
      </c>
      <c r="AP785" s="550">
        <v>3</v>
      </c>
      <c r="AT785" s="674"/>
      <c r="AU785" s="674"/>
      <c r="AV785" s="674"/>
      <c r="AW785" s="674"/>
      <c r="AX785" s="674"/>
      <c r="AY785" s="674"/>
      <c r="AZ785" s="674"/>
    </row>
    <row r="786" spans="1:81" s="570" customFormat="1" ht="13.75"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1398</v>
      </c>
      <c r="E790" s="936"/>
      <c r="F790" s="936"/>
      <c r="G790" s="936"/>
      <c r="H790" s="2446" t="s">
        <v>544</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1448</v>
      </c>
      <c r="AJ792" s="2429">
        <f>VLOOKUP($H$790,$AO$784:$AP$785,2,FALSE)</f>
        <v>3</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1449</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1566</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6" t="s">
        <v>1567</v>
      </c>
      <c r="U802" s="2517"/>
      <c r="V802" s="2517"/>
      <c r="W802" s="2517"/>
      <c r="X802" s="2517"/>
      <c r="Y802" s="2518"/>
      <c r="Z802" s="2516" t="s">
        <v>1568</v>
      </c>
      <c r="AA802" s="2517"/>
      <c r="AB802" s="2517"/>
      <c r="AC802" s="2517"/>
      <c r="AD802" s="2517"/>
      <c r="AE802" s="2518"/>
      <c r="AF802" s="2516" t="s">
        <v>1569</v>
      </c>
      <c r="AG802" s="2517"/>
      <c r="AH802" s="2517"/>
      <c r="AI802" s="2517"/>
      <c r="AJ802" s="2517"/>
      <c r="AK802" s="251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c r="A804" s="819" t="s">
        <v>755</v>
      </c>
      <c r="B804" s="2473" t="s">
        <v>1302</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c r="A805" s="819" t="s">
        <v>1539</v>
      </c>
      <c r="B805" s="2473" t="s">
        <v>1311</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8"/>
      <c r="AM805" s="596"/>
      <c r="AO805" s="816"/>
      <c r="AP805" s="816"/>
      <c r="AQ805" s="816"/>
    </row>
    <row r="806" spans="1:81">
      <c r="A806" s="819" t="s">
        <v>1548</v>
      </c>
      <c r="B806" s="2473" t="s">
        <v>1321</v>
      </c>
      <c r="C806" s="2473"/>
      <c r="D806" s="2473"/>
      <c r="E806" s="2473"/>
      <c r="F806" s="2473"/>
      <c r="G806" s="2473"/>
      <c r="H806" s="2473"/>
      <c r="I806" s="2473"/>
      <c r="J806" s="2473"/>
      <c r="K806" s="2473"/>
      <c r="L806" s="2473"/>
      <c r="M806" s="2473"/>
      <c r="N806" s="2473"/>
      <c r="O806" s="2473"/>
      <c r="P806" s="2473"/>
      <c r="Q806" s="2473"/>
      <c r="R806" s="2473"/>
      <c r="S806" s="2474"/>
      <c r="T806" s="2501">
        <f ca="1">AK109</f>
        <v>20</v>
      </c>
      <c r="U806" s="2477"/>
      <c r="V806" s="2477"/>
      <c r="W806" s="2477"/>
      <c r="X806" s="2477"/>
      <c r="Y806" s="2478"/>
      <c r="Z806" s="2476">
        <v>20</v>
      </c>
      <c r="AA806" s="2477"/>
      <c r="AB806" s="2477"/>
      <c r="AC806" s="2477"/>
      <c r="AD806" s="2477"/>
      <c r="AE806" s="2478"/>
      <c r="AF806" s="2441">
        <f ca="1">IF(T806&gt;Z806,Z806,T806)</f>
        <v>20</v>
      </c>
      <c r="AG806" s="2441"/>
      <c r="AH806" s="2441"/>
      <c r="AI806" s="2441"/>
      <c r="AJ806" s="2441"/>
      <c r="AK806" s="2441"/>
      <c r="AL806" s="818"/>
      <c r="AM806" s="596"/>
      <c r="AO806" s="816"/>
      <c r="AP806" s="816"/>
      <c r="AQ806" s="816"/>
    </row>
    <row r="807" spans="1:81">
      <c r="A807" s="819" t="s">
        <v>1570</v>
      </c>
      <c r="B807" s="2473" t="s">
        <v>1331</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c r="A808" s="820" t="s">
        <v>1571</v>
      </c>
      <c r="B808" s="2473" t="s">
        <v>1572</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c r="A809" s="535"/>
      <c r="B809" s="601"/>
      <c r="C809" s="2479" t="s">
        <v>1573</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c r="A810" s="600"/>
      <c r="B810" s="601"/>
      <c r="C810" s="2479" t="s">
        <v>1574</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c r="A811" s="820" t="s">
        <v>1359</v>
      </c>
      <c r="B811" s="2473" t="s">
        <v>1575</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8"/>
      <c r="AM811" s="596"/>
    </row>
    <row r="812" spans="1:81">
      <c r="A812" s="819" t="s">
        <v>1368</v>
      </c>
      <c r="B812" s="2473" t="s">
        <v>1369</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idden="1">
      <c r="A813" s="820" t="s">
        <v>588</v>
      </c>
      <c r="B813" s="2473" t="s">
        <v>1576</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1374</v>
      </c>
      <c r="B814" s="2473" t="s">
        <v>1577</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1378</v>
      </c>
      <c r="B815" s="2473" t="s">
        <v>1379</v>
      </c>
      <c r="C815" s="2473"/>
      <c r="D815" s="2473"/>
      <c r="E815" s="2473"/>
      <c r="F815" s="2473"/>
      <c r="G815" s="2473"/>
      <c r="H815" s="2473"/>
      <c r="I815" s="2473"/>
      <c r="J815" s="2473"/>
      <c r="K815" s="2473"/>
      <c r="L815" s="2473"/>
      <c r="M815" s="2473"/>
      <c r="N815" s="2473"/>
      <c r="O815" s="2473"/>
      <c r="P815" s="2473"/>
      <c r="Q815" s="2473"/>
      <c r="R815" s="2473"/>
      <c r="S815" s="2474"/>
      <c r="T815" s="2475">
        <f>AK338</f>
        <v>10</v>
      </c>
      <c r="U815" s="2475"/>
      <c r="V815" s="2475"/>
      <c r="W815" s="2475"/>
      <c r="X815" s="2475"/>
      <c r="Y815" s="2475"/>
      <c r="Z815" s="2484">
        <v>10</v>
      </c>
      <c r="AA815" s="2485"/>
      <c r="AB815" s="2485"/>
      <c r="AC815" s="2485"/>
      <c r="AD815" s="2485"/>
      <c r="AE815" s="2486"/>
      <c r="AF815" s="2484">
        <f>IF(T815&gt;Z815,Z815,T815)</f>
        <v>10</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1578</v>
      </c>
      <c r="D816" s="823"/>
      <c r="E816" s="823"/>
      <c r="F816" s="823"/>
      <c r="G816" s="823"/>
      <c r="H816" s="823"/>
      <c r="I816" s="823"/>
      <c r="J816" s="823"/>
      <c r="K816" s="823"/>
      <c r="L816" s="823"/>
      <c r="M816" s="823"/>
      <c r="N816" s="823"/>
      <c r="O816" s="823"/>
      <c r="P816" s="823"/>
      <c r="Q816" s="823"/>
      <c r="R816" s="821"/>
      <c r="S816" s="824"/>
      <c r="T816" s="2481">
        <f>AK338</f>
        <v>10</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1451</v>
      </c>
      <c r="B817" s="2473" t="s">
        <v>843</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1556</v>
      </c>
      <c r="B818" s="2473" t="s">
        <v>1557</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2018</v>
      </c>
      <c r="B819" s="2473" t="s">
        <v>1579</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7" t="s">
        <v>1580</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1581</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89" t="s">
        <v>1582</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 ca="1">SUM(AF804:AK819)-AF820</f>
        <v>120</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25" sqref="G125"/>
    </sheetView>
  </sheetViews>
  <sheetFormatPr defaultColWidth="9.08984375" defaultRowHeight="14.25"/>
  <cols>
    <col min="1" max="1" width="2.36328125" style="1044" customWidth="1"/>
    <col min="2" max="9" width="14.7265625" style="1044" customWidth="1"/>
    <col min="10" max="10" width="2.26953125" style="1044" customWidth="1"/>
    <col min="11" max="11" width="11.81640625" style="1045" customWidth="1"/>
    <col min="12" max="12" width="10.7265625" style="1044" customWidth="1"/>
    <col min="13" max="13" width="10.36328125" style="1044" customWidth="1"/>
    <col min="14" max="14" width="10.81640625" style="1044" customWidth="1"/>
    <col min="15" max="18" width="9.08984375" style="1044"/>
    <col min="19" max="19" width="9.36328125" style="1044" bestFit="1" customWidth="1"/>
    <col min="20" max="16384" width="9.08984375" style="1044"/>
  </cols>
  <sheetData>
    <row r="1" spans="1:13" ht="30" customHeight="1">
      <c r="A1" s="2670" t="s">
        <v>1583</v>
      </c>
      <c r="B1" s="2670"/>
      <c r="C1" s="2670"/>
      <c r="D1" s="2670"/>
      <c r="E1" s="2670"/>
      <c r="F1" s="2670"/>
      <c r="G1" s="2670"/>
      <c r="H1" s="2670"/>
      <c r="I1" s="2670"/>
      <c r="J1" s="2670"/>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14076212</v>
      </c>
      <c r="I3" s="1105"/>
    </row>
    <row r="4" spans="1:13" s="1051" customFormat="1" ht="20.149999999999999" customHeight="1">
      <c r="B4" s="1094"/>
      <c r="D4" s="1108"/>
      <c r="F4" s="1092" t="s">
        <v>1989</v>
      </c>
      <c r="G4" s="1091" t="s">
        <v>1988</v>
      </c>
      <c r="H4" s="1093">
        <f>I18</f>
        <v>25840000</v>
      </c>
      <c r="I4" s="1095"/>
      <c r="K4" s="1055"/>
    </row>
    <row r="5" spans="1:13" s="1051" customFormat="1" ht="20.149999999999999" customHeight="1" thickBot="1">
      <c r="B5" s="1096"/>
      <c r="C5" s="1097"/>
      <c r="D5" s="1109"/>
      <c r="E5" s="1098"/>
      <c r="F5" s="1109" t="s">
        <v>1939</v>
      </c>
      <c r="G5" s="1110"/>
      <c r="H5" s="1106">
        <f>IFERROR(H3/H4,0)</f>
        <v>0.54474504643962851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1937</v>
      </c>
      <c r="C8" s="2674"/>
      <c r="D8" s="2674"/>
      <c r="E8" s="2675"/>
      <c r="G8" s="2650" t="s">
        <v>1938</v>
      </c>
      <c r="H8" s="2651"/>
      <c r="I8" s="2652"/>
      <c r="K8" s="1057"/>
    </row>
    <row r="9" spans="1:13" ht="15" customHeight="1">
      <c r="A9" s="1046"/>
      <c r="B9" s="2671" t="s">
        <v>1971</v>
      </c>
      <c r="C9" s="2671"/>
      <c r="D9" s="2671"/>
      <c r="E9" s="1059">
        <f>G33</f>
        <v>4312500</v>
      </c>
      <c r="G9" s="2663" t="s">
        <v>1969</v>
      </c>
      <c r="H9" s="2663"/>
      <c r="I9" s="1060">
        <f>SUMIF(Application!M554:M565,"Loan, Tax-Exempt",Application!AM554:AM565)</f>
        <v>16000000</v>
      </c>
      <c r="K9" s="1061"/>
      <c r="M9" s="1062"/>
    </row>
    <row r="10" spans="1:13" ht="15" customHeight="1" thickBot="1">
      <c r="A10" s="1046"/>
      <c r="B10" s="2671" t="s">
        <v>1972</v>
      </c>
      <c r="C10" s="2671"/>
      <c r="D10" s="2671"/>
      <c r="E10" s="1060">
        <f>G47</f>
        <v>4148712.0000000005</v>
      </c>
      <c r="G10" s="2677" t="s">
        <v>1940</v>
      </c>
      <c r="H10" s="2677"/>
      <c r="I10" s="1140">
        <f>'Basis &amp; Credits'!AB78</f>
        <v>14400000</v>
      </c>
      <c r="M10" s="1062"/>
    </row>
    <row r="11" spans="1:13" ht="15" customHeight="1">
      <c r="A11" s="1046"/>
      <c r="B11" s="2664" t="s">
        <v>2260</v>
      </c>
      <c r="C11" s="2665"/>
      <c r="D11" s="2666"/>
      <c r="E11" s="1060">
        <f>SUM(E12,E13)</f>
        <v>440000</v>
      </c>
      <c r="G11" s="2662" t="s">
        <v>1980</v>
      </c>
      <c r="H11" s="2662"/>
      <c r="I11" s="1139">
        <f>I9+I10</f>
        <v>30400000</v>
      </c>
      <c r="M11" s="1062"/>
    </row>
    <row r="12" spans="1:13" ht="15" customHeight="1">
      <c r="A12" s="1063"/>
      <c r="B12" s="2672" t="s">
        <v>2262</v>
      </c>
      <c r="C12" s="2672"/>
      <c r="D12" s="2672"/>
      <c r="E12" s="1165">
        <f>G56</f>
        <v>0</v>
      </c>
      <c r="M12" s="1062"/>
    </row>
    <row r="13" spans="1:13" ht="15" customHeight="1">
      <c r="A13" s="1049"/>
      <c r="B13" s="2672" t="s">
        <v>2263</v>
      </c>
      <c r="C13" s="2672"/>
      <c r="D13" s="2672"/>
      <c r="E13" s="1165">
        <f>G65</f>
        <v>440000</v>
      </c>
      <c r="G13" s="2650" t="s">
        <v>2003</v>
      </c>
      <c r="H13" s="2651"/>
      <c r="I13" s="2652"/>
      <c r="M13" s="1062"/>
    </row>
    <row r="14" spans="1:13" ht="15" customHeight="1">
      <c r="A14" s="1049"/>
      <c r="B14" s="2664" t="s">
        <v>2261</v>
      </c>
      <c r="C14" s="2665"/>
      <c r="D14" s="2666"/>
      <c r="E14" s="1167">
        <f>MAX(E15,E16)+E17</f>
        <v>5175000</v>
      </c>
      <c r="G14" s="2663" t="s">
        <v>139</v>
      </c>
      <c r="H14" s="2663"/>
      <c r="I14" s="1064">
        <f>15%*(AND(G120="Yes",G122&lt;&gt;""))</f>
        <v>0.15</v>
      </c>
      <c r="M14" s="1062"/>
    </row>
    <row r="15" spans="1:13" ht="15" customHeight="1">
      <c r="A15" s="1049"/>
      <c r="B15" s="2647" t="s">
        <v>2267</v>
      </c>
      <c r="C15" s="2648"/>
      <c r="D15" s="2649"/>
      <c r="E15" s="1165">
        <f>G80</f>
        <v>1725000</v>
      </c>
      <c r="G15" s="1137" t="s">
        <v>1981</v>
      </c>
      <c r="H15" s="1137"/>
      <c r="I15" s="1064">
        <f>IF(Application!AJ1032&gt;0,10%,IF(Application!AJ1036&gt;0,5%,0))</f>
        <v>0</v>
      </c>
      <c r="M15" s="1062"/>
    </row>
    <row r="16" spans="1:13" ht="15" customHeight="1">
      <c r="A16" s="1049"/>
      <c r="B16" s="2647" t="s">
        <v>2266</v>
      </c>
      <c r="C16" s="2648"/>
      <c r="D16" s="2649"/>
      <c r="E16" s="1165">
        <f>G90</f>
        <v>0</v>
      </c>
      <c r="G16" s="2663" t="s">
        <v>1982</v>
      </c>
      <c r="H16" s="2663"/>
      <c r="I16" s="1064">
        <f>G132</f>
        <v>0</v>
      </c>
    </row>
    <row r="17" spans="1:21" ht="15" customHeight="1" thickBot="1">
      <c r="A17" s="1049"/>
      <c r="B17" s="2647" t="s">
        <v>2265</v>
      </c>
      <c r="C17" s="2648"/>
      <c r="D17" s="2649"/>
      <c r="E17" s="1165">
        <f>G115</f>
        <v>3450000</v>
      </c>
      <c r="G17" s="2663" t="s">
        <v>2275</v>
      </c>
      <c r="H17" s="2663"/>
      <c r="I17" s="1064">
        <f>IF(AND(G139="Yes",OR(G136,G137)),IF(G143&gt;15%,15%,G143),0)</f>
        <v>0</v>
      </c>
    </row>
    <row r="18" spans="1:21" ht="15" customHeight="1">
      <c r="A18" s="1046"/>
      <c r="B18" s="2676" t="s">
        <v>1936</v>
      </c>
      <c r="C18" s="2676"/>
      <c r="D18" s="2676"/>
      <c r="E18" s="1111">
        <f>SUM(E9:E11,E14)</f>
        <v>14076212</v>
      </c>
      <c r="G18" s="1138" t="s">
        <v>1970</v>
      </c>
      <c r="H18" s="1138"/>
      <c r="I18" s="1112">
        <f>I11-((I11*I14)+(I11*I15)+(I11*I16)+(I11*I17))</f>
        <v>25840000</v>
      </c>
      <c r="M18" s="1065">
        <f>SUM(Cdlac[Quantity])</f>
        <v>72</v>
      </c>
      <c r="O18" s="1084" t="s">
        <v>581</v>
      </c>
      <c r="P18" s="1044">
        <f>MATCH(Application!T189,Application!CB160:CB217,0)</f>
        <v>26</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2258</v>
      </c>
      <c r="R19" s="1044" t="s">
        <v>1934</v>
      </c>
      <c r="S19" s="1044" t="s">
        <v>1945</v>
      </c>
      <c r="T19" s="1044" t="s">
        <v>1951</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10</v>
      </c>
      <c r="N20" s="1071">
        <f>Application!AC718</f>
        <v>0.3</v>
      </c>
      <c r="O20" s="1071">
        <f>IF(Cdlac[[#This Row],[Quantity]]&gt;0,IF(Cdlac[[#This Row],[Federal]],30%,IF(AND(OR(NOT($G$38),$G$38=""),$G$43),40%,Cdlac[[#This Row],[iAMI]])),"")</f>
        <v>0.3</v>
      </c>
      <c r="P20" s="1065" cm="1">
        <f t="array" ref="P20">IF(Cdlac[[#This Row],[Quantity]]&gt;0,INDEX(TcacRents,$P$18,Cdlac[[#This Row],[Bedrooms]]+1)*Cdlac[[#This Row],[AMI]],"")</f>
        <v>535.19999999999993</v>
      </c>
      <c r="Q20" s="1164"/>
      <c r="R20" s="1065" cm="1">
        <f t="array" ref="R20">IF(Cdlac[[#This Row],[Quantity]]&gt;0,INDEX(HudFmrs,$P$18,Cdlac[[#This Row],[Bedrooms]]+1),"")</f>
        <v>1036</v>
      </c>
      <c r="S20" s="1065">
        <f>IF(Cdlac[[#This Row],[Quantity]]&gt;0,MAX(0,Cdlac[[#This Row],[Fair Market Rent]]-IF(AND($G$37,$G$38,$G$38&lt;&gt;"",NOT(Cdlac[[#This Row],[Federal]]),Cdlac[[#This Row],[Preservation Rent]]&lt;&gt;""),Cdlac[[#This Row],[Preservation Rent]],Cdlac[[#This Row],[Restricted Rent]])),"")</f>
        <v>500.80000000000007</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2</v>
      </c>
      <c r="N21" s="1071">
        <f>Application!AC719</f>
        <v>0.5</v>
      </c>
      <c r="O21" s="1071">
        <f>IF(Cdlac[[#This Row],[Quantity]]&gt;0,IF(Cdlac[[#This Row],[Federal]],30%,IF(AND(OR(NOT($G$38),$G$38=""),$G$43),40%,Cdlac[[#This Row],[iAMI]])),"")</f>
        <v>0.5</v>
      </c>
      <c r="P21" s="1065" cm="1">
        <f t="array" ref="P21">IF(Cdlac[[#This Row],[Quantity]]&gt;0,INDEX(TcacRents,$P$18,Cdlac[[#This Row],[Bedrooms]]+1)*Cdlac[[#This Row],[AMI]],"")</f>
        <v>892</v>
      </c>
      <c r="Q21" s="1164"/>
      <c r="R21" s="1065" cm="1">
        <f t="array" ref="R21">IF(Cdlac[[#This Row],[Quantity]]&gt;0,INDEX(HudFmrs,$P$18,Cdlac[[#This Row],[Bedrooms]]+1),"")</f>
        <v>1036</v>
      </c>
      <c r="S21" s="1065">
        <f>IF(Cdlac[[#This Row],[Quantity]]&gt;0,MAX(0,Cdlac[[#This Row],[Fair Market Rent]]-IF(AND($G$37,$G$38,$G$38&lt;&gt;"",NOT(Cdlac[[#This Row],[Federal]]),Cdlac[[#This Row],[Preservation Rent]]&lt;&gt;""),Cdlac[[#This Row],[Preservation Rent]],Cdlac[[#This Row],[Restricted Rent]])),"")</f>
        <v>144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4" t="s">
        <v>1984</v>
      </c>
      <c r="D22" s="2654" t="s">
        <v>1985</v>
      </c>
      <c r="E22" s="2654" t="s">
        <v>1986</v>
      </c>
      <c r="F22" s="2654" t="s">
        <v>2606</v>
      </c>
      <c r="G22" s="2654" t="s">
        <v>1983</v>
      </c>
      <c r="H22" s="1070"/>
      <c r="I22" s="1069"/>
      <c r="L22" s="1044">
        <f>IFERROR(MIN(4,MATCH(Application!B720,UnitSizes,0)-1),"")</f>
        <v>0</v>
      </c>
      <c r="M22" s="1065">
        <f>Application!G720</f>
        <v>2</v>
      </c>
      <c r="N22" s="1071">
        <f>Application!AC720</f>
        <v>0.6</v>
      </c>
      <c r="O22" s="1071">
        <f>IF(Cdlac[[#This Row],[Quantity]]&gt;0,IF(Cdlac[[#This Row],[Federal]],30%,IF(AND(OR(NOT($G$38),$G$38=""),$G$43),40%,Cdlac[[#This Row],[iAMI]])),"")</f>
        <v>0.6</v>
      </c>
      <c r="P22" s="1065" cm="1">
        <f t="array" ref="P22">IF(Cdlac[[#This Row],[Quantity]]&gt;0,INDEX(TcacRents,$P$18,Cdlac[[#This Row],[Bedrooms]]+1)*Cdlac[[#This Row],[AMI]],"")</f>
        <v>1070.3999999999999</v>
      </c>
      <c r="Q22" s="1164"/>
      <c r="R22" s="1065" cm="1">
        <f t="array" ref="R22">IF(Cdlac[[#This Row],[Quantity]]&gt;0,INDEX(HudFmrs,$P$18,Cdlac[[#This Row],[Bedrooms]]+1),"")</f>
        <v>1036</v>
      </c>
      <c r="S22" s="1065">
        <f>IF(Cdlac[[#This Row],[Quantity]]&gt;0,MAX(0,Cdlac[[#This Row],[Fair Market Rent]]-IF(AND($G$37,$G$38,$G$38&lt;&gt;"",NOT(Cdlac[[#This Row],[Federal]]),Cdlac[[#This Row],[Preservation Rent]]&lt;&gt;""),Cdlac[[#This Row],[Preservation Rent]],Cdlac[[#This Row],[Restricted Rent]])),"")</f>
        <v>0</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5"/>
      <c r="D23" s="2655"/>
      <c r="E23" s="2655"/>
      <c r="F23" s="2655"/>
      <c r="G23" s="2655"/>
      <c r="H23" s="1070"/>
      <c r="I23" s="1069"/>
      <c r="L23" s="1044">
        <f>IFERROR(MIN(4,MATCH(Application!B721,UnitSizes,0)-1),"")</f>
        <v>0</v>
      </c>
      <c r="M23" s="1065">
        <f>Application!G721</f>
        <v>1</v>
      </c>
      <c r="N23" s="1071">
        <f>Application!AC721</f>
        <v>0.8</v>
      </c>
      <c r="O23" s="1071">
        <f>IF(Cdlac[[#This Row],[Quantity]]&gt;0,IF(Cdlac[[#This Row],[Federal]],30%,IF(AND(OR(NOT($G$38),$G$38=""),$G$43),40%,Cdlac[[#This Row],[iAMI]])),"")</f>
        <v>0.8</v>
      </c>
      <c r="P23" s="1065" cm="1">
        <f t="array" ref="P23">IF(Cdlac[[#This Row],[Quantity]]&gt;0,INDEX(TcacRents,$P$18,Cdlac[[#This Row],[Bedrooms]]+1)*Cdlac[[#This Row],[AMI]],"")</f>
        <v>1427.2</v>
      </c>
      <c r="Q23" s="1164"/>
      <c r="R23" s="1065" cm="1">
        <f t="array" ref="R23">IF(Cdlac[[#This Row],[Quantity]]&gt;0,INDEX(HudFmrs,$P$18,Cdlac[[#This Row],[Bedrooms]]+1),"")</f>
        <v>1036</v>
      </c>
      <c r="S23" s="1065">
        <f>IF(Cdlac[[#This Row],[Quantity]]&gt;0,MAX(0,Cdlac[[#This Row],[Fair Market Rent]]-IF(AND($G$37,$G$38,$G$38&lt;&gt;"",NOT(Cdlac[[#This Row],[Federal]]),Cdlac[[#This Row],[Preservation Rent]]&lt;&gt;""),Cdlac[[#This Row],[Preservation Rent]],Cdlac[[#This Row],[Restricted Rent]])),"")</f>
        <v>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15</v>
      </c>
      <c r="F24" s="1072">
        <f>E24</f>
        <v>15</v>
      </c>
      <c r="G24" s="1072">
        <f>D24*F24</f>
        <v>13.5</v>
      </c>
      <c r="L24" s="1044">
        <f>IFERROR(MIN(4,MATCH(Application!B722,UnitSizes,0)-1),"")</f>
        <v>1</v>
      </c>
      <c r="M24" s="1065">
        <f>Application!G722</f>
        <v>7</v>
      </c>
      <c r="N24" s="1071">
        <f>Application!AC722</f>
        <v>0.3</v>
      </c>
      <c r="O24" s="1071">
        <f>IF(Cdlac[[#This Row],[Quantity]]&gt;0,IF(Cdlac[[#This Row],[Federal]],30%,IF(AND(OR(NOT($G$38),$G$38=""),$G$43),40%,Cdlac[[#This Row],[iAMI]])),"")</f>
        <v>0.3</v>
      </c>
      <c r="P24" s="1065" cm="1">
        <f t="array" ref="P24">IF(Cdlac[[#This Row],[Quantity]]&gt;0,INDEX(TcacRents,$P$18,Cdlac[[#This Row],[Bedrooms]]+1)*Cdlac[[#This Row],[AMI]],"")</f>
        <v>573.6</v>
      </c>
      <c r="Q24" s="1164"/>
      <c r="R24" s="1065" cm="1">
        <f t="array" ref="R24">IF(Cdlac[[#This Row],[Quantity]]&gt;0,INDEX(HudFmrs,$P$18,Cdlac[[#This Row],[Bedrooms]]+1),"")</f>
        <v>1348</v>
      </c>
      <c r="S24" s="1065">
        <f>IF(Cdlac[[#This Row],[Quantity]]&gt;0,MAX(0,Cdlac[[#This Row],[Fair Market Rent]]-IF(AND($G$37,$G$38,$G$38&lt;&gt;"",NOT(Cdlac[[#This Row],[Federal]]),Cdlac[[#This Row],[Preservation Rent]]&lt;&gt;""),Cdlac[[#This Row],[Preservation Rent]],Cdlac[[#This Row],[Restricted Rent]])),"")</f>
        <v>774.4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12</v>
      </c>
      <c r="F25" s="1072">
        <f>E25</f>
        <v>12</v>
      </c>
      <c r="G25" s="1072">
        <f>D25*F25</f>
        <v>12</v>
      </c>
      <c r="L25" s="1044">
        <f>IFERROR(MIN(4,MATCH(Application!B723,UnitSizes,0)-1),"")</f>
        <v>1</v>
      </c>
      <c r="M25" s="1065">
        <f>Application!G723</f>
        <v>2</v>
      </c>
      <c r="N25" s="1071">
        <f>Application!AC723</f>
        <v>0.5</v>
      </c>
      <c r="O25" s="1071">
        <f>IF(Cdlac[[#This Row],[Quantity]]&gt;0,IF(Cdlac[[#This Row],[Federal]],30%,IF(AND(OR(NOT($G$38),$G$38=""),$G$43),40%,Cdlac[[#This Row],[iAMI]])),"")</f>
        <v>0.5</v>
      </c>
      <c r="P25" s="1065" cm="1">
        <f t="array" ref="P25">IF(Cdlac[[#This Row],[Quantity]]&gt;0,INDEX(TcacRents,$P$18,Cdlac[[#This Row],[Bedrooms]]+1)*Cdlac[[#This Row],[AMI]],"")</f>
        <v>956</v>
      </c>
      <c r="Q25" s="1164"/>
      <c r="R25" s="1065" cm="1">
        <f t="array" ref="R25">IF(Cdlac[[#This Row],[Quantity]]&gt;0,INDEX(HudFmrs,$P$18,Cdlac[[#This Row],[Bedrooms]]+1),"")</f>
        <v>1348</v>
      </c>
      <c r="S25" s="1065">
        <f>IF(Cdlac[[#This Row],[Quantity]]&gt;0,MAX(0,Cdlac[[#This Row],[Fair Market Rent]]-IF(AND($G$37,$G$38,$G$38&lt;&gt;"",NOT(Cdlac[[#This Row],[Federal]]),Cdlac[[#This Row],[Preservation Rent]]&lt;&gt;""),Cdlac[[#This Row],[Preservation Rent]],Cdlac[[#This Row],[Restricted Rent]])),"")</f>
        <v>392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27</v>
      </c>
      <c r="F26" s="1075">
        <f>SUM(E26:E28)-SUM(F27:F28)</f>
        <v>27</v>
      </c>
      <c r="G26" s="1072">
        <f>D26*F26</f>
        <v>33.75</v>
      </c>
      <c r="H26" s="1074"/>
      <c r="I26" s="1074"/>
      <c r="L26" s="1044">
        <f>IFERROR(MIN(4,MATCH(Application!B724,UnitSizes,0)-1),"")</f>
        <v>1</v>
      </c>
      <c r="M26" s="1065">
        <f>Application!G724</f>
        <v>2</v>
      </c>
      <c r="N26" s="1071">
        <f>Application!AC724</f>
        <v>0.6</v>
      </c>
      <c r="O26" s="1071">
        <f>IF(Cdlac[[#This Row],[Quantity]]&gt;0,IF(Cdlac[[#This Row],[Federal]],30%,IF(AND(OR(NOT($G$38),$G$38=""),$G$43),40%,Cdlac[[#This Row],[iAMI]])),"")</f>
        <v>0.6</v>
      </c>
      <c r="P26" s="1065" cm="1">
        <f t="array" ref="P26">IF(Cdlac[[#This Row],[Quantity]]&gt;0,INDEX(TcacRents,$P$18,Cdlac[[#This Row],[Bedrooms]]+1)*Cdlac[[#This Row],[AMI]],"")</f>
        <v>1147.2</v>
      </c>
      <c r="Q26" s="1164"/>
      <c r="R26" s="1065" cm="1">
        <f t="array" ref="R26">IF(Cdlac[[#This Row],[Quantity]]&gt;0,INDEX(HudFmrs,$P$18,Cdlac[[#This Row],[Bedrooms]]+1),"")</f>
        <v>1348</v>
      </c>
      <c r="S26" s="1065">
        <f>IF(Cdlac[[#This Row],[Quantity]]&gt;0,MAX(0,Cdlac[[#This Row],[Fair Market Rent]]-IF(AND($G$37,$G$38,$G$38&lt;&gt;"",NOT(Cdlac[[#This Row],[Federal]]),Cdlac[[#This Row],[Preservation Rent]]&lt;&gt;""),Cdlac[[#This Row],[Preservation Rent]],Cdlac[[#This Row],[Restricted Rent]])),"")</f>
        <v>200.79999999999995</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18</v>
      </c>
      <c r="F27" s="1075">
        <f>MIN(E27,ROUNDDOWN(E29*30%,0))</f>
        <v>18</v>
      </c>
      <c r="G27" s="1072">
        <f>D27*F27</f>
        <v>27</v>
      </c>
      <c r="H27" s="1074"/>
      <c r="I27" s="1074"/>
      <c r="L27" s="1044">
        <f>IFERROR(MIN(4,MATCH(Application!B725,UnitSizes,0)-1),"")</f>
        <v>1</v>
      </c>
      <c r="M27" s="1065">
        <f>Application!G725</f>
        <v>1</v>
      </c>
      <c r="N27" s="1071">
        <f>Application!AC725</f>
        <v>0.8</v>
      </c>
      <c r="O27" s="1071">
        <f>IF(Cdlac[[#This Row],[Quantity]]&gt;0,IF(Cdlac[[#This Row],[Federal]],30%,IF(AND(OR(NOT($G$38),$G$38=""),$G$43),40%,Cdlac[[#This Row],[iAMI]])),"")</f>
        <v>0.8</v>
      </c>
      <c r="P27" s="1065" cm="1">
        <f t="array" ref="P27">IF(Cdlac[[#This Row],[Quantity]]&gt;0,INDEX(TcacRents,$P$18,Cdlac[[#This Row],[Bedrooms]]+1)*Cdlac[[#This Row],[AMI]],"")</f>
        <v>1529.6000000000001</v>
      </c>
      <c r="Q27" s="1164"/>
      <c r="R27" s="1065" cm="1">
        <f t="array" ref="R27">IF(Cdlac[[#This Row],[Quantity]]&gt;0,INDEX(HudFmrs,$P$18,Cdlac[[#This Row],[Bedrooms]]+1),"")</f>
        <v>1348</v>
      </c>
      <c r="S27" s="1065">
        <f>IF(Cdlac[[#This Row],[Quantity]]&gt;0,MAX(0,Cdlac[[#This Row],[Fair Market Rent]]-IF(AND($G$37,$G$38,$G$38&lt;&gt;"",NOT(Cdlac[[#This Row],[Federal]]),Cdlac[[#This Row],[Preservation Rent]]&lt;&gt;""),Cdlac[[#This Row],[Preservation Rent]],Cdlac[[#This Row],[Restricted Rent]])),"")</f>
        <v>0</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688.19999999999993</v>
      </c>
      <c r="Q28" s="1164"/>
      <c r="R28" s="1065" cm="1">
        <f t="array" ref="R28">IF(Cdlac[[#This Row],[Quantity]]&gt;0,INDEX(HudFmrs,$P$18,Cdlac[[#This Row],[Bedrooms]]+1),"")</f>
        <v>1493</v>
      </c>
      <c r="S28" s="1065">
        <f>IF(Cdlac[[#This Row],[Quantity]]&gt;0,MAX(0,Cdlac[[#This Row],[Fair Market Rent]]-IF(AND($G$37,$G$38,$G$38&lt;&gt;"",NOT(Cdlac[[#This Row],[Federal]]),Cdlac[[#This Row],[Preservation Rent]]&lt;&gt;""),Cdlac[[#This Row],[Preservation Rent]],Cdlac[[#This Row],[Restricted Rent]])),"")</f>
        <v>804.80000000000007</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6" t="s">
        <v>1584</v>
      </c>
      <c r="D29" s="2657"/>
      <c r="E29" s="1089">
        <f>SUM(E24:E28)</f>
        <v>72</v>
      </c>
      <c r="F29" s="1089">
        <f>SUM(F24:F28)</f>
        <v>72</v>
      </c>
      <c r="G29" s="1090">
        <f>SUMPRODUCT(D24:D28,F24:F28)</f>
        <v>86.25</v>
      </c>
      <c r="H29" s="1074"/>
      <c r="I29" s="1074"/>
      <c r="L29" s="1044">
        <f>IFERROR(MIN(4,MATCH(Application!B727,UnitSizes,0)-1),"")</f>
        <v>2</v>
      </c>
      <c r="M29" s="1065">
        <f>Application!G727</f>
        <v>2</v>
      </c>
      <c r="N29" s="1071">
        <f>Application!AC727</f>
        <v>0.5</v>
      </c>
      <c r="O29" s="1071">
        <f>IF(Cdlac[[#This Row],[Quantity]]&gt;0,IF(Cdlac[[#This Row],[Federal]],30%,IF(AND(OR(NOT($G$38),$G$38=""),$G$43),40%,Cdlac[[#This Row],[iAMI]])),"")</f>
        <v>0.5</v>
      </c>
      <c r="P29" s="1065" cm="1">
        <f t="array" ref="P29">IF(Cdlac[[#This Row],[Quantity]]&gt;0,INDEX(TcacRents,$P$18,Cdlac[[#This Row],[Bedrooms]]+1)*Cdlac[[#This Row],[AMI]],"")</f>
        <v>1147</v>
      </c>
      <c r="Q29" s="1164"/>
      <c r="R29" s="1065" cm="1">
        <f t="array" ref="R29">IF(Cdlac[[#This Row],[Quantity]]&gt;0,INDEX(HudFmrs,$P$18,Cdlac[[#This Row],[Bedrooms]]+1),"")</f>
        <v>1493</v>
      </c>
      <c r="S29" s="1065">
        <f>IF(Cdlac[[#This Row],[Quantity]]&gt;0,MAX(0,Cdlac[[#This Row],[Fair Market Rent]]-IF(AND($G$37,$G$38,$G$38&lt;&gt;"",NOT(Cdlac[[#This Row],[Federal]]),Cdlac[[#This Row],[Preservation Rent]]&lt;&gt;""),Cdlac[[#This Row],[Preservation Rent]],Cdlac[[#This Row],[Restricted Rent]])),"")</f>
        <v>346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10</v>
      </c>
      <c r="N30" s="1071">
        <f>Application!AC728</f>
        <v>0.6</v>
      </c>
      <c r="O30" s="1071">
        <f>IF(Cdlac[[#This Row],[Quantity]]&gt;0,IF(Cdlac[[#This Row],[Federal]],30%,IF(AND(OR(NOT($G$38),$G$38=""),$G$43),40%,Cdlac[[#This Row],[iAMI]])),"")</f>
        <v>0.6</v>
      </c>
      <c r="P30" s="1065" cm="1">
        <f t="array" ref="P30">IF(Cdlac[[#This Row],[Quantity]]&gt;0,INDEX(TcacRents,$P$18,Cdlac[[#This Row],[Bedrooms]]+1)*Cdlac[[#This Row],[AMI]],"")</f>
        <v>1376.3999999999999</v>
      </c>
      <c r="Q30" s="1164"/>
      <c r="R30" s="1065" cm="1">
        <f t="array" ref="R30">IF(Cdlac[[#This Row],[Quantity]]&gt;0,INDEX(HudFmrs,$P$18,Cdlac[[#This Row],[Bedrooms]]+1),"")</f>
        <v>1493</v>
      </c>
      <c r="S30" s="1065">
        <f>IF(Cdlac[[#This Row],[Quantity]]&gt;0,MAX(0,Cdlac[[#This Row],[Fair Market Rent]]-IF(AND($G$37,$G$38,$G$38&lt;&gt;"",NOT(Cdlac[[#This Row],[Federal]]),Cdlac[[#This Row],[Preservation Rent]]&lt;&gt;""),Cdlac[[#This Row],[Preservation Rent]],Cdlac[[#This Row],[Restricted Rent]])),"")</f>
        <v>116.60000000000014</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86.25</v>
      </c>
      <c r="H31" s="1074"/>
      <c r="I31" s="1074"/>
      <c r="L31" s="1044">
        <f>IFERROR(MIN(4,MATCH(Application!B729,UnitSizes,0)-1),"")</f>
        <v>2</v>
      </c>
      <c r="M31" s="1065">
        <f>Application!G729</f>
        <v>11</v>
      </c>
      <c r="N31" s="1071">
        <f>Application!AC729</f>
        <v>0.8</v>
      </c>
      <c r="O31" s="1071">
        <f>IF(Cdlac[[#This Row],[Quantity]]&gt;0,IF(Cdlac[[#This Row],[Federal]],30%,IF(AND(OR(NOT($G$38),$G$38=""),$G$43),40%,Cdlac[[#This Row],[iAMI]])),"")</f>
        <v>0.8</v>
      </c>
      <c r="P31" s="1065" cm="1">
        <f t="array" ref="P31">IF(Cdlac[[#This Row],[Quantity]]&gt;0,INDEX(TcacRents,$P$18,Cdlac[[#This Row],[Bedrooms]]+1)*Cdlac[[#This Row],[AMI]],"")</f>
        <v>1835.2</v>
      </c>
      <c r="Q31" s="1164"/>
      <c r="R31" s="1065" cm="1">
        <f t="array" ref="R31">IF(Cdlac[[#This Row],[Quantity]]&gt;0,INDEX(HudFmrs,$P$18,Cdlac[[#This Row],[Bedrooms]]+1),"")</f>
        <v>1493</v>
      </c>
      <c r="S31" s="1065">
        <f>IF(Cdlac[[#This Row],[Quantity]]&gt;0,MAX(0,Cdlac[[#This Row],[Fair Market Rent]]-IF(AND($G$37,$G$38,$G$38&lt;&gt;"",NOT(Cdlac[[#This Row],[Federal]]),Cdlac[[#This Row],[Preservation Rent]]&lt;&gt;""),Cdlac[[#This Row],[Preservation Rent]],Cdlac[[#This Row],[Restricted Rent]])),"")</f>
        <v>0</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3</v>
      </c>
      <c r="M32" s="1065">
        <f>Application!G730</f>
        <v>1</v>
      </c>
      <c r="N32" s="1071">
        <f>Application!AC730</f>
        <v>0.3</v>
      </c>
      <c r="O32" s="1071">
        <f>IF(Cdlac[[#This Row],[Quantity]]&gt;0,IF(Cdlac[[#This Row],[Federal]],30%,IF(AND(OR(NOT($G$38),$G$38=""),$G$43),40%,Cdlac[[#This Row],[iAMI]])),"")</f>
        <v>0.3</v>
      </c>
      <c r="P32" s="1065" cm="1">
        <f t="array" ref="P32">IF(Cdlac[[#This Row],[Quantity]]&gt;0,INDEX(TcacRents,$P$18,Cdlac[[#This Row],[Bedrooms]]+1)*Cdlac[[#This Row],[AMI]],"")</f>
        <v>795.6</v>
      </c>
      <c r="Q32" s="1164"/>
      <c r="R32" s="1065" cm="1">
        <f t="array" ref="R32">IF(Cdlac[[#This Row],[Quantity]]&gt;0,INDEX(HudFmrs,$P$18,Cdlac[[#This Row],[Bedrooms]]+1),"")</f>
        <v>2092</v>
      </c>
      <c r="S32" s="1065">
        <f>IF(Cdlac[[#This Row],[Quantity]]&gt;0,MAX(0,Cdlac[[#This Row],[Fair Market Rent]]-IF(AND($G$37,$G$38,$G$38&lt;&gt;"",NOT(Cdlac[[#This Row],[Federal]]),Cdlac[[#This Row],[Preservation Rent]]&lt;&gt;""),Cdlac[[#This Row],[Preservation Rent]],Cdlac[[#This Row],[Restricted Rent]])),"")</f>
        <v>1296.4000000000001</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1976</v>
      </c>
      <c r="F33" s="1046"/>
      <c r="G33" s="1119">
        <f>G32*G31</f>
        <v>4312500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1326</v>
      </c>
      <c r="Q33" s="1164"/>
      <c r="R33" s="1065" cm="1">
        <f t="array" ref="R33">IF(Cdlac[[#This Row],[Quantity]]&gt;0,INDEX(HudFmrs,$P$18,Cdlac[[#This Row],[Bedrooms]]+1),"")</f>
        <v>2092</v>
      </c>
      <c r="S33" s="1065">
        <f>IF(Cdlac[[#This Row],[Quantity]]&gt;0,MAX(0,Cdlac[[#This Row],[Fair Market Rent]]-IF(AND($G$37,$G$38,$G$38&lt;&gt;"",NOT(Cdlac[[#This Row],[Federal]]),Cdlac[[#This Row],[Preservation Rent]]&lt;&gt;""),Cdlac[[#This Row],[Preservation Rent]],Cdlac[[#This Row],[Restricted Rent]])),"")</f>
        <v>766</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8</v>
      </c>
      <c r="N34" s="1071">
        <f>Application!AC732</f>
        <v>0.6</v>
      </c>
      <c r="O34" s="1071">
        <f>IF(Cdlac[[#This Row],[Quantity]]&gt;0,IF(Cdlac[[#This Row],[Federal]],30%,IF(AND(OR(NOT($G$38),$G$38=""),$G$43),40%,Cdlac[[#This Row],[iAMI]])),"")</f>
        <v>0.6</v>
      </c>
      <c r="P34" s="1065" cm="1">
        <f t="array" ref="P34">IF(Cdlac[[#This Row],[Quantity]]&gt;0,INDEX(TcacRents,$P$18,Cdlac[[#This Row],[Bedrooms]]+1)*Cdlac[[#This Row],[AMI]],"")</f>
        <v>1591.2</v>
      </c>
      <c r="Q34" s="1164"/>
      <c r="R34" s="1065" cm="1">
        <f t="array" ref="R34">IF(Cdlac[[#This Row],[Quantity]]&gt;0,INDEX(HudFmrs,$P$18,Cdlac[[#This Row],[Bedrooms]]+1),"")</f>
        <v>2092</v>
      </c>
      <c r="S34" s="1065">
        <f>IF(Cdlac[[#This Row],[Quantity]]&gt;0,MAX(0,Cdlac[[#This Row],[Fair Market Rent]]-IF(AND($G$37,$G$38,$G$38&lt;&gt;"",NOT(Cdlac[[#This Row],[Federal]]),Cdlac[[#This Row],[Preservation Rent]]&lt;&gt;""),Cdlac[[#This Row],[Preservation Rent]],Cdlac[[#This Row],[Restricted Rent]])),"")</f>
        <v>500.79999999999995</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8</v>
      </c>
      <c r="N35" s="1071">
        <f>Application!AC733</f>
        <v>0.8</v>
      </c>
      <c r="O35" s="1071">
        <f>IF(Cdlac[[#This Row],[Quantity]]&gt;0,IF(Cdlac[[#This Row],[Federal]],30%,IF(AND(OR(NOT($G$38),$G$38=""),$G$43),40%,Cdlac[[#This Row],[iAMI]])),"")</f>
        <v>0.8</v>
      </c>
      <c r="P35" s="1065" cm="1">
        <f t="array" ref="P35">IF(Cdlac[[#This Row],[Quantity]]&gt;0,INDEX(TcacRents,$P$18,Cdlac[[#This Row],[Bedrooms]]+1)*Cdlac[[#This Row],[AMI]],"")</f>
        <v>2121.6</v>
      </c>
      <c r="Q35" s="1164"/>
      <c r="R35" s="1065" cm="1">
        <f t="array" ref="R35">IF(Cdlac[[#This Row],[Quantity]]&gt;0,INDEX(HudFmrs,$P$18,Cdlac[[#This Row],[Bedrooms]]+1),"")</f>
        <v>2092</v>
      </c>
      <c r="S35" s="1065">
        <f>IF(Cdlac[[#This Row],[Quantity]]&gt;0,MAX(0,Cdlac[[#This Row],[Fair Market Rent]]-IF(AND($G$37,$G$38,$G$38&lt;&gt;"",NOT(Cdlac[[#This Row],[Federal]]),Cdlac[[#This Row],[Preservation Rent]]&lt;&gt;""),Cdlac[[#This Row],[Preservation Rent]],Cdlac[[#This Row],[Restricted Rent]])),"")</f>
        <v>0</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2256</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2257</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0.55694444444444435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23048.400000000001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4148712.0000000005</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36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22</v>
      </c>
    </row>
    <row r="61" spans="2:21" ht="15" customHeight="1">
      <c r="E61" s="1117" t="s">
        <v>1992</v>
      </c>
      <c r="G61" s="1079">
        <f>ROUNDDOWN(E29*50%,0)</f>
        <v>36</v>
      </c>
    </row>
    <row r="62" spans="2:21" ht="15" customHeight="1">
      <c r="E62" s="1117"/>
      <c r="G62" s="1079"/>
    </row>
    <row r="63" spans="2:21" ht="15" customHeight="1">
      <c r="E63" s="1117" t="s">
        <v>1952</v>
      </c>
      <c r="G63" s="1114">
        <f>MIN(G60:G61)</f>
        <v>22</v>
      </c>
    </row>
    <row r="64" spans="2:21" ht="15" customHeight="1">
      <c r="E64" s="1117" t="s">
        <v>1942</v>
      </c>
      <c r="F64" s="1113" t="s">
        <v>1990</v>
      </c>
      <c r="G64" s="1124">
        <v>20000</v>
      </c>
    </row>
    <row r="65" spans="2:14" ht="15" customHeight="1">
      <c r="E65" s="1118" t="s">
        <v>1974</v>
      </c>
      <c r="F65" s="1046"/>
      <c r="G65" s="1123">
        <f>G63*G64</f>
        <v>440000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544</v>
      </c>
    </row>
    <row r="70" spans="2:14" ht="15" customHeight="1">
      <c r="C70" s="1077" t="s">
        <v>1979</v>
      </c>
      <c r="G70" s="1081" t="str">
        <f>IF(Application!D211="Large Family","Yes","No")</f>
        <v>Yes</v>
      </c>
    </row>
    <row r="71" spans="2:14" ht="15" customHeight="1" thickBot="1">
      <c r="C71" s="1077" t="s">
        <v>1965</v>
      </c>
      <c r="G71" s="1043" t="s">
        <v>667</v>
      </c>
    </row>
    <row r="72" spans="2:14" ht="15" customHeight="1">
      <c r="C72" s="1077" t="s">
        <v>1966</v>
      </c>
      <c r="G72" s="1044" t="str">
        <f>Application!T193</f>
        <v>High Resource</v>
      </c>
      <c r="L72" s="2667" t="s">
        <v>1967</v>
      </c>
      <c r="M72" s="2668"/>
      <c r="N72" s="1131">
        <v>30000</v>
      </c>
    </row>
    <row r="73" spans="2:14" ht="15" customHeight="1">
      <c r="C73" s="2669" t="s">
        <v>2259</v>
      </c>
      <c r="D73" s="2669"/>
      <c r="E73" s="2669"/>
      <c r="F73" s="2669"/>
      <c r="G73" s="1043" t="s">
        <v>667</v>
      </c>
      <c r="L73" s="2678" t="s">
        <v>1935</v>
      </c>
      <c r="M73" s="2679"/>
      <c r="N73" s="1132">
        <v>20000</v>
      </c>
    </row>
    <row r="74" spans="2:14" ht="15" customHeight="1" thickBot="1">
      <c r="C74" s="2669"/>
      <c r="D74" s="2669"/>
      <c r="E74" s="2669"/>
      <c r="F74" s="2669"/>
      <c r="L74" s="2680" t="s">
        <v>1968</v>
      </c>
      <c r="M74" s="2681"/>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20000</v>
      </c>
    </row>
    <row r="79" spans="2:14" ht="15" customHeight="1">
      <c r="E79" s="1084" t="str">
        <f>E96</f>
        <v>Bedroom-Adjusted Low-Income Units</v>
      </c>
      <c r="F79" s="1113" t="s">
        <v>1990</v>
      </c>
      <c r="G79" s="1114">
        <f>G29</f>
        <v>86.25</v>
      </c>
    </row>
    <row r="80" spans="2:14" ht="15" customHeight="1">
      <c r="D80" s="1046"/>
      <c r="E80" s="1118" t="s">
        <v>2264</v>
      </c>
      <c r="F80" s="1046"/>
      <c r="G80" s="1123">
        <f>G79*G78*G76</f>
        <v>1725000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667</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86.25</v>
      </c>
    </row>
    <row r="89" spans="2:9" ht="15" customHeight="1">
      <c r="E89" s="1084" t="s">
        <v>1942</v>
      </c>
      <c r="F89" s="1113" t="s">
        <v>1990</v>
      </c>
      <c r="G89" s="1050">
        <v>20000</v>
      </c>
    </row>
    <row r="90" spans="2:9" ht="15" customHeight="1">
      <c r="E90" s="1118" t="s">
        <v>2268</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4</v>
      </c>
    </row>
    <row r="95" spans="2:9" ht="15" customHeight="1">
      <c r="E95" s="1084" t="s">
        <v>1942</v>
      </c>
      <c r="F95" s="1113" t="s">
        <v>1990</v>
      </c>
      <c r="G95" s="1076">
        <v>4000</v>
      </c>
    </row>
    <row r="96" spans="2:9" ht="15" customHeight="1" thickBot="1">
      <c r="E96" s="1084" t="s">
        <v>1994</v>
      </c>
      <c r="F96" s="1113" t="s">
        <v>1990</v>
      </c>
      <c r="G96" s="1126">
        <f>G29</f>
        <v>86.25</v>
      </c>
    </row>
    <row r="97" spans="2:14" ht="15" customHeight="1">
      <c r="E97" s="1118" t="s">
        <v>1959</v>
      </c>
      <c r="F97" s="1046"/>
      <c r="G97" s="1123">
        <f>G94*G95*G96</f>
        <v>1380000</v>
      </c>
      <c r="L97" s="1127" t="str">
        <f>'Points System'!H638</f>
        <v>(i)</v>
      </c>
      <c r="M97" s="2686" t="s">
        <v>1403</v>
      </c>
      <c r="N97" s="2687"/>
    </row>
    <row r="98" spans="2:14" ht="15" customHeight="1">
      <c r="C98" s="1077"/>
      <c r="G98" s="1114"/>
      <c r="L98" s="1128" t="str">
        <f>'Points System'!H650</f>
        <v>(i)</v>
      </c>
      <c r="M98" s="2682" t="s">
        <v>1954</v>
      </c>
      <c r="N98" s="2683"/>
    </row>
    <row r="99" spans="2:14" ht="15" customHeight="1">
      <c r="E99" s="1084" t="s">
        <v>1995</v>
      </c>
      <c r="G99" s="1126">
        <f>COUNTIFS(L97:L104,"(i)")</f>
        <v>6</v>
      </c>
      <c r="L99" s="1128" t="str">
        <f>'Points System'!H685</f>
        <v>(i)</v>
      </c>
      <c r="M99" s="2682" t="s">
        <v>1955</v>
      </c>
      <c r="N99" s="2683"/>
    </row>
    <row r="100" spans="2:14" ht="15" customHeight="1">
      <c r="E100" s="1084" t="s">
        <v>1942</v>
      </c>
      <c r="F100" s="1113" t="s">
        <v>1990</v>
      </c>
      <c r="G100" s="1124">
        <v>4000</v>
      </c>
      <c r="L100" s="1128" t="str">
        <f>IF(OR('Points System'!H709="(ii)",'Points System'!H709="(i)"),"(i)","N/A")</f>
        <v>(i)</v>
      </c>
      <c r="M100" s="2682" t="s">
        <v>1956</v>
      </c>
      <c r="N100" s="2683"/>
    </row>
    <row r="101" spans="2:14" ht="15" customHeight="1">
      <c r="E101" s="1118" t="s">
        <v>1960</v>
      </c>
      <c r="F101" s="1046"/>
      <c r="G101" s="1123">
        <f>G96*G99*G100</f>
        <v>2070000</v>
      </c>
      <c r="L101" s="1129" t="str">
        <f>'Points System'!H723</f>
        <v>N/A</v>
      </c>
      <c r="M101" s="2682" t="s">
        <v>1429</v>
      </c>
      <c r="N101" s="2683"/>
    </row>
    <row r="102" spans="2:14" ht="15" customHeight="1">
      <c r="L102" s="1128" t="str">
        <f>'Points System'!H735</f>
        <v>N/A</v>
      </c>
      <c r="M102" s="2682" t="s">
        <v>1957</v>
      </c>
      <c r="N102" s="2683"/>
    </row>
    <row r="103" spans="2:14" ht="15" customHeight="1">
      <c r="C103" s="1080" t="s">
        <v>1962</v>
      </c>
      <c r="L103" s="1128" t="str">
        <f>'Points System'!H751</f>
        <v>(i)</v>
      </c>
      <c r="M103" s="2682" t="s">
        <v>1958</v>
      </c>
      <c r="N103" s="2683"/>
    </row>
    <row r="104" spans="2:14" ht="15" customHeight="1" thickBot="1">
      <c r="C104" s="1077" t="s">
        <v>1963</v>
      </c>
      <c r="G104" s="1043"/>
      <c r="L104" s="1130" t="str">
        <f>'Points System'!H763</f>
        <v>(i)</v>
      </c>
      <c r="M104" s="2684" t="s">
        <v>1432</v>
      </c>
      <c r="N104" s="2685"/>
    </row>
    <row r="105" spans="2:14" ht="15" customHeight="1">
      <c r="C105" s="1077" t="s">
        <v>1964</v>
      </c>
      <c r="G105" s="1043"/>
    </row>
    <row r="106" spans="2:14" ht="15" customHeight="1">
      <c r="C106" s="1077" t="s">
        <v>2137</v>
      </c>
      <c r="G106" s="1043"/>
    </row>
    <row r="107" spans="2:14" ht="15" customHeight="1">
      <c r="C107" s="1077" t="s">
        <v>2138</v>
      </c>
      <c r="G107" s="1043"/>
    </row>
    <row r="108" spans="2:14" ht="15" customHeight="1"/>
    <row r="109" spans="2:14" ht="15" customHeight="1">
      <c r="B109" s="1078"/>
      <c r="C109" s="1077"/>
      <c r="E109" s="1084" t="s">
        <v>1997</v>
      </c>
      <c r="G109" s="1079" t="b">
        <f>COUNTIFS(G104:G107,"Yes")&gt;=1</f>
        <v>0</v>
      </c>
    </row>
    <row r="110" spans="2:14" ht="15" customHeight="1">
      <c r="E110" s="1077"/>
    </row>
    <row r="111" spans="2:14" ht="15" customHeight="1">
      <c r="E111" s="1084" t="s">
        <v>1994</v>
      </c>
      <c r="F111" s="1113" t="s">
        <v>1990</v>
      </c>
      <c r="G111" s="1114">
        <f>G29</f>
        <v>86.25</v>
      </c>
    </row>
    <row r="112" spans="2:14" ht="15" customHeight="1">
      <c r="E112" s="1084" t="s">
        <v>1942</v>
      </c>
      <c r="F112" s="1113" t="s">
        <v>1990</v>
      </c>
      <c r="G112" s="1124">
        <v>25000</v>
      </c>
    </row>
    <row r="113" spans="2:9" ht="15" customHeight="1">
      <c r="E113" s="1118" t="s">
        <v>1961</v>
      </c>
      <c r="F113" s="1046"/>
      <c r="G113" s="1123">
        <f>G109*G112*G96</f>
        <v>0</v>
      </c>
    </row>
    <row r="114" spans="2:9" ht="15" customHeight="1">
      <c r="C114" s="1077"/>
      <c r="E114" s="1077"/>
    </row>
    <row r="115" spans="2:9" ht="15" customHeight="1">
      <c r="E115" s="1118" t="s">
        <v>2269</v>
      </c>
      <c r="G115" s="1123">
        <f>G113+G101+G97</f>
        <v>3450000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2224</v>
      </c>
      <c r="D119" s="2658"/>
      <c r="E119" s="2658"/>
      <c r="F119" s="2658"/>
    </row>
    <row r="120" spans="2:9" ht="15" customHeight="1">
      <c r="C120" s="2658"/>
      <c r="D120" s="2658"/>
      <c r="E120" s="2658"/>
      <c r="F120" s="2658"/>
      <c r="G120" s="1043" t="s">
        <v>544</v>
      </c>
    </row>
    <row r="121" spans="2:9" ht="15" customHeight="1"/>
    <row r="122" spans="2:9" ht="15" customHeight="1">
      <c r="C122" s="1044" t="s">
        <v>2226</v>
      </c>
      <c r="G122" s="2660" t="s">
        <v>2759</v>
      </c>
      <c r="H122" s="2660"/>
    </row>
    <row r="123" spans="2:9" ht="15" customHeight="1">
      <c r="G123" s="2660"/>
      <c r="H123" s="2660"/>
    </row>
    <row r="124" spans="2:9" ht="15" customHeight="1">
      <c r="G124" s="2661"/>
      <c r="H124" s="2661"/>
    </row>
    <row r="125" spans="2:9" ht="15" customHeight="1">
      <c r="G125" s="1160"/>
      <c r="H125" s="1160"/>
    </row>
    <row r="126" spans="2:9" ht="15" customHeight="1">
      <c r="B126" s="1066" t="s">
        <v>1999</v>
      </c>
      <c r="C126" s="1067"/>
      <c r="D126" s="1067"/>
      <c r="E126" s="1067"/>
      <c r="F126" s="1067"/>
      <c r="G126" s="1067"/>
      <c r="H126" s="1067"/>
      <c r="I126" s="1068"/>
    </row>
    <row r="128" spans="2:9">
      <c r="E128" s="1084" t="s">
        <v>581</v>
      </c>
      <c r="G128" s="1044" t="str">
        <f>IF(Application!T189="","",Application!T189)</f>
        <v>Mono</v>
      </c>
    </row>
    <row r="129" spans="2:9">
      <c r="E129" s="1084"/>
      <c r="G129" s="1078"/>
    </row>
    <row r="130" spans="2:9">
      <c r="E130" s="1084" t="str">
        <f>"2-Bedroom "&amp;G128&amp;" County Basis Limit"</f>
        <v>2-Bedroom Mono County Basis Limit</v>
      </c>
      <c r="G130" s="1078">
        <f>Application!R988</f>
        <v>489600</v>
      </c>
    </row>
    <row r="131" spans="2:9">
      <c r="E131" s="1084" t="s">
        <v>1998</v>
      </c>
      <c r="G131" s="1078">
        <f>MEDIAN((Application!CU160:CU217))</f>
        <v>489600</v>
      </c>
    </row>
    <row r="132" spans="2:9" ht="14.5">
      <c r="D132" s="1046"/>
      <c r="E132" s="1118" t="s">
        <v>2000</v>
      </c>
      <c r="F132" s="1134"/>
      <c r="G132" s="1135">
        <f>((G130-G131)/G131)*0.25</f>
        <v>0</v>
      </c>
      <c r="H132" s="1042"/>
      <c r="I132" s="1042"/>
    </row>
    <row r="133" spans="2:9">
      <c r="D133" s="1045"/>
      <c r="E133" s="1045"/>
    </row>
    <row r="134" spans="2:9" ht="14.5">
      <c r="B134" s="1066" t="s">
        <v>2270</v>
      </c>
      <c r="C134" s="1067"/>
      <c r="D134" s="1067"/>
      <c r="E134" s="1067"/>
      <c r="F134" s="1067"/>
      <c r="G134" s="1067"/>
      <c r="H134" s="1067"/>
      <c r="I134" s="1068"/>
    </row>
    <row r="136" spans="2:9">
      <c r="E136" s="1084" t="s">
        <v>2256</v>
      </c>
      <c r="G136" s="1044" t="b">
        <f>G37</f>
        <v>0</v>
      </c>
    </row>
    <row r="137" spans="2:9">
      <c r="E137" s="1084" t="s">
        <v>2271</v>
      </c>
      <c r="G137" s="1044" t="b">
        <f>OR('Points System'!B52="Yes", 'Points System'!B56="Yes",'Points System'!B58="Yes")</f>
        <v>0</v>
      </c>
    </row>
    <row r="138" spans="2:9">
      <c r="C138" s="2653" t="s">
        <v>2272</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2274</v>
      </c>
      <c r="G141" s="1169"/>
    </row>
    <row r="143" spans="2:9">
      <c r="E143" s="1084" t="s">
        <v>2276</v>
      </c>
      <c r="G143" s="1168">
        <f>IF(I9=0,0,G141/I9)</f>
        <v>0</v>
      </c>
    </row>
    <row r="144" spans="2:9">
      <c r="E144" s="1084" t="s">
        <v>2273</v>
      </c>
      <c r="G144" s="1166">
        <f>I9*0.15</f>
        <v>2400000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08984375" defaultRowHeight="14.25"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08984375" style="304"/>
  </cols>
  <sheetData>
    <row r="1" spans="1:12">
      <c r="A1" s="2688" t="s">
        <v>907</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6">
      <c r="A3" s="426" t="s">
        <v>908</v>
      </c>
      <c r="B3" s="426" t="s">
        <v>2251</v>
      </c>
      <c r="C3" s="426" t="s">
        <v>2252</v>
      </c>
      <c r="D3" s="1146" t="s">
        <v>2253</v>
      </c>
      <c r="E3" s="204"/>
      <c r="F3" s="1146" t="s">
        <v>909</v>
      </c>
      <c r="G3" s="426" t="s">
        <v>910</v>
      </c>
      <c r="H3" s="427"/>
      <c r="I3" s="426" t="s">
        <v>911</v>
      </c>
      <c r="J3" s="426" t="s">
        <v>912</v>
      </c>
      <c r="K3" s="204"/>
      <c r="L3" s="305"/>
    </row>
    <row r="4" spans="1:12">
      <c r="A4" s="428" t="str">
        <f>Application!B718</f>
        <v>SRO/Studio</v>
      </c>
      <c r="B4" s="1082">
        <f>Application!G718</f>
        <v>10</v>
      </c>
      <c r="C4" s="1162"/>
      <c r="D4" s="428">
        <f>Application!O718</f>
        <v>483</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2</v>
      </c>
      <c r="C5" s="1162"/>
      <c r="D5" s="428">
        <f>Application!O719</f>
        <v>840</v>
      </c>
      <c r="E5" s="429"/>
      <c r="F5" s="1083"/>
      <c r="G5" s="428">
        <f t="shared" ref="G5:G38" si="2">F5*B5</f>
        <v>0</v>
      </c>
      <c r="H5" s="429"/>
      <c r="I5" s="428" t="str">
        <f t="shared" si="0"/>
        <v/>
      </c>
      <c r="J5" s="428" t="str">
        <f t="shared" si="1"/>
        <v/>
      </c>
      <c r="K5" s="204"/>
      <c r="L5" s="305"/>
    </row>
    <row r="6" spans="1:12">
      <c r="A6" s="428" t="str">
        <f>Application!B720</f>
        <v>SRO/Studio</v>
      </c>
      <c r="B6" s="1082">
        <f>Application!G720</f>
        <v>2</v>
      </c>
      <c r="C6" s="1162"/>
      <c r="D6" s="428">
        <f>Application!O720</f>
        <v>1019</v>
      </c>
      <c r="E6" s="429"/>
      <c r="F6" s="1083"/>
      <c r="G6" s="428">
        <f t="shared" si="2"/>
        <v>0</v>
      </c>
      <c r="H6" s="429"/>
      <c r="I6" s="428" t="str">
        <f t="shared" si="0"/>
        <v/>
      </c>
      <c r="J6" s="428" t="str">
        <f t="shared" si="1"/>
        <v/>
      </c>
      <c r="K6" s="204"/>
      <c r="L6" s="305"/>
    </row>
    <row r="7" spans="1:12">
      <c r="A7" s="428" t="str">
        <f>Application!B721</f>
        <v>SRO/Studio</v>
      </c>
      <c r="B7" s="1082">
        <f>Application!G721</f>
        <v>1</v>
      </c>
      <c r="C7" s="1162"/>
      <c r="D7" s="428">
        <f>Application!O721</f>
        <v>1376</v>
      </c>
      <c r="E7" s="429"/>
      <c r="F7" s="1083"/>
      <c r="G7" s="428">
        <f t="shared" si="2"/>
        <v>0</v>
      </c>
      <c r="H7" s="429"/>
      <c r="I7" s="428" t="str">
        <f t="shared" si="0"/>
        <v/>
      </c>
      <c r="J7" s="428" t="str">
        <f t="shared" si="1"/>
        <v/>
      </c>
      <c r="K7" s="204"/>
      <c r="L7" s="305"/>
    </row>
    <row r="8" spans="1:12">
      <c r="A8" s="428" t="str">
        <f>Application!B722</f>
        <v>1 Bedroom</v>
      </c>
      <c r="B8" s="1082">
        <f>Application!G722</f>
        <v>7</v>
      </c>
      <c r="C8" s="1162"/>
      <c r="D8" s="428">
        <f>Application!O722</f>
        <v>504</v>
      </c>
      <c r="E8" s="429"/>
      <c r="F8" s="1083"/>
      <c r="G8" s="428">
        <f t="shared" si="2"/>
        <v>0</v>
      </c>
      <c r="H8" s="429"/>
      <c r="I8" s="428" t="str">
        <f t="shared" si="0"/>
        <v/>
      </c>
      <c r="J8" s="428" t="str">
        <f t="shared" si="1"/>
        <v/>
      </c>
      <c r="K8" s="204"/>
      <c r="L8" s="305"/>
    </row>
    <row r="9" spans="1:12">
      <c r="A9" s="428" t="str">
        <f>Application!B723</f>
        <v>1 Bedroom</v>
      </c>
      <c r="B9" s="1082">
        <f>Application!G723</f>
        <v>2</v>
      </c>
      <c r="C9" s="1162"/>
      <c r="D9" s="428">
        <f>Application!O723</f>
        <v>886</v>
      </c>
      <c r="E9" s="429"/>
      <c r="F9" s="1083"/>
      <c r="G9" s="428">
        <f t="shared" si="2"/>
        <v>0</v>
      </c>
      <c r="H9" s="429"/>
      <c r="I9" s="428" t="str">
        <f t="shared" si="0"/>
        <v/>
      </c>
      <c r="J9" s="428" t="str">
        <f t="shared" si="1"/>
        <v/>
      </c>
      <c r="K9" s="204"/>
      <c r="L9" s="305"/>
    </row>
    <row r="10" spans="1:12">
      <c r="A10" s="428" t="str">
        <f>Application!B724</f>
        <v>1 Bedroom</v>
      </c>
      <c r="B10" s="1082">
        <f>Application!G724</f>
        <v>2</v>
      </c>
      <c r="C10" s="1162"/>
      <c r="D10" s="428">
        <f>Application!O724</f>
        <v>1078</v>
      </c>
      <c r="E10" s="429"/>
      <c r="F10" s="1083"/>
      <c r="G10" s="428">
        <f t="shared" si="2"/>
        <v>0</v>
      </c>
      <c r="H10" s="429"/>
      <c r="I10" s="428" t="str">
        <f t="shared" si="0"/>
        <v/>
      </c>
      <c r="J10" s="428" t="str">
        <f t="shared" si="1"/>
        <v/>
      </c>
      <c r="K10" s="204"/>
      <c r="L10" s="305"/>
    </row>
    <row r="11" spans="1:12">
      <c r="A11" s="428" t="str">
        <f>Application!B725</f>
        <v>1 Bedroom</v>
      </c>
      <c r="B11" s="1082">
        <f>Application!G725</f>
        <v>1</v>
      </c>
      <c r="C11" s="1162"/>
      <c r="D11" s="428">
        <f>Application!O725</f>
        <v>1461</v>
      </c>
      <c r="E11" s="429"/>
      <c r="F11" s="1083"/>
      <c r="G11" s="428">
        <f t="shared" si="2"/>
        <v>0</v>
      </c>
      <c r="H11" s="429"/>
      <c r="I11" s="428" t="str">
        <f t="shared" si="0"/>
        <v/>
      </c>
      <c r="J11" s="428" t="str">
        <f t="shared" si="1"/>
        <v/>
      </c>
      <c r="K11" s="204"/>
      <c r="L11" s="305"/>
    </row>
    <row r="12" spans="1:12">
      <c r="A12" s="428" t="str">
        <f>Application!B726</f>
        <v>2 Bedrooms</v>
      </c>
      <c r="B12" s="1082">
        <f>Application!G726</f>
        <v>4</v>
      </c>
      <c r="C12" s="1162"/>
      <c r="D12" s="428">
        <f>Application!O726</f>
        <v>594</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1053</v>
      </c>
      <c r="E13" s="429"/>
      <c r="F13" s="1083"/>
      <c r="G13" s="428">
        <f t="shared" si="2"/>
        <v>0</v>
      </c>
      <c r="H13" s="429"/>
      <c r="I13" s="428" t="str">
        <f t="shared" si="0"/>
        <v/>
      </c>
      <c r="J13" s="428" t="str">
        <f t="shared" si="1"/>
        <v/>
      </c>
      <c r="K13" s="204"/>
      <c r="L13" s="305"/>
    </row>
    <row r="14" spans="1:12">
      <c r="A14" s="428" t="str">
        <f>Application!B728</f>
        <v>2 Bedrooms</v>
      </c>
      <c r="B14" s="1082">
        <f>Application!G728</f>
        <v>10</v>
      </c>
      <c r="C14" s="1162"/>
      <c r="D14" s="428">
        <f>Application!O728</f>
        <v>1283</v>
      </c>
      <c r="E14" s="429"/>
      <c r="F14" s="1083"/>
      <c r="G14" s="428">
        <f t="shared" si="2"/>
        <v>0</v>
      </c>
      <c r="H14" s="429"/>
      <c r="I14" s="428" t="str">
        <f t="shared" si="0"/>
        <v/>
      </c>
      <c r="J14" s="428" t="str">
        <f t="shared" si="1"/>
        <v/>
      </c>
      <c r="K14" s="204"/>
      <c r="L14" s="305"/>
    </row>
    <row r="15" spans="1:12">
      <c r="A15" s="428" t="str">
        <f>Application!B729</f>
        <v>2 Bedrooms</v>
      </c>
      <c r="B15" s="1082">
        <f>Application!G729</f>
        <v>11</v>
      </c>
      <c r="C15" s="1162"/>
      <c r="D15" s="428">
        <f>Application!O729</f>
        <v>1742</v>
      </c>
      <c r="E15" s="429"/>
      <c r="F15" s="1083"/>
      <c r="G15" s="428">
        <f t="shared" si="2"/>
        <v>0</v>
      </c>
      <c r="H15" s="429"/>
      <c r="I15" s="428" t="str">
        <f t="shared" si="0"/>
        <v/>
      </c>
      <c r="J15" s="428" t="str">
        <f t="shared" si="1"/>
        <v/>
      </c>
      <c r="K15" s="204"/>
      <c r="L15" s="305"/>
    </row>
    <row r="16" spans="1:12">
      <c r="A16" s="428" t="str">
        <f>Application!B730</f>
        <v>3 Bedrooms</v>
      </c>
      <c r="B16" s="1082">
        <f>Application!G730</f>
        <v>1</v>
      </c>
      <c r="C16" s="1162"/>
      <c r="D16" s="428">
        <f>Application!O730</f>
        <v>652</v>
      </c>
      <c r="E16" s="429"/>
      <c r="F16" s="1083"/>
      <c r="G16" s="428">
        <f t="shared" si="2"/>
        <v>0</v>
      </c>
      <c r="H16" s="429"/>
      <c r="I16" s="428" t="str">
        <f t="shared" si="0"/>
        <v/>
      </c>
      <c r="J16" s="428" t="str">
        <f t="shared" si="1"/>
        <v/>
      </c>
      <c r="K16" s="204"/>
      <c r="L16" s="305"/>
    </row>
    <row r="17" spans="1:12">
      <c r="A17" s="428" t="str">
        <f>Application!B731</f>
        <v>3 Bedrooms</v>
      </c>
      <c r="B17" s="1082">
        <f>Application!G731</f>
        <v>1</v>
      </c>
      <c r="C17" s="1162"/>
      <c r="D17" s="428">
        <f>Application!O731</f>
        <v>1182</v>
      </c>
      <c r="E17" s="429"/>
      <c r="F17" s="1083"/>
      <c r="G17" s="428">
        <f t="shared" si="2"/>
        <v>0</v>
      </c>
      <c r="H17" s="429"/>
      <c r="I17" s="428" t="str">
        <f t="shared" si="0"/>
        <v/>
      </c>
      <c r="J17" s="428" t="str">
        <f t="shared" si="1"/>
        <v/>
      </c>
      <c r="K17" s="204"/>
      <c r="L17" s="305"/>
    </row>
    <row r="18" spans="1:12">
      <c r="A18" s="428" t="str">
        <f>Application!B732</f>
        <v>3 Bedrooms</v>
      </c>
      <c r="B18" s="1082">
        <f>Application!G732</f>
        <v>8</v>
      </c>
      <c r="C18" s="1162"/>
      <c r="D18" s="428">
        <f>Application!O732</f>
        <v>1448</v>
      </c>
      <c r="E18" s="429"/>
      <c r="F18" s="1083"/>
      <c r="G18" s="428">
        <f t="shared" si="2"/>
        <v>0</v>
      </c>
      <c r="H18" s="429"/>
      <c r="I18" s="428" t="str">
        <f t="shared" si="0"/>
        <v/>
      </c>
      <c r="J18" s="428" t="str">
        <f t="shared" si="1"/>
        <v/>
      </c>
      <c r="K18" s="204"/>
      <c r="L18" s="305"/>
    </row>
    <row r="19" spans="1:12">
      <c r="A19" s="428" t="str">
        <f>Application!B733</f>
        <v>3 Bedrooms</v>
      </c>
      <c r="B19" s="1082">
        <f>Application!G733</f>
        <v>8</v>
      </c>
      <c r="C19" s="1162"/>
      <c r="D19" s="428">
        <f>Application!O733</f>
        <v>1979</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5">
      <c r="A40" s="430" t="s">
        <v>913</v>
      </c>
      <c r="B40" s="431"/>
      <c r="C40" s="431"/>
      <c r="D40" s="432">
        <f>Application!O753</f>
        <v>84565</v>
      </c>
      <c r="E40" s="429"/>
      <c r="F40" s="429"/>
      <c r="G40" s="432">
        <f>SUM(G4:G38)*12</f>
        <v>0</v>
      </c>
      <c r="H40" s="433"/>
      <c r="I40" s="431"/>
      <c r="J40" s="432">
        <f>SUM(J4:J38)*12</f>
        <v>0</v>
      </c>
      <c r="K40" s="204"/>
      <c r="L40" s="306"/>
    </row>
    <row r="41" spans="1:12" ht="14.5">
      <c r="A41" s="430"/>
      <c r="B41" s="431"/>
      <c r="C41" s="431"/>
      <c r="D41" s="433"/>
      <c r="E41" s="429"/>
      <c r="F41" s="429"/>
      <c r="G41" s="433"/>
      <c r="H41" s="433"/>
      <c r="I41" s="431"/>
      <c r="J41" s="433"/>
      <c r="K41" s="204"/>
      <c r="L41" s="306"/>
    </row>
    <row r="42" spans="1:12">
      <c r="A42" s="304" t="s">
        <v>2254</v>
      </c>
    </row>
    <row r="43" spans="1:12">
      <c r="A43" s="2689" t="s">
        <v>2493</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2255</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3" sqref="A3"/>
    </sheetView>
  </sheetViews>
  <sheetFormatPr defaultColWidth="0" defaultRowHeight="13" zeroHeight="1"/>
  <cols>
    <col min="1" max="1" width="3.7265625" customWidth="1"/>
    <col min="2" max="2" width="30.54296875" customWidth="1"/>
    <col min="3" max="3" width="9.089843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2091</v>
      </c>
      <c r="B1" s="211"/>
    </row>
    <row r="2" spans="1:34"/>
    <row r="3" spans="1:34" ht="15.5">
      <c r="A3" s="212" t="s">
        <v>817</v>
      </c>
      <c r="B3" s="212"/>
      <c r="C3" s="235" t="s">
        <v>818</v>
      </c>
      <c r="D3" s="13"/>
      <c r="E3" s="236" t="s">
        <v>819</v>
      </c>
      <c r="F3" s="203"/>
      <c r="G3" s="236" t="s">
        <v>820</v>
      </c>
      <c r="H3" s="203"/>
      <c r="I3" s="236" t="s">
        <v>821</v>
      </c>
      <c r="J3" s="203"/>
      <c r="K3" s="236" t="s">
        <v>822</v>
      </c>
      <c r="L3" s="203"/>
      <c r="M3" s="236" t="s">
        <v>823</v>
      </c>
      <c r="N3" s="203"/>
      <c r="O3" s="236" t="s">
        <v>824</v>
      </c>
      <c r="P3" s="203"/>
      <c r="Q3" s="236" t="s">
        <v>825</v>
      </c>
      <c r="R3" s="203"/>
      <c r="S3" s="236" t="s">
        <v>826</v>
      </c>
      <c r="T3" s="203"/>
      <c r="U3" s="236" t="s">
        <v>827</v>
      </c>
      <c r="V3" s="203"/>
      <c r="W3" s="236" t="s">
        <v>828</v>
      </c>
      <c r="X3" s="203"/>
      <c r="Y3" s="236" t="s">
        <v>829</v>
      </c>
      <c r="Z3" s="203"/>
      <c r="AA3" s="236" t="s">
        <v>830</v>
      </c>
      <c r="AB3" s="203"/>
      <c r="AC3" s="236" t="s">
        <v>831</v>
      </c>
      <c r="AD3" s="203"/>
      <c r="AE3" s="236" t="s">
        <v>832</v>
      </c>
      <c r="AF3" s="203"/>
      <c r="AG3" s="236" t="s">
        <v>833</v>
      </c>
      <c r="AH3" s="13"/>
    </row>
    <row r="4" spans="1:34" s="219" customFormat="1" ht="14.25">
      <c r="A4" s="219" t="s">
        <v>835</v>
      </c>
      <c r="C4" s="237">
        <v>1.0249999999999999</v>
      </c>
      <c r="E4" s="219">
        <f>Application!Y801</f>
        <v>1014780</v>
      </c>
      <c r="G4" s="219">
        <f>E4*$C$4</f>
        <v>1040149.4999999999</v>
      </c>
      <c r="I4" s="219">
        <f>G4*$C$4</f>
        <v>1066153.2374999998</v>
      </c>
      <c r="K4" s="219">
        <f>I4*$C$4</f>
        <v>1092807.0684374997</v>
      </c>
      <c r="M4" s="219">
        <f>K4*$C$4</f>
        <v>1120127.2451484371</v>
      </c>
      <c r="O4" s="219">
        <f>M4*$C$4</f>
        <v>1148130.4262771478</v>
      </c>
      <c r="Q4" s="219">
        <f>O4*$C$4</f>
        <v>1176833.6869340765</v>
      </c>
      <c r="S4" s="219">
        <f>Q4*$C$4</f>
        <v>1206254.5291074284</v>
      </c>
      <c r="U4" s="219">
        <f>S4*$C$4</f>
        <v>1236410.8923351141</v>
      </c>
      <c r="W4" s="219">
        <f>U4*$C$4</f>
        <v>1267321.1646434919</v>
      </c>
      <c r="Y4" s="219">
        <f>W4*$C$4</f>
        <v>1299004.193759579</v>
      </c>
      <c r="AA4" s="219">
        <f>Y4*$C$4</f>
        <v>1331479.2986035682</v>
      </c>
      <c r="AC4" s="219">
        <f>AA4*$C$4</f>
        <v>1364766.2810686573</v>
      </c>
      <c r="AE4" s="219">
        <f>AC4*$C$4</f>
        <v>1398885.4380953736</v>
      </c>
      <c r="AG4" s="219">
        <f>AE4*$C$4</f>
        <v>1433857.5740477578</v>
      </c>
    </row>
    <row r="5" spans="1:34" s="210" customFormat="1" ht="14.25">
      <c r="B5" s="210" t="s">
        <v>836</v>
      </c>
      <c r="C5" s="238">
        <f>IF(Application!$D$211="Special Needs",(((0.1*Application!$T$212)+(0.05*(1-Application!$T$212)))),0.05)</f>
        <v>0.05</v>
      </c>
      <c r="E5" s="221">
        <f>-E4*$C$5</f>
        <v>-50739</v>
      </c>
      <c r="F5" s="221"/>
      <c r="G5" s="221">
        <f>-G4*$C$5</f>
        <v>-52007.474999999999</v>
      </c>
      <c r="H5" s="221"/>
      <c r="I5" s="221">
        <f>-I4*$C$5</f>
        <v>-53307.661874999991</v>
      </c>
      <c r="J5" s="221"/>
      <c r="K5" s="221">
        <f>-K4*$C$5</f>
        <v>-54640.353421874985</v>
      </c>
      <c r="L5" s="221"/>
      <c r="M5" s="221">
        <f>-M4*$C$5</f>
        <v>-56006.362257421861</v>
      </c>
      <c r="N5" s="221"/>
      <c r="O5" s="221">
        <f>-O4*$C$5</f>
        <v>-57406.521313857396</v>
      </c>
      <c r="P5" s="221"/>
      <c r="Q5" s="221">
        <f>-Q4*$C$5</f>
        <v>-58841.684346703827</v>
      </c>
      <c r="R5" s="221"/>
      <c r="S5" s="221">
        <f>-S4*$C$5</f>
        <v>-60312.726455371419</v>
      </c>
      <c r="T5" s="221"/>
      <c r="U5" s="221">
        <f>-U4*$C$5</f>
        <v>-61820.544616755709</v>
      </c>
      <c r="V5" s="221"/>
      <c r="W5" s="221">
        <f>-W4*$C$5</f>
        <v>-63366.058232174597</v>
      </c>
      <c r="X5" s="221"/>
      <c r="Y5" s="221">
        <f>-Y4*$C$5</f>
        <v>-64950.209687978953</v>
      </c>
      <c r="Z5" s="221"/>
      <c r="AA5" s="221">
        <f>-AA4*$C$5</f>
        <v>-66573.964930178408</v>
      </c>
      <c r="AB5" s="221"/>
      <c r="AC5" s="221">
        <f>-AC4*$C$5</f>
        <v>-68238.31405343287</v>
      </c>
      <c r="AD5" s="221"/>
      <c r="AE5" s="221">
        <f>-AE4*$C$5</f>
        <v>-69944.271904768684</v>
      </c>
      <c r="AF5" s="221"/>
      <c r="AG5" s="221">
        <f>-AG4*$C$5</f>
        <v>-71692.878702387898</v>
      </c>
    </row>
    <row r="6" spans="1:34" s="210" customFormat="1" ht="14.25">
      <c r="A6" s="210" t="s">
        <v>834</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836</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10800</v>
      </c>
      <c r="F8" s="222"/>
      <c r="G8" s="222">
        <f>E8*$C$8</f>
        <v>11069.999999999998</v>
      </c>
      <c r="H8" s="222"/>
      <c r="I8" s="222">
        <f>G8*$C$8</f>
        <v>11346.749999999996</v>
      </c>
      <c r="J8" s="222"/>
      <c r="K8" s="222">
        <f>I8*$C$8</f>
        <v>11630.418749999995</v>
      </c>
      <c r="L8" s="222"/>
      <c r="M8" s="222">
        <f>K8*$C$8</f>
        <v>11921.179218749994</v>
      </c>
      <c r="N8" s="222"/>
      <c r="O8" s="222">
        <f>M8*$C$8</f>
        <v>12219.208699218743</v>
      </c>
      <c r="P8" s="222"/>
      <c r="Q8" s="222">
        <f>O8*$C$8</f>
        <v>12524.688916699211</v>
      </c>
      <c r="R8" s="222"/>
      <c r="S8" s="222">
        <f>Q8*$C$8</f>
        <v>12837.80613961669</v>
      </c>
      <c r="T8" s="222"/>
      <c r="U8" s="222">
        <f>S8*$C$8</f>
        <v>13158.751293107107</v>
      </c>
      <c r="V8" s="222"/>
      <c r="W8" s="222">
        <f>U8*$C$8</f>
        <v>13487.720075434783</v>
      </c>
      <c r="X8" s="222"/>
      <c r="Y8" s="222">
        <f>W8*$C$8</f>
        <v>13824.913077320651</v>
      </c>
      <c r="Z8" s="222"/>
      <c r="AA8" s="222">
        <f>Y8*$C$8</f>
        <v>14170.535904253666</v>
      </c>
      <c r="AB8" s="222"/>
      <c r="AC8" s="222">
        <f>AA8*$C$8</f>
        <v>14524.799301860006</v>
      </c>
      <c r="AD8" s="222"/>
      <c r="AE8" s="222">
        <f>AC8*$C$8</f>
        <v>14887.919284406506</v>
      </c>
      <c r="AF8" s="222"/>
      <c r="AG8" s="222">
        <f>AE8*$C$8</f>
        <v>15260.117266516667</v>
      </c>
    </row>
    <row r="9" spans="1:34" s="210" customFormat="1" ht="14.25">
      <c r="B9" s="210" t="s">
        <v>836</v>
      </c>
      <c r="C9" s="238">
        <f>IF(Application!$D$211="Special Needs",(((0.1*Application!$T$212)+(0.05*(1-Application!$T$212)))),0.05)</f>
        <v>0.05</v>
      </c>
      <c r="E9" s="221">
        <f>-E8*$C$9</f>
        <v>-540</v>
      </c>
      <c r="F9" s="221"/>
      <c r="G9" s="221">
        <f>-G8*$C$9</f>
        <v>-553.49999999999989</v>
      </c>
      <c r="H9" s="221"/>
      <c r="I9" s="221">
        <f>-I8*$C$9</f>
        <v>-567.33749999999986</v>
      </c>
      <c r="J9" s="221"/>
      <c r="K9" s="221">
        <f>-K8*$C$9</f>
        <v>-581.52093749999983</v>
      </c>
      <c r="L9" s="221"/>
      <c r="M9" s="221">
        <f>-M8*$C$9</f>
        <v>-596.05896093749971</v>
      </c>
      <c r="N9" s="221"/>
      <c r="O9" s="221">
        <f>-O8*$C$9</f>
        <v>-610.96043496093716</v>
      </c>
      <c r="P9" s="221"/>
      <c r="Q9" s="221">
        <f>-Q8*$C$9</f>
        <v>-626.23444583496064</v>
      </c>
      <c r="R9" s="221"/>
      <c r="S9" s="221">
        <f>-S8*$C$9</f>
        <v>-641.89030698083457</v>
      </c>
      <c r="T9" s="221"/>
      <c r="U9" s="221">
        <f>-U8*$C$9</f>
        <v>-657.93756465535535</v>
      </c>
      <c r="V9" s="221"/>
      <c r="W9" s="221">
        <f>-W8*$C$9</f>
        <v>-674.38600377173918</v>
      </c>
      <c r="X9" s="221"/>
      <c r="Y9" s="221">
        <f>-Y8*$C$9</f>
        <v>-691.24565386603263</v>
      </c>
      <c r="Z9" s="221"/>
      <c r="AA9" s="221">
        <f>-AA8*$C$9</f>
        <v>-708.52679521268328</v>
      </c>
      <c r="AB9" s="221"/>
      <c r="AC9" s="221">
        <f>-AC8*$C$9</f>
        <v>-726.23996509300036</v>
      </c>
      <c r="AD9" s="221"/>
      <c r="AE9" s="221">
        <f>-AE8*$C$9</f>
        <v>-744.39596422032537</v>
      </c>
      <c r="AF9" s="221"/>
      <c r="AG9" s="221">
        <f>-AG8*$C$9</f>
        <v>-763.00586332583339</v>
      </c>
    </row>
    <row r="10" spans="1:34" s="210" customFormat="1" ht="14.25">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5">
      <c r="A11" s="223" t="s">
        <v>857</v>
      </c>
      <c r="C11" s="216"/>
      <c r="E11" s="223">
        <f>SUM(E4:E10)</f>
        <v>974301</v>
      </c>
      <c r="G11" s="223">
        <f>SUM(G4:G10)</f>
        <v>998658.52499999991</v>
      </c>
      <c r="I11" s="223">
        <f>SUM(I4:I10)</f>
        <v>1023624.9881249998</v>
      </c>
      <c r="K11" s="223">
        <f>SUM(K4:K10)</f>
        <v>1049215.6128281245</v>
      </c>
      <c r="M11" s="223">
        <f>SUM(M4:M10)</f>
        <v>1075446.0031488277</v>
      </c>
      <c r="O11" s="223">
        <f>SUM(O4:O10)</f>
        <v>1102332.1532275483</v>
      </c>
      <c r="Q11" s="223">
        <f>SUM(Q4:Q10)</f>
        <v>1129890.4570582369</v>
      </c>
      <c r="S11" s="223">
        <f>SUM(S4:S10)</f>
        <v>1158137.718484693</v>
      </c>
      <c r="U11" s="223">
        <f>SUM(U4:U10)</f>
        <v>1187091.16144681</v>
      </c>
      <c r="W11" s="223">
        <f>SUM(W4:W10)</f>
        <v>1216768.4404829803</v>
      </c>
      <c r="Y11" s="223">
        <f>SUM(Y4:Y10)</f>
        <v>1247187.6514950546</v>
      </c>
      <c r="AA11" s="223">
        <f>SUM(AA4:AA10)</f>
        <v>1278367.3427824308</v>
      </c>
      <c r="AC11" s="223">
        <f>SUM(AC4:AC10)</f>
        <v>1310326.5263519913</v>
      </c>
      <c r="AE11" s="223">
        <f>SUM(AE4:AE10)</f>
        <v>1343084.6895107911</v>
      </c>
      <c r="AG11" s="223">
        <f>SUM(AG4:AG10)</f>
        <v>1376661.8067485606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837</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838</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839</v>
      </c>
      <c r="C15" s="176"/>
      <c r="E15" s="219">
        <f>Application!W847</f>
        <v>24640</v>
      </c>
      <c r="G15" s="219">
        <f>E15*$C$14</f>
        <v>25502.399999999998</v>
      </c>
      <c r="I15" s="219">
        <f>G15*$C$14</f>
        <v>26394.983999999997</v>
      </c>
      <c r="K15" s="219">
        <f>I15*$C$14</f>
        <v>27318.808439999993</v>
      </c>
      <c r="M15" s="219">
        <f>K15*$C$14</f>
        <v>28274.96673539999</v>
      </c>
      <c r="O15" s="219">
        <f>M15*$C$14</f>
        <v>29264.590571138986</v>
      </c>
      <c r="Q15" s="219">
        <f>O15*$C$14</f>
        <v>30288.851241128847</v>
      </c>
      <c r="S15" s="219">
        <f>Q15*$C$14</f>
        <v>31348.961034568354</v>
      </c>
      <c r="U15" s="219">
        <f>S15*$C$14</f>
        <v>32446.174670778244</v>
      </c>
      <c r="W15" s="219">
        <f>U15*$C$14</f>
        <v>33581.790784255478</v>
      </c>
      <c r="Y15" s="219">
        <f>W15*$C$14</f>
        <v>34757.153461704416</v>
      </c>
      <c r="AA15" s="219">
        <f>Y15*$C$14</f>
        <v>35973.653832864067</v>
      </c>
      <c r="AC15" s="219">
        <f>AA15*$C$14</f>
        <v>37232.731717014307</v>
      </c>
      <c r="AE15" s="219">
        <f>AC15*$C$14</f>
        <v>38535.877327109803</v>
      </c>
      <c r="AG15" s="219">
        <f>AE15*$C$14</f>
        <v>39884.633033558646</v>
      </c>
    </row>
    <row r="16" spans="1:34" s="210" customFormat="1" ht="14.25">
      <c r="A16" s="210" t="s">
        <v>344</v>
      </c>
      <c r="C16" s="233"/>
      <c r="E16" s="222">
        <f>Application!W849</f>
        <v>48200</v>
      </c>
      <c r="F16" s="222"/>
      <c r="G16" s="222">
        <f t="shared" ref="G16:AG21" si="0">E16*$C$14</f>
        <v>49886.999999999993</v>
      </c>
      <c r="H16" s="222"/>
      <c r="I16" s="222">
        <f t="shared" si="0"/>
        <v>51633.044999999991</v>
      </c>
      <c r="J16" s="222"/>
      <c r="K16" s="222">
        <f t="shared" si="0"/>
        <v>53440.201574999985</v>
      </c>
      <c r="L16" s="222"/>
      <c r="M16" s="222">
        <f t="shared" si="0"/>
        <v>55310.608630124982</v>
      </c>
      <c r="N16" s="222"/>
      <c r="O16" s="222">
        <f t="shared" si="0"/>
        <v>57246.479932179354</v>
      </c>
      <c r="P16" s="222"/>
      <c r="Q16" s="222">
        <f t="shared" si="0"/>
        <v>59250.10672980563</v>
      </c>
      <c r="R16" s="222"/>
      <c r="S16" s="222">
        <f t="shared" si="0"/>
        <v>61323.860465348822</v>
      </c>
      <c r="T16" s="222"/>
      <c r="U16" s="222">
        <f t="shared" si="0"/>
        <v>63470.195581636028</v>
      </c>
      <c r="V16" s="222"/>
      <c r="W16" s="222">
        <f t="shared" si="0"/>
        <v>65691.652426993285</v>
      </c>
      <c r="X16" s="222"/>
      <c r="Y16" s="222">
        <f t="shared" si="0"/>
        <v>67990.86026193804</v>
      </c>
      <c r="Z16" s="222"/>
      <c r="AA16" s="222">
        <f t="shared" si="0"/>
        <v>70370.540371105861</v>
      </c>
      <c r="AB16" s="222"/>
      <c r="AC16" s="222">
        <f t="shared" si="0"/>
        <v>72833.509284094558</v>
      </c>
      <c r="AD16" s="222"/>
      <c r="AE16" s="222">
        <f t="shared" si="0"/>
        <v>75382.682109037865</v>
      </c>
      <c r="AF16" s="222"/>
      <c r="AG16" s="222">
        <f t="shared" si="0"/>
        <v>78021.075982854178</v>
      </c>
    </row>
    <row r="17" spans="1:33" s="210" customFormat="1" ht="14.25">
      <c r="A17" s="210" t="s">
        <v>560</v>
      </c>
      <c r="C17" s="233"/>
      <c r="E17" s="222">
        <f>Application!W855</f>
        <v>75500</v>
      </c>
      <c r="F17" s="222"/>
      <c r="G17" s="222">
        <f t="shared" si="0"/>
        <v>78142.5</v>
      </c>
      <c r="H17" s="222"/>
      <c r="I17" s="222">
        <f t="shared" si="0"/>
        <v>80877.487499999988</v>
      </c>
      <c r="J17" s="222"/>
      <c r="K17" s="222">
        <f t="shared" si="0"/>
        <v>83708.199562499984</v>
      </c>
      <c r="L17" s="222"/>
      <c r="M17" s="222">
        <f t="shared" si="0"/>
        <v>86637.98654718748</v>
      </c>
      <c r="N17" s="222"/>
      <c r="O17" s="222">
        <f t="shared" si="0"/>
        <v>89670.316076339033</v>
      </c>
      <c r="P17" s="222"/>
      <c r="Q17" s="222">
        <f t="shared" si="0"/>
        <v>92808.777139010897</v>
      </c>
      <c r="R17" s="222"/>
      <c r="S17" s="222">
        <f t="shared" si="0"/>
        <v>96057.084338876273</v>
      </c>
      <c r="T17" s="222"/>
      <c r="U17" s="222">
        <f t="shared" si="0"/>
        <v>99419.082290736929</v>
      </c>
      <c r="V17" s="222"/>
      <c r="W17" s="222">
        <f t="shared" si="0"/>
        <v>102898.75017091271</v>
      </c>
      <c r="X17" s="222"/>
      <c r="Y17" s="222">
        <f t="shared" si="0"/>
        <v>106500.20642689464</v>
      </c>
      <c r="Z17" s="222"/>
      <c r="AA17" s="222">
        <f t="shared" si="0"/>
        <v>110227.71365183595</v>
      </c>
      <c r="AB17" s="222"/>
      <c r="AC17" s="222">
        <f t="shared" si="0"/>
        <v>114085.6836296502</v>
      </c>
      <c r="AD17" s="222"/>
      <c r="AE17" s="222">
        <f t="shared" si="0"/>
        <v>118078.68255668794</v>
      </c>
      <c r="AF17" s="222"/>
      <c r="AG17" s="222">
        <f t="shared" si="0"/>
        <v>122211.43644617201</v>
      </c>
    </row>
    <row r="18" spans="1:33" s="210" customFormat="1" ht="14.25">
      <c r="A18" s="210" t="s">
        <v>840</v>
      </c>
      <c r="C18" s="233"/>
      <c r="E18" s="222">
        <f>Application!W862</f>
        <v>72160</v>
      </c>
      <c r="F18" s="222"/>
      <c r="G18" s="222">
        <f t="shared" si="0"/>
        <v>74685.599999999991</v>
      </c>
      <c r="H18" s="222"/>
      <c r="I18" s="222">
        <f t="shared" si="0"/>
        <v>77299.59599999999</v>
      </c>
      <c r="J18" s="222"/>
      <c r="K18" s="222">
        <f t="shared" si="0"/>
        <v>80005.081859999991</v>
      </c>
      <c r="L18" s="222"/>
      <c r="M18" s="222">
        <f t="shared" si="0"/>
        <v>82805.259725099982</v>
      </c>
      <c r="N18" s="222"/>
      <c r="O18" s="222">
        <f t="shared" si="0"/>
        <v>85703.443815478473</v>
      </c>
      <c r="P18" s="222"/>
      <c r="Q18" s="222">
        <f t="shared" si="0"/>
        <v>88703.064349020206</v>
      </c>
      <c r="R18" s="222"/>
      <c r="S18" s="222">
        <f t="shared" si="0"/>
        <v>91807.67160123591</v>
      </c>
      <c r="T18" s="222"/>
      <c r="U18" s="222">
        <f t="shared" si="0"/>
        <v>95020.940107279166</v>
      </c>
      <c r="V18" s="222"/>
      <c r="W18" s="222">
        <f t="shared" si="0"/>
        <v>98346.673011033927</v>
      </c>
      <c r="X18" s="222"/>
      <c r="Y18" s="222">
        <f t="shared" si="0"/>
        <v>101788.80656642011</v>
      </c>
      <c r="Z18" s="222"/>
      <c r="AA18" s="222">
        <f t="shared" si="0"/>
        <v>105351.4147962448</v>
      </c>
      <c r="AB18" s="222"/>
      <c r="AC18" s="222">
        <f t="shared" si="0"/>
        <v>109038.71431411337</v>
      </c>
      <c r="AD18" s="222"/>
      <c r="AE18" s="222">
        <f t="shared" si="0"/>
        <v>112855.06931510734</v>
      </c>
      <c r="AF18" s="222"/>
      <c r="AG18" s="222">
        <f t="shared" si="0"/>
        <v>116804.99674113608</v>
      </c>
    </row>
    <row r="19" spans="1:33" s="210" customFormat="1" ht="14.25">
      <c r="A19" s="210" t="s">
        <v>155</v>
      </c>
      <c r="C19" s="233"/>
      <c r="E19" s="222">
        <f>Application!W863</f>
        <v>32400</v>
      </c>
      <c r="F19" s="222"/>
      <c r="G19" s="222">
        <f t="shared" si="0"/>
        <v>33534</v>
      </c>
      <c r="H19" s="222"/>
      <c r="I19" s="222">
        <f t="shared" si="0"/>
        <v>34707.689999999995</v>
      </c>
      <c r="J19" s="222"/>
      <c r="K19" s="222">
        <f t="shared" si="0"/>
        <v>35922.459149999995</v>
      </c>
      <c r="L19" s="222"/>
      <c r="M19" s="222">
        <f t="shared" si="0"/>
        <v>37179.745220249992</v>
      </c>
      <c r="N19" s="222"/>
      <c r="O19" s="222">
        <f t="shared" si="0"/>
        <v>38481.036302958739</v>
      </c>
      <c r="P19" s="222"/>
      <c r="Q19" s="222">
        <f t="shared" si="0"/>
        <v>39827.872573562294</v>
      </c>
      <c r="R19" s="222"/>
      <c r="S19" s="222">
        <f t="shared" si="0"/>
        <v>41221.848113636974</v>
      </c>
      <c r="T19" s="222"/>
      <c r="U19" s="222">
        <f t="shared" si="0"/>
        <v>42664.612797614267</v>
      </c>
      <c r="V19" s="222"/>
      <c r="W19" s="222">
        <f t="shared" si="0"/>
        <v>44157.874245530766</v>
      </c>
      <c r="X19" s="222"/>
      <c r="Y19" s="222">
        <f t="shared" si="0"/>
        <v>45703.399844124338</v>
      </c>
      <c r="Z19" s="222"/>
      <c r="AA19" s="222">
        <f t="shared" si="0"/>
        <v>47303.018838668686</v>
      </c>
      <c r="AB19" s="222"/>
      <c r="AC19" s="222">
        <f t="shared" si="0"/>
        <v>48958.624498022087</v>
      </c>
      <c r="AD19" s="222"/>
      <c r="AE19" s="222">
        <f t="shared" si="0"/>
        <v>50672.176355452859</v>
      </c>
      <c r="AF19" s="222"/>
      <c r="AG19" s="222">
        <f t="shared" si="0"/>
        <v>52445.702527893707</v>
      </c>
    </row>
    <row r="20" spans="1:33" s="210" customFormat="1" ht="14.25">
      <c r="A20" s="210" t="s">
        <v>390</v>
      </c>
      <c r="C20" s="233"/>
      <c r="E20" s="222">
        <f>Application!W872</f>
        <v>149700</v>
      </c>
      <c r="F20" s="222"/>
      <c r="G20" s="222">
        <f t="shared" si="0"/>
        <v>154939.5</v>
      </c>
      <c r="H20" s="222"/>
      <c r="I20" s="222">
        <f t="shared" si="0"/>
        <v>160362.38249999998</v>
      </c>
      <c r="J20" s="222"/>
      <c r="K20" s="222">
        <f t="shared" si="0"/>
        <v>165975.06588749995</v>
      </c>
      <c r="L20" s="222"/>
      <c r="M20" s="222">
        <f t="shared" si="0"/>
        <v>171784.19319356245</v>
      </c>
      <c r="N20" s="222"/>
      <c r="O20" s="222">
        <f t="shared" si="0"/>
        <v>177796.63995533713</v>
      </c>
      <c r="P20" s="222"/>
      <c r="Q20" s="222">
        <f t="shared" si="0"/>
        <v>184019.52235377391</v>
      </c>
      <c r="R20" s="222"/>
      <c r="S20" s="222">
        <f t="shared" si="0"/>
        <v>190460.20563615597</v>
      </c>
      <c r="T20" s="222"/>
      <c r="U20" s="222">
        <f t="shared" si="0"/>
        <v>197126.3128334214</v>
      </c>
      <c r="V20" s="222"/>
      <c r="W20" s="222">
        <f t="shared" si="0"/>
        <v>204025.73378259112</v>
      </c>
      <c r="X20" s="222"/>
      <c r="Y20" s="222">
        <f t="shared" si="0"/>
        <v>211166.63446498179</v>
      </c>
      <c r="Z20" s="222"/>
      <c r="AA20" s="222">
        <f t="shared" si="0"/>
        <v>218557.46667125614</v>
      </c>
      <c r="AB20" s="222"/>
      <c r="AC20" s="222">
        <f t="shared" si="0"/>
        <v>226206.9780047501</v>
      </c>
      <c r="AD20" s="222"/>
      <c r="AE20" s="222">
        <f t="shared" si="0"/>
        <v>234124.22223491632</v>
      </c>
      <c r="AF20" s="222"/>
      <c r="AG20" s="222">
        <f t="shared" si="0"/>
        <v>242318.57001313838</v>
      </c>
    </row>
    <row r="21" spans="1:33" s="210" customFormat="1" ht="14.25">
      <c r="A21" s="226" t="s">
        <v>960</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5">
      <c r="A22" s="223" t="s">
        <v>841</v>
      </c>
      <c r="C22" s="233"/>
      <c r="E22" s="223">
        <f>SUM(E15:E21)</f>
        <v>402600</v>
      </c>
      <c r="G22" s="223">
        <f>SUM(G15:G21)</f>
        <v>416691</v>
      </c>
      <c r="I22" s="223">
        <f>SUM(I15:I21)</f>
        <v>431275.18499999994</v>
      </c>
      <c r="K22" s="223">
        <f>SUM(K15:K21)</f>
        <v>446369.81647499988</v>
      </c>
      <c r="M22" s="223">
        <f>SUM(M15:M21)</f>
        <v>461992.76005162491</v>
      </c>
      <c r="O22" s="223">
        <f>SUM(O15:O21)</f>
        <v>478162.50665343169</v>
      </c>
      <c r="Q22" s="223">
        <f>SUM(Q15:Q21)</f>
        <v>494898.1943863018</v>
      </c>
      <c r="S22" s="223">
        <f>SUM(S15:S21)</f>
        <v>512219.63118982228</v>
      </c>
      <c r="U22" s="223">
        <f>SUM(U15:U21)</f>
        <v>530147.31828146602</v>
      </c>
      <c r="W22" s="223">
        <f>SUM(W15:W21)</f>
        <v>548702.47442131722</v>
      </c>
      <c r="Y22" s="223">
        <f>SUM(Y15:Y21)</f>
        <v>567907.06102606328</v>
      </c>
      <c r="AA22" s="223">
        <f>SUM(AA15:AA21)</f>
        <v>587783.80816197558</v>
      </c>
      <c r="AC22" s="223">
        <f>SUM(AC15:AC21)</f>
        <v>608356.24144764454</v>
      </c>
      <c r="AE22" s="223">
        <f>SUM(AE15:AE21)</f>
        <v>629648.70989831211</v>
      </c>
      <c r="AG22" s="223">
        <f>SUM(AG15:AG21)</f>
        <v>651686.41474475304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1680</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1157</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843</v>
      </c>
      <c r="C27" s="237">
        <v>1.0349999999999999</v>
      </c>
      <c r="E27" s="222">
        <f>Application!AC888</f>
        <v>12000</v>
      </c>
      <c r="F27" s="222"/>
      <c r="G27" s="222">
        <f>E27*$C$27</f>
        <v>12419.999999999998</v>
      </c>
      <c r="H27" s="222"/>
      <c r="I27" s="222">
        <f>G27*$C$27</f>
        <v>12854.699999999997</v>
      </c>
      <c r="J27" s="222"/>
      <c r="K27" s="222">
        <f>I27*$C$27</f>
        <v>13304.614499999996</v>
      </c>
      <c r="L27" s="222"/>
      <c r="M27" s="222">
        <f>K27*$C$27</f>
        <v>13770.276007499995</v>
      </c>
      <c r="N27" s="222"/>
      <c r="O27" s="222">
        <f>M27*$C$27</f>
        <v>14252.235667762494</v>
      </c>
      <c r="P27" s="222"/>
      <c r="Q27" s="222">
        <f>O27*$C$27</f>
        <v>14751.063916134181</v>
      </c>
      <c r="R27" s="222"/>
      <c r="S27" s="222">
        <f>Q27*$C$27</f>
        <v>15267.351153198875</v>
      </c>
      <c r="T27" s="222"/>
      <c r="U27" s="222">
        <f>S27*$C$27</f>
        <v>15801.708443560834</v>
      </c>
      <c r="V27" s="222"/>
      <c r="W27" s="222">
        <f>U27*$C$27</f>
        <v>16354.768239085462</v>
      </c>
      <c r="X27" s="222"/>
      <c r="Y27" s="222">
        <f>W27*$C$27</f>
        <v>16927.185127453453</v>
      </c>
      <c r="Z27" s="222"/>
      <c r="AA27" s="222">
        <f>Y27*$C$27</f>
        <v>17519.636606914322</v>
      </c>
      <c r="AB27" s="222"/>
      <c r="AC27" s="222">
        <f>AA27*$C$27</f>
        <v>18132.823888156323</v>
      </c>
      <c r="AD27" s="222"/>
      <c r="AE27" s="222">
        <f>AC27*$C$27</f>
        <v>18767.472724241794</v>
      </c>
      <c r="AF27" s="222"/>
      <c r="AG27" s="222">
        <f>AE27*$C$27</f>
        <v>19424.334269590254</v>
      </c>
    </row>
    <row r="28" spans="1:33" s="210" customFormat="1" ht="14.25">
      <c r="A28" s="210" t="s">
        <v>844</v>
      </c>
      <c r="C28" s="237"/>
      <c r="E28" s="222">
        <f>Application!AC889</f>
        <v>18000</v>
      </c>
      <c r="F28" s="222"/>
      <c r="G28" s="222">
        <f>$E$28</f>
        <v>18000</v>
      </c>
      <c r="H28" s="222"/>
      <c r="I28" s="222">
        <f>$E$28</f>
        <v>18000</v>
      </c>
      <c r="J28" s="222"/>
      <c r="K28" s="222">
        <f>$E$28</f>
        <v>18000</v>
      </c>
      <c r="L28" s="222"/>
      <c r="M28" s="222">
        <f>$E$28</f>
        <v>18000</v>
      </c>
      <c r="N28" s="222"/>
      <c r="O28" s="222">
        <f>$E$28</f>
        <v>18000</v>
      </c>
      <c r="P28" s="222"/>
      <c r="Q28" s="222">
        <f>$E$28</f>
        <v>18000</v>
      </c>
      <c r="R28" s="222"/>
      <c r="S28" s="222">
        <f>$E$28</f>
        <v>18000</v>
      </c>
      <c r="T28" s="222"/>
      <c r="U28" s="222">
        <f>$E$28</f>
        <v>18000</v>
      </c>
      <c r="V28" s="222"/>
      <c r="W28" s="222">
        <f>$E$28</f>
        <v>18000</v>
      </c>
      <c r="X28" s="222"/>
      <c r="Y28" s="222">
        <f>$E$28</f>
        <v>18000</v>
      </c>
      <c r="Z28" s="222"/>
      <c r="AA28" s="222">
        <f>$E$28</f>
        <v>18000</v>
      </c>
      <c r="AB28" s="222"/>
      <c r="AC28" s="222">
        <f>$E$28</f>
        <v>18000</v>
      </c>
      <c r="AD28" s="222"/>
      <c r="AE28" s="222">
        <f>$E$28</f>
        <v>18000</v>
      </c>
      <c r="AF28" s="222"/>
      <c r="AG28" s="222">
        <f>$E$28</f>
        <v>18000</v>
      </c>
    </row>
    <row r="29" spans="1:33" s="210" customFormat="1" ht="14.25">
      <c r="A29" s="210" t="s">
        <v>1678</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842</v>
      </c>
      <c r="C30" s="237">
        <v>1.02</v>
      </c>
      <c r="E30" s="222">
        <f>Application!AC891</f>
        <v>12400</v>
      </c>
      <c r="F30" s="222"/>
      <c r="G30" s="222">
        <f>E30*$C$30</f>
        <v>12648</v>
      </c>
      <c r="H30" s="222"/>
      <c r="I30" s="222">
        <f>G30*$C$30</f>
        <v>12900.960000000001</v>
      </c>
      <c r="J30" s="222"/>
      <c r="K30" s="222">
        <f>I30*$C$30</f>
        <v>13158.979200000002</v>
      </c>
      <c r="L30" s="222"/>
      <c r="M30" s="222">
        <f>K30*$C$30</f>
        <v>13422.158784000001</v>
      </c>
      <c r="N30" s="222"/>
      <c r="O30" s="222">
        <f>M30*$C$30</f>
        <v>13690.601959680002</v>
      </c>
      <c r="P30" s="222"/>
      <c r="Q30" s="222">
        <f>O30*$C$30</f>
        <v>13964.413998873602</v>
      </c>
      <c r="R30" s="222"/>
      <c r="S30" s="222">
        <f>Q30*$C$30</f>
        <v>14243.702278851075</v>
      </c>
      <c r="T30" s="222"/>
      <c r="U30" s="222">
        <f>S30*$C$30</f>
        <v>14528.576324428097</v>
      </c>
      <c r="V30" s="222"/>
      <c r="W30" s="222">
        <f>U30*$C$30</f>
        <v>14819.147850916659</v>
      </c>
      <c r="X30" s="222"/>
      <c r="Y30" s="222">
        <f>W30*$C$30</f>
        <v>15115.530807934992</v>
      </c>
      <c r="Z30" s="222"/>
      <c r="AA30" s="222">
        <f>Y30*$C$30</f>
        <v>15417.841424093693</v>
      </c>
      <c r="AB30" s="222"/>
      <c r="AC30" s="222">
        <f>AA30*$C$30</f>
        <v>15726.198252575567</v>
      </c>
      <c r="AD30" s="222"/>
      <c r="AE30" s="222">
        <f>AC30*$C$30</f>
        <v>16040.722217627079</v>
      </c>
      <c r="AF30" s="222"/>
      <c r="AG30" s="222">
        <f>AE30*$C$30</f>
        <v>16361.53666197962</v>
      </c>
    </row>
    <row r="31" spans="1:33" s="210" customFormat="1" ht="14.25">
      <c r="A31" s="210" t="s">
        <v>1679</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Annual Issuer &amp; Trustee Fees:</v>
      </c>
      <c r="C32" s="316">
        <v>1</v>
      </c>
      <c r="E32" s="222">
        <f>Application!AC894</f>
        <v>5000</v>
      </c>
      <c r="F32" s="222"/>
      <c r="G32" s="222">
        <f>E32*$C$32</f>
        <v>5000</v>
      </c>
      <c r="H32" s="222"/>
      <c r="I32" s="222">
        <f>G32*$C$32</f>
        <v>5000</v>
      </c>
      <c r="J32" s="222"/>
      <c r="K32" s="222">
        <f>I32*$C$32</f>
        <v>5000</v>
      </c>
      <c r="L32" s="222"/>
      <c r="M32" s="222">
        <f>K32*$C$32</f>
        <v>5000</v>
      </c>
      <c r="N32" s="222"/>
      <c r="O32" s="222">
        <f>M32*$C$32</f>
        <v>5000</v>
      </c>
      <c r="P32" s="222"/>
      <c r="Q32" s="222">
        <f>O32*$C$32</f>
        <v>5000</v>
      </c>
      <c r="R32" s="222"/>
      <c r="S32" s="222">
        <f>Q32*$C$32</f>
        <v>5000</v>
      </c>
      <c r="T32" s="222"/>
      <c r="U32" s="222">
        <f>S32*$C$32</f>
        <v>5000</v>
      </c>
      <c r="V32" s="222"/>
      <c r="W32" s="222">
        <f>U32*$C$32</f>
        <v>5000</v>
      </c>
      <c r="X32" s="222"/>
      <c r="Y32" s="222">
        <f>W32*$C$32</f>
        <v>5000</v>
      </c>
      <c r="Z32" s="222"/>
      <c r="AA32" s="222">
        <f>Y32*$C$32</f>
        <v>5000</v>
      </c>
      <c r="AB32" s="222"/>
      <c r="AC32" s="222">
        <f>AA32*$C$32</f>
        <v>5000</v>
      </c>
      <c r="AD32" s="222"/>
      <c r="AE32" s="222">
        <f>AC32*$C$32</f>
        <v>5000</v>
      </c>
      <c r="AF32" s="222"/>
      <c r="AG32" s="222">
        <f>AE32*$C$32</f>
        <v>5000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5">
      <c r="A35" s="223" t="s">
        <v>178</v>
      </c>
      <c r="C35" s="224"/>
      <c r="E35" s="223">
        <f>SUM(E22:E33)</f>
        <v>450000</v>
      </c>
      <c r="G35" s="223">
        <f>SUM(G22:G33)</f>
        <v>464759</v>
      </c>
      <c r="I35" s="223">
        <f>SUM(I22:I33)</f>
        <v>480030.84499999997</v>
      </c>
      <c r="K35" s="223">
        <f>SUM(K22:K33)</f>
        <v>495833.41017499991</v>
      </c>
      <c r="M35" s="223">
        <f>SUM(M22:M33)</f>
        <v>512185.19484312495</v>
      </c>
      <c r="O35" s="223">
        <f>SUM(O22:O33)</f>
        <v>529105.34428087412</v>
      </c>
      <c r="Q35" s="223">
        <f>SUM(Q22:Q33)</f>
        <v>546613.67230130953</v>
      </c>
      <c r="S35" s="223">
        <f>SUM(S22:S33)</f>
        <v>564730.68462187226</v>
      </c>
      <c r="U35" s="223">
        <f>SUM(U22:U33)</f>
        <v>583477.60304945498</v>
      </c>
      <c r="W35" s="223">
        <f>SUM(W22:W33)</f>
        <v>602876.39051131927</v>
      </c>
      <c r="Y35" s="223">
        <f>SUM(Y22:Y33)</f>
        <v>622949.77696145163</v>
      </c>
      <c r="AA35" s="223">
        <f>SUM(AA22:AA33)</f>
        <v>643721.28619298362</v>
      </c>
      <c r="AC35" s="223">
        <f>SUM(AC22:AC33)</f>
        <v>665215.26358837646</v>
      </c>
      <c r="AE35" s="223">
        <f>SUM(AE22:AE33)</f>
        <v>687456.904840181</v>
      </c>
      <c r="AG35" s="223">
        <f>SUM(AG22:AG33)</f>
        <v>710472.28567632288</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5">
      <c r="A37" s="223" t="s">
        <v>845</v>
      </c>
      <c r="C37" s="224"/>
      <c r="E37" s="223">
        <f>E11-E35</f>
        <v>524301</v>
      </c>
      <c r="G37" s="223">
        <f>G11-G35</f>
        <v>533899.52499999991</v>
      </c>
      <c r="I37" s="223">
        <f>I11-I35</f>
        <v>543594.14312499983</v>
      </c>
      <c r="K37" s="223">
        <f>K11-K35</f>
        <v>553382.2026531247</v>
      </c>
      <c r="M37" s="223">
        <f>M11-M35</f>
        <v>563260.80830570275</v>
      </c>
      <c r="O37" s="223">
        <f>O11-O35</f>
        <v>573226.80894667422</v>
      </c>
      <c r="Q37" s="223">
        <f>Q11-Q35</f>
        <v>583276.7847569274</v>
      </c>
      <c r="S37" s="223">
        <f>S11-S35</f>
        <v>593407.03386282071</v>
      </c>
      <c r="U37" s="223">
        <f>U11-U35</f>
        <v>603613.55839735502</v>
      </c>
      <c r="W37" s="223">
        <f>W11-W35</f>
        <v>613892.04997166106</v>
      </c>
      <c r="Y37" s="223">
        <f>Y11-Y35</f>
        <v>624237.87453360297</v>
      </c>
      <c r="AA37" s="223">
        <f>AA11-AA35</f>
        <v>634646.05658944719</v>
      </c>
      <c r="AC37" s="223">
        <f>AC11-AC35</f>
        <v>645111.26276361488</v>
      </c>
      <c r="AE37" s="223">
        <f>AE11-AE35</f>
        <v>655627.7846706101</v>
      </c>
      <c r="AG37" s="223">
        <f>AG11-AG35</f>
        <v>666189.52107223775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5">
      <c r="A39" s="218" t="s">
        <v>858</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N.A.</v>
      </c>
      <c r="B40" s="226"/>
      <c r="C40" s="220"/>
      <c r="E40" s="222">
        <f>Application!AF627</f>
        <v>436020</v>
      </c>
      <c r="F40" s="222"/>
      <c r="G40" s="222">
        <f>$E$40</f>
        <v>436020</v>
      </c>
      <c r="H40" s="222"/>
      <c r="I40" s="222">
        <f>$E$40</f>
        <v>436020</v>
      </c>
      <c r="J40" s="222"/>
      <c r="K40" s="222">
        <f>$E$40</f>
        <v>436020</v>
      </c>
      <c r="L40" s="222"/>
      <c r="M40" s="222">
        <f>$E$40</f>
        <v>436020</v>
      </c>
      <c r="N40" s="222"/>
      <c r="O40" s="222">
        <f>$E$40</f>
        <v>436020</v>
      </c>
      <c r="P40" s="222"/>
      <c r="Q40" s="222">
        <f>$E$40</f>
        <v>436020</v>
      </c>
      <c r="R40" s="222"/>
      <c r="S40" s="222">
        <f>$E$40</f>
        <v>436020</v>
      </c>
      <c r="T40" s="222"/>
      <c r="U40" s="222">
        <f>$E$40</f>
        <v>436020</v>
      </c>
      <c r="V40" s="222"/>
      <c r="W40" s="222">
        <f>$E$40</f>
        <v>436020</v>
      </c>
      <c r="X40" s="222"/>
      <c r="Y40" s="222">
        <f>$E$40</f>
        <v>436020</v>
      </c>
      <c r="Z40" s="222"/>
      <c r="AA40" s="222">
        <f>$E$40</f>
        <v>436020</v>
      </c>
      <c r="AB40" s="222"/>
      <c r="AC40" s="222">
        <f>$E$40</f>
        <v>436020</v>
      </c>
      <c r="AD40" s="222"/>
      <c r="AE40" s="222">
        <f>$E$40</f>
        <v>436020</v>
      </c>
      <c r="AF40" s="222"/>
      <c r="AG40" s="222">
        <f>$E$40</f>
        <v>436020</v>
      </c>
    </row>
    <row r="41" spans="1:33" s="210" customFormat="1" ht="14.25">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25">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5">
      <c r="A43" s="223" t="s">
        <v>846</v>
      </c>
      <c r="C43" s="224"/>
      <c r="E43" s="223">
        <f>SUM(E40:E42)</f>
        <v>436020</v>
      </c>
      <c r="G43" s="223">
        <f>SUM(G40:G42)</f>
        <v>436020</v>
      </c>
      <c r="I43" s="223">
        <f>SUM(I40:I42)</f>
        <v>436020</v>
      </c>
      <c r="K43" s="223">
        <f>SUM(K40:K42)</f>
        <v>436020</v>
      </c>
      <c r="M43" s="223">
        <f>SUM(M40:M42)</f>
        <v>436020</v>
      </c>
      <c r="O43" s="223">
        <f>SUM(O40:O42)</f>
        <v>436020</v>
      </c>
      <c r="Q43" s="223">
        <f>SUM(Q40:Q42)</f>
        <v>436020</v>
      </c>
      <c r="S43" s="223">
        <f>SUM(S40:S42)</f>
        <v>436020</v>
      </c>
      <c r="U43" s="223">
        <f>SUM(U40:U42)</f>
        <v>436020</v>
      </c>
      <c r="W43" s="223">
        <f>SUM(W40:W42)</f>
        <v>436020</v>
      </c>
      <c r="Y43" s="223">
        <f>SUM(Y40:Y42)</f>
        <v>436020</v>
      </c>
      <c r="AA43" s="223">
        <f>SUM(AA40:AA42)</f>
        <v>436020</v>
      </c>
      <c r="AC43" s="223">
        <f>SUM(AC40:AC42)</f>
        <v>436020</v>
      </c>
      <c r="AE43" s="223">
        <f>SUM(AE40:AE42)</f>
        <v>436020</v>
      </c>
      <c r="AG43" s="223">
        <f>SUM(AG40:AG42)</f>
        <v>436020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5">
      <c r="A45" s="223" t="s">
        <v>847</v>
      </c>
      <c r="C45" s="224"/>
      <c r="E45" s="223">
        <f>E37-E43</f>
        <v>88281</v>
      </c>
      <c r="G45" s="223">
        <f>G37-G43</f>
        <v>97879.524999999907</v>
      </c>
      <c r="I45" s="223">
        <f>I37-I43</f>
        <v>107574.14312499983</v>
      </c>
      <c r="K45" s="223">
        <f>K37-K43</f>
        <v>117362.2026531247</v>
      </c>
      <c r="M45" s="223">
        <f>M37-M43</f>
        <v>127240.80830570275</v>
      </c>
      <c r="O45" s="223">
        <f>O37-O43</f>
        <v>137206.80894667422</v>
      </c>
      <c r="Q45" s="223">
        <f>Q37-Q43</f>
        <v>147256.7847569274</v>
      </c>
      <c r="S45" s="223">
        <f>S37-S43</f>
        <v>157387.03386282071</v>
      </c>
      <c r="U45" s="223">
        <f>U37-U43</f>
        <v>167593.55839735502</v>
      </c>
      <c r="W45" s="223">
        <f>W37-W43</f>
        <v>177872.04997166106</v>
      </c>
      <c r="Y45" s="223">
        <f>Y37-Y43</f>
        <v>188217.87453360297</v>
      </c>
      <c r="AA45" s="223">
        <f>AA37-AA43</f>
        <v>198626.05658944719</v>
      </c>
      <c r="AC45" s="223">
        <f>AC37-AC43</f>
        <v>209091.26276361488</v>
      </c>
      <c r="AE45" s="223">
        <f>AE37-AE43</f>
        <v>219607.7846706101</v>
      </c>
      <c r="AG45" s="223">
        <f>AG37-AG43</f>
        <v>230169.52107223775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849</v>
      </c>
      <c r="C47" s="220"/>
      <c r="E47" s="227">
        <f>E45/(E4+E6+E8)</f>
        <v>8.6079096706254021E-2</v>
      </c>
      <c r="G47" s="227">
        <f>G45/(G4+G6+G8)</f>
        <v>9.3110454096408918E-2</v>
      </c>
      <c r="I47" s="227">
        <f>I45/(I4+I6+I8)</f>
        <v>9.9836792921540379E-2</v>
      </c>
      <c r="K47" s="227">
        <f>K45/(K4+K6+K8)</f>
        <v>0.10626423316361064</v>
      </c>
      <c r="M47" s="227">
        <f>M45/(M4+M6+M8)</f>
        <v>0.11239873274575699</v>
      </c>
      <c r="O47" s="227">
        <f>O45/(O4+O6+O8)</f>
        <v>0.11824609135975536</v>
      </c>
      <c r="Q47" s="227">
        <f>Q45/(Q4+Q6+Q8)</f>
        <v>0.12381195419891099</v>
      </c>
      <c r="S47" s="227">
        <f>S45/(S4+S6+S8)</f>
        <v>0.12910181559867384</v>
      </c>
      <c r="U47" s="227">
        <f>U45/(U4+U6+U8)</f>
        <v>0.13412102258721192</v>
      </c>
      <c r="W47" s="227">
        <f>W45/(W4+W6+W8)</f>
        <v>0.13887477834813355</v>
      </c>
      <c r="Y47" s="227">
        <f>Y45/(Y4+Y6+Y8)</f>
        <v>0.14336814559748054</v>
      </c>
      <c r="AA47" s="227">
        <f>AA45/(AA4+AA6+AA8)</f>
        <v>0.1476060498770809</v>
      </c>
      <c r="AC47" s="227">
        <f>AC45/(AC4+AC6+AC8)</f>
        <v>0.15159328276627945</v>
      </c>
      <c r="AE47" s="227">
        <f>AE45/(AE4+AE6+AE8)</f>
        <v>0.15533450501402901</v>
      </c>
      <c r="AG47" s="227">
        <f>AG45/(AG4+AG6+AG8)</f>
        <v>0.15883424959327214</v>
      </c>
    </row>
    <row r="48" spans="1:33" s="227" customFormat="1" ht="14.25">
      <c r="A48" s="227" t="s">
        <v>850</v>
      </c>
      <c r="C48" s="220"/>
      <c r="E48" s="227">
        <f>E45/E43</f>
        <v>0.20247007018026697</v>
      </c>
      <c r="G48" s="227">
        <f>G45/G43</f>
        <v>0.22448402596211162</v>
      </c>
      <c r="I48" s="227">
        <f>I45/I43</f>
        <v>0.24671836871015052</v>
      </c>
      <c r="K48" s="227">
        <f>K45/K43</f>
        <v>0.26916701677245242</v>
      </c>
      <c r="M48" s="227">
        <f>M45/M43</f>
        <v>0.2918233299062033</v>
      </c>
      <c r="O48" s="227">
        <f>O45/O43</f>
        <v>0.31468008106663509</v>
      </c>
      <c r="Q48" s="227">
        <f>Q45/Q43</f>
        <v>0.3377294269917146</v>
      </c>
      <c r="S48" s="227">
        <f>S45/S43</f>
        <v>0.36096287753502293</v>
      </c>
      <c r="U48" s="227">
        <f>U45/U43</f>
        <v>0.38437126369743368</v>
      </c>
      <c r="W48" s="227">
        <f>W45/W43</f>
        <v>0.40794470430636454</v>
      </c>
      <c r="Y48" s="227">
        <f>Y45/Y43</f>
        <v>0.43167257128939718</v>
      </c>
      <c r="AA48" s="227">
        <f>AA45/AA43</f>
        <v>0.45554345348710423</v>
      </c>
      <c r="AC48" s="227">
        <f>AC45/AC43</f>
        <v>0.47954511894778884</v>
      </c>
      <c r="AE48" s="227">
        <f>AE45/AE43</f>
        <v>0.50366447564471839</v>
      </c>
      <c r="AG48" s="227">
        <f>AG45/AG43</f>
        <v>0.52788753055418958</v>
      </c>
    </row>
    <row r="49" spans="1:34" s="228" customFormat="1" ht="14.25">
      <c r="A49" s="228" t="s">
        <v>848</v>
      </c>
      <c r="C49" s="229"/>
      <c r="E49" s="228">
        <f>E37/E43</f>
        <v>1.2024700701802669</v>
      </c>
      <c r="G49" s="228">
        <f>G37/G43</f>
        <v>1.2244840259621117</v>
      </c>
      <c r="I49" s="228">
        <f>I37/I43</f>
        <v>1.2467183687101506</v>
      </c>
      <c r="K49" s="228">
        <f>K37/K43</f>
        <v>1.2691670167724525</v>
      </c>
      <c r="M49" s="228">
        <f>M37/M43</f>
        <v>1.2918233299062032</v>
      </c>
      <c r="O49" s="228">
        <f>O37/O43</f>
        <v>1.314680081066635</v>
      </c>
      <c r="Q49" s="228">
        <f>Q37/Q43</f>
        <v>1.3377294269917146</v>
      </c>
      <c r="S49" s="228">
        <f>S37/S43</f>
        <v>1.3609628775350229</v>
      </c>
      <c r="U49" s="228">
        <f>U37/U43</f>
        <v>1.3843712636974337</v>
      </c>
      <c r="W49" s="228">
        <f>W37/W43</f>
        <v>1.4079447043063644</v>
      </c>
      <c r="Y49" s="228">
        <f>Y37/Y43</f>
        <v>1.4316725712893972</v>
      </c>
      <c r="AA49" s="228">
        <f>AA37/AA43</f>
        <v>1.4555434534871043</v>
      </c>
      <c r="AC49" s="228">
        <f>AC37/AC43</f>
        <v>1.4795451189477888</v>
      </c>
      <c r="AE49" s="228">
        <f>AE37/AE43</f>
        <v>1.5036644756447184</v>
      </c>
      <c r="AG49" s="228">
        <f>AG37/AG43</f>
        <v>1.5278875305541897</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860</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2703</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852</v>
      </c>
      <c r="C53" s="963">
        <v>1</v>
      </c>
      <c r="E53" s="964">
        <v>7200</v>
      </c>
      <c r="G53" s="960">
        <f>E53*$C$53</f>
        <v>7200</v>
      </c>
      <c r="I53" s="960">
        <f>G53*$C$53</f>
        <v>7200</v>
      </c>
      <c r="K53" s="960">
        <f>I53*$C$53</f>
        <v>7200</v>
      </c>
      <c r="M53" s="960">
        <f>K53*$C$53</f>
        <v>7200</v>
      </c>
      <c r="O53" s="960">
        <f>M53*$C$53</f>
        <v>7200</v>
      </c>
      <c r="Q53" s="960">
        <f>O53*$C$53</f>
        <v>7200</v>
      </c>
      <c r="S53" s="960">
        <f>Q53*$C$53</f>
        <v>7200</v>
      </c>
      <c r="U53" s="960">
        <f>S53*$C$53</f>
        <v>7200</v>
      </c>
      <c r="W53" s="960">
        <f>U53*$C$53</f>
        <v>7200</v>
      </c>
      <c r="Y53" s="960">
        <f>W53*$C$53</f>
        <v>7200</v>
      </c>
      <c r="AA53" s="960">
        <f>Y53*$C$53</f>
        <v>7200</v>
      </c>
      <c r="AC53" s="960">
        <f>AA53*$C$53</f>
        <v>7200</v>
      </c>
      <c r="AE53" s="960">
        <f>AC53*$C$53</f>
        <v>7200</v>
      </c>
      <c r="AG53" s="960">
        <f>AE53*$C$53</f>
        <v>7200</v>
      </c>
    </row>
    <row r="54" spans="1:34" s="3" customFormat="1">
      <c r="A54" s="3" t="s">
        <v>853</v>
      </c>
      <c r="C54" s="958"/>
      <c r="E54" s="965">
        <v>5000</v>
      </c>
      <c r="F54" s="960"/>
      <c r="G54" s="960">
        <f t="shared" ref="G54:AG54" si="1">E54*$C$53</f>
        <v>5000</v>
      </c>
      <c r="H54" s="960"/>
      <c r="I54" s="960">
        <f t="shared" si="1"/>
        <v>5000</v>
      </c>
      <c r="J54" s="960"/>
      <c r="K54" s="960">
        <f t="shared" si="1"/>
        <v>5000</v>
      </c>
      <c r="L54" s="960"/>
      <c r="M54" s="960">
        <f t="shared" si="1"/>
        <v>5000</v>
      </c>
      <c r="N54" s="960"/>
      <c r="O54" s="960">
        <f t="shared" si="1"/>
        <v>5000</v>
      </c>
      <c r="P54" s="960"/>
      <c r="Q54" s="960">
        <f t="shared" si="1"/>
        <v>5000</v>
      </c>
      <c r="R54" s="960"/>
      <c r="S54" s="960">
        <f t="shared" si="1"/>
        <v>5000</v>
      </c>
      <c r="T54" s="960"/>
      <c r="U54" s="960">
        <f t="shared" si="1"/>
        <v>5000</v>
      </c>
      <c r="V54" s="960"/>
      <c r="W54" s="960">
        <f t="shared" si="1"/>
        <v>5000</v>
      </c>
      <c r="X54" s="960"/>
      <c r="Y54" s="960">
        <f t="shared" si="1"/>
        <v>5000</v>
      </c>
      <c r="Z54" s="960"/>
      <c r="AA54" s="960">
        <f t="shared" si="1"/>
        <v>5000</v>
      </c>
      <c r="AB54" s="960"/>
      <c r="AC54" s="960">
        <f t="shared" si="1"/>
        <v>5000</v>
      </c>
      <c r="AD54" s="960"/>
      <c r="AE54" s="960">
        <f t="shared" si="1"/>
        <v>5000</v>
      </c>
      <c r="AF54" s="960"/>
      <c r="AG54" s="960">
        <f t="shared" si="1"/>
        <v>5000</v>
      </c>
      <c r="AH54" s="960"/>
    </row>
    <row r="55" spans="1:34" s="3" customFormat="1">
      <c r="A55" s="3" t="s">
        <v>854</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851</v>
      </c>
      <c r="C58" s="961"/>
      <c r="E58" s="960">
        <f>SUM(E53:E57)</f>
        <v>12200</v>
      </c>
      <c r="F58" s="960"/>
      <c r="G58" s="960">
        <f>SUM(G53:G57)</f>
        <v>12200</v>
      </c>
      <c r="H58" s="960"/>
      <c r="I58" s="960">
        <f>SUM(I53:I57)</f>
        <v>12200</v>
      </c>
      <c r="J58" s="960"/>
      <c r="K58" s="960">
        <f>SUM(K53:K57)</f>
        <v>12200</v>
      </c>
      <c r="L58" s="960"/>
      <c r="M58" s="960">
        <f>SUM(M53:M57)</f>
        <v>12200</v>
      </c>
      <c r="N58" s="960"/>
      <c r="O58" s="960">
        <f>SUM(O53:O57)</f>
        <v>12200</v>
      </c>
      <c r="P58" s="960"/>
      <c r="Q58" s="960">
        <f>SUM(Q53:Q57)</f>
        <v>12200</v>
      </c>
      <c r="R58" s="960"/>
      <c r="S58" s="960">
        <f>SUM(S53:S57)</f>
        <v>12200</v>
      </c>
      <c r="T58" s="960"/>
      <c r="U58" s="960">
        <f>SUM(U53:U57)</f>
        <v>12200</v>
      </c>
      <c r="V58" s="960"/>
      <c r="W58" s="960">
        <f>SUM(W53:W57)</f>
        <v>12200</v>
      </c>
      <c r="X58" s="960"/>
      <c r="Y58" s="960">
        <f>SUM(Y53:Y57)</f>
        <v>12200</v>
      </c>
      <c r="Z58" s="960"/>
      <c r="AA58" s="960">
        <f>SUM(AA53:AA57)</f>
        <v>12200</v>
      </c>
      <c r="AB58" s="960"/>
      <c r="AC58" s="960">
        <f>SUM(AC53:AC57)</f>
        <v>12200</v>
      </c>
      <c r="AD58" s="960"/>
      <c r="AE58" s="960">
        <f>SUM(AE53:AE57)</f>
        <v>12200</v>
      </c>
      <c r="AF58" s="960"/>
      <c r="AG58" s="960">
        <f>SUM(AG53:AG57)</f>
        <v>12200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856</v>
      </c>
      <c r="C60" s="969"/>
      <c r="E60" s="962">
        <f>E45-E58</f>
        <v>76081</v>
      </c>
      <c r="G60" s="962">
        <f>G45-G58</f>
        <v>85679.524999999907</v>
      </c>
      <c r="I60" s="962">
        <f>I45-I58</f>
        <v>95374.143124999828</v>
      </c>
      <c r="K60" s="962">
        <f>K45-K58</f>
        <v>105162.2026531247</v>
      </c>
      <c r="M60" s="962">
        <f>M45-M58</f>
        <v>115040.80830570275</v>
      </c>
      <c r="O60" s="962">
        <f>O45-O58</f>
        <v>125006.80894667422</v>
      </c>
      <c r="Q60" s="962">
        <f>Q45-Q58</f>
        <v>135056.7847569274</v>
      </c>
      <c r="S60" s="962">
        <f>S45-S58</f>
        <v>145187.03386282071</v>
      </c>
      <c r="U60" s="962">
        <f>U45-U58</f>
        <v>155393.55839735502</v>
      </c>
      <c r="W60" s="962">
        <f>W45-W58</f>
        <v>165672.04997166106</v>
      </c>
      <c r="Y60" s="962">
        <f>Y45-Y58</f>
        <v>176017.87453360297</v>
      </c>
      <c r="AA60" s="962">
        <f>AA45-AA58</f>
        <v>186426.05658944719</v>
      </c>
      <c r="AC60" s="962">
        <f>AC45-AC58</f>
        <v>196891.26276361488</v>
      </c>
      <c r="AE60" s="962">
        <f>AE45-AE58</f>
        <v>207407.7846706101</v>
      </c>
      <c r="AG60" s="962">
        <f>AG45-AG58</f>
        <v>217969.52107223775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855</v>
      </c>
      <c r="C62" s="959">
        <v>0.25</v>
      </c>
      <c r="E62" s="964">
        <f>E60*$C$62</f>
        <v>19020.25</v>
      </c>
      <c r="G62" s="962">
        <f>G60*$C$62</f>
        <v>21419.881249999977</v>
      </c>
      <c r="I62" s="962">
        <f>I60*$C$62</f>
        <v>23843.535781249957</v>
      </c>
      <c r="K62" s="962">
        <f>K60*$C$62</f>
        <v>26290.550663281174</v>
      </c>
      <c r="M62" s="962">
        <f>M60*$C$62</f>
        <v>28760.202076425689</v>
      </c>
      <c r="O62" s="962">
        <f>O60*$C$62</f>
        <v>31251.702236668556</v>
      </c>
      <c r="Q62" s="962">
        <f>Q60*$C$62</f>
        <v>33764.19618923185</v>
      </c>
      <c r="S62" s="962">
        <f>S60*$C$62</f>
        <v>36296.758465705178</v>
      </c>
      <c r="U62" s="962">
        <f>U60*$C$62</f>
        <v>38848.389599338756</v>
      </c>
      <c r="W62" s="962">
        <f>W60*$C$62</f>
        <v>41418.012492915266</v>
      </c>
      <c r="Y62" s="962">
        <f>Y60*$C$62</f>
        <v>44004.468633400742</v>
      </c>
      <c r="AA62" s="962">
        <f>AA60*$C$62</f>
        <v>46606.514147361799</v>
      </c>
      <c r="AC62" s="962">
        <f>AC60*$C$62</f>
        <v>49222.815690903721</v>
      </c>
      <c r="AE62" s="962">
        <f>AE60*$C$62</f>
        <v>51851.946167652524</v>
      </c>
      <c r="AG62" s="962">
        <f>AG60*$C$62</f>
        <v>54492.380268059438</v>
      </c>
    </row>
    <row r="63" spans="1:34" s="962" customFormat="1">
      <c r="A63" s="2692" t="s">
        <v>2704</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859</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2705</v>
      </c>
      <c r="B66" s="964"/>
      <c r="C66" s="963"/>
      <c r="E66" s="964">
        <f>$E60*$C$65</f>
        <v>57060.75</v>
      </c>
      <c r="G66" s="960">
        <f>G60*$C$65</f>
        <v>64259.64374999993</v>
      </c>
      <c r="I66" s="960">
        <f>I60*$C$65</f>
        <v>71530.607343749871</v>
      </c>
      <c r="K66" s="960">
        <f>K60*$C$65</f>
        <v>78871.651989843522</v>
      </c>
      <c r="M66" s="960">
        <f>M60*$C$65</f>
        <v>86280.606229277066</v>
      </c>
      <c r="O66" s="960">
        <f>O60*$C$65</f>
        <v>93755.106710005668</v>
      </c>
      <c r="Q66" s="960">
        <f>Q60*$C$65</f>
        <v>101292.58856769555</v>
      </c>
      <c r="S66" s="960">
        <f>S60*$C$65</f>
        <v>108890.27539711553</v>
      </c>
      <c r="U66" s="960">
        <f>U60*$C$65</f>
        <v>116545.16879801627</v>
      </c>
      <c r="W66" s="960">
        <f>W60*$C$65</f>
        <v>124254.0374787458</v>
      </c>
      <c r="Y66" s="960">
        <f>Y60*$C$65</f>
        <v>132013.40590020223</v>
      </c>
      <c r="AA66" s="960">
        <f>AA60*$C$65</f>
        <v>139819.5424420854</v>
      </c>
      <c r="AC66" s="960">
        <f>AC60*$C$65</f>
        <v>147668.44707271116</v>
      </c>
      <c r="AE66" s="960">
        <f>AE60*$C$65</f>
        <v>155555.83850295757</v>
      </c>
      <c r="AG66" s="960">
        <f>AG60*$C$65</f>
        <v>163477.14080417831</v>
      </c>
    </row>
    <row r="67" spans="1:34" s="960" customFormat="1">
      <c r="A67" s="965" t="s">
        <v>2757</v>
      </c>
      <c r="B67" s="965"/>
      <c r="C67" s="970"/>
      <c r="E67" s="964"/>
    </row>
    <row r="68" spans="1:34" s="960" customFormat="1">
      <c r="A68" s="965" t="s">
        <v>2744</v>
      </c>
      <c r="B68" s="965"/>
      <c r="C68" s="970"/>
      <c r="E68" s="965"/>
    </row>
    <row r="69" spans="1:34" s="960" customFormat="1">
      <c r="A69" s="965" t="s">
        <v>2745</v>
      </c>
      <c r="B69" s="965"/>
      <c r="C69" s="970"/>
      <c r="E69" s="967"/>
      <c r="G69" s="968"/>
      <c r="I69" s="968"/>
      <c r="K69" s="968"/>
      <c r="M69" s="968"/>
      <c r="O69" s="968"/>
      <c r="Q69" s="968"/>
      <c r="S69" s="968"/>
      <c r="U69" s="968"/>
      <c r="W69" s="968"/>
      <c r="Y69" s="968"/>
      <c r="AA69" s="968"/>
      <c r="AC69" s="968"/>
      <c r="AE69" s="968"/>
      <c r="AG69" s="968"/>
    </row>
    <row r="70" spans="1:34" s="960" customFormat="1">
      <c r="A70" s="962" t="s">
        <v>851</v>
      </c>
      <c r="C70" s="970"/>
      <c r="E70" s="960">
        <f>SUM(E66:E69)</f>
        <v>57060.75</v>
      </c>
      <c r="G70" s="960">
        <f>SUM(G66:G69)</f>
        <v>64259.64374999993</v>
      </c>
      <c r="I70" s="960">
        <f>SUM(I66:I69)</f>
        <v>71530.607343749871</v>
      </c>
      <c r="K70" s="960">
        <f>SUM(K66:K69)</f>
        <v>78871.651989843522</v>
      </c>
      <c r="M70" s="960">
        <f>SUM(M66:M69)</f>
        <v>86280.606229277066</v>
      </c>
      <c r="O70" s="960">
        <f>SUM(O66:O69)</f>
        <v>93755.106710005668</v>
      </c>
      <c r="Q70" s="960">
        <f>SUM(Q66:Q69)</f>
        <v>101292.58856769555</v>
      </c>
      <c r="S70" s="960">
        <f>SUM(S66:S69)</f>
        <v>108890.27539711553</v>
      </c>
      <c r="U70" s="960">
        <f>SUM(U66:U69)</f>
        <v>116545.16879801627</v>
      </c>
      <c r="W70" s="960">
        <f>SUM(W66:W69)</f>
        <v>124254.0374787458</v>
      </c>
      <c r="Y70" s="960">
        <f>SUM(Y66:Y69)</f>
        <v>132013.40590020223</v>
      </c>
      <c r="AA70" s="960">
        <f>SUM(AA66:AA69)</f>
        <v>139819.5424420854</v>
      </c>
      <c r="AC70" s="960">
        <f>SUM(AC66:AC69)</f>
        <v>147668.44707271116</v>
      </c>
      <c r="AE70" s="960">
        <f>SUM(AE66:AE69)</f>
        <v>155555.83850295757</v>
      </c>
      <c r="AG70" s="960">
        <f>SUM(AG66:AG69)</f>
        <v>163477.14080417831</v>
      </c>
    </row>
    <row r="71" spans="1:34" s="960" customFormat="1">
      <c r="A71" s="962"/>
      <c r="C71" s="970"/>
    </row>
    <row r="72" spans="1:34" s="960" customFormat="1">
      <c r="A72" s="962" t="s">
        <v>1721</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1720</v>
      </c>
      <c r="C75" s="183"/>
    </row>
    <row r="76" spans="1:34" s="217" customFormat="1">
      <c r="C76" s="183"/>
    </row>
    <row r="77" spans="1:34" s="234" customFormat="1" ht="30" customHeight="1">
      <c r="A77" s="2690" t="s">
        <v>1719</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 zeroHeight="1"/>
  <cols>
    <col min="1" max="1" width="161.7265625" customWidth="1"/>
    <col min="2" max="16384" width="8.81640625" hidden="1"/>
  </cols>
  <sheetData>
    <row r="1" spans="1:1" ht="47.25">
      <c r="A1" s="313" t="s">
        <v>969</v>
      </c>
    </row>
    <row r="2" spans="1:1" ht="15.75">
      <c r="A2" s="314"/>
    </row>
    <row r="3" spans="1:1" ht="15.75">
      <c r="A3" s="315" t="s">
        <v>964</v>
      </c>
    </row>
    <row r="4" spans="1:1" ht="15.75">
      <c r="A4" s="315" t="s">
        <v>965</v>
      </c>
    </row>
    <row r="5" spans="1:1" ht="15.75">
      <c r="A5" s="315" t="s">
        <v>966</v>
      </c>
    </row>
    <row r="6" spans="1:1" ht="15.75">
      <c r="A6" s="315" t="s">
        <v>968</v>
      </c>
    </row>
    <row r="7" spans="1:1" ht="15.75">
      <c r="A7" s="315" t="s">
        <v>967</v>
      </c>
    </row>
    <row r="8" spans="1:1" ht="15.75">
      <c r="A8" s="346" t="s">
        <v>1022</v>
      </c>
    </row>
    <row r="9" spans="1:1" ht="15.75">
      <c r="A9" s="315"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3" zeroHeight="1"/>
  <cols>
    <col min="1" max="1" width="35.7265625" style="204" customWidth="1"/>
    <col min="2" max="4" width="14.7265625" style="204" customWidth="1"/>
    <col min="5" max="5" width="50.7265625" style="204" customWidth="1"/>
    <col min="6" max="253" width="9.08984375" style="204" customWidth="1"/>
    <col min="254" max="16384" width="9.08984375" style="204"/>
  </cols>
  <sheetData>
    <row r="1" spans="1:6" s="275" customFormat="1" ht="18" customHeight="1">
      <c r="A1" s="513" t="s">
        <v>1215</v>
      </c>
      <c r="D1" s="280"/>
    </row>
    <row r="2" spans="1:6" s="275" customFormat="1" ht="13.25">
      <c r="A2" s="259" t="s">
        <v>887</v>
      </c>
      <c r="B2" s="261"/>
      <c r="C2" s="261"/>
      <c r="D2" s="258"/>
      <c r="E2" s="262"/>
      <c r="F2" s="261"/>
    </row>
    <row r="3" spans="1:6" s="351" customFormat="1" ht="80.25" customHeight="1">
      <c r="A3" s="277"/>
      <c r="B3" s="263" t="s">
        <v>888</v>
      </c>
      <c r="C3" s="263" t="s">
        <v>889</v>
      </c>
      <c r="D3" s="263" t="s">
        <v>890</v>
      </c>
      <c r="E3" s="260" t="s">
        <v>891</v>
      </c>
      <c r="F3" s="260"/>
    </row>
    <row r="4" spans="1:6" s="352" customFormat="1">
      <c r="A4" s="264" t="s">
        <v>26</v>
      </c>
      <c r="B4" s="264"/>
      <c r="C4" s="264"/>
      <c r="D4" s="264"/>
      <c r="E4" s="282"/>
      <c r="F4" s="264"/>
    </row>
    <row r="5" spans="1:6" s="352" customFormat="1">
      <c r="A5" s="364" t="s">
        <v>27</v>
      </c>
      <c r="B5" s="266">
        <f>'Sources and Uses Budget'!$C4</f>
        <v>580000</v>
      </c>
      <c r="C5" s="266">
        <f>'Sources and Uses Budget'!$C4</f>
        <v>580000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580000</v>
      </c>
      <c r="C9" s="270">
        <f>SUM(C5:C8)</f>
        <v>580000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0</v>
      </c>
      <c r="C12" s="270">
        <f>SUM(C10:C11)</f>
        <v>0</v>
      </c>
      <c r="D12" s="270">
        <f t="shared" si="0"/>
        <v>0</v>
      </c>
      <c r="E12" s="268"/>
      <c r="F12" s="267"/>
    </row>
    <row r="13" spans="1:6" s="352" customFormat="1">
      <c r="A13" s="365" t="s">
        <v>84</v>
      </c>
      <c r="B13" s="270">
        <f>SUM(B9+B12)</f>
        <v>580000</v>
      </c>
      <c r="C13" s="270">
        <f>SUM(C9+C12)</f>
        <v>580000</v>
      </c>
      <c r="D13" s="270">
        <f t="shared" si="0"/>
        <v>0</v>
      </c>
      <c r="E13" s="268"/>
      <c r="F13" s="267"/>
    </row>
    <row r="14" spans="1:6" s="352" customFormat="1">
      <c r="A14" s="366" t="s">
        <v>900</v>
      </c>
      <c r="B14" s="266">
        <f>'Sources and Uses Budget'!$C13</f>
        <v>0</v>
      </c>
      <c r="C14" s="266">
        <f>'Sources and Uses Budget'!$C13</f>
        <v>0</v>
      </c>
      <c r="D14" s="270">
        <f t="shared" si="0"/>
        <v>0</v>
      </c>
      <c r="E14" s="268"/>
      <c r="F14" s="267"/>
    </row>
    <row r="15" spans="1:6" s="352" customFormat="1" ht="23.5">
      <c r="A15" s="364" t="s">
        <v>901</v>
      </c>
      <c r="B15" s="266">
        <f>'Sources and Uses Budget'!$C14</f>
        <v>0</v>
      </c>
      <c r="C15" s="266">
        <f>'Sources and Uses Budget'!$C14</f>
        <v>0</v>
      </c>
      <c r="D15" s="270">
        <f t="shared" si="0"/>
        <v>0</v>
      </c>
      <c r="E15" s="268"/>
      <c r="F15" s="267"/>
    </row>
    <row r="16" spans="1:6" s="352" customFormat="1">
      <c r="A16" s="364" t="s">
        <v>1159</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1638</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2520000</v>
      </c>
      <c r="C30" s="266">
        <f>'Sources and Uses Budget'!$C29</f>
        <v>2520000</v>
      </c>
      <c r="D30" s="270">
        <f t="shared" si="0"/>
        <v>0</v>
      </c>
      <c r="E30" s="268"/>
      <c r="F30" s="267"/>
    </row>
    <row r="31" spans="1:6" s="352" customFormat="1">
      <c r="A31" s="145" t="s">
        <v>598</v>
      </c>
      <c r="B31" s="266">
        <f>'Sources and Uses Budget'!$C30</f>
        <v>31448200</v>
      </c>
      <c r="C31" s="266">
        <f>'Sources and Uses Budget'!$C30</f>
        <v>31448200</v>
      </c>
      <c r="D31" s="270">
        <f t="shared" si="0"/>
        <v>0</v>
      </c>
      <c r="E31" s="268"/>
      <c r="F31" s="267"/>
    </row>
    <row r="32" spans="1:6" s="352" customFormat="1">
      <c r="A32" s="145" t="s">
        <v>599</v>
      </c>
      <c r="B32" s="266">
        <f>'Sources and Uses Budget'!$C31</f>
        <v>2038092</v>
      </c>
      <c r="C32" s="266">
        <f>'Sources and Uses Budget'!$C31</f>
        <v>2038092</v>
      </c>
      <c r="D32" s="270">
        <f t="shared" si="0"/>
        <v>0</v>
      </c>
      <c r="E32" s="268"/>
      <c r="F32" s="267"/>
    </row>
    <row r="33" spans="1:6" s="352" customFormat="1">
      <c r="A33" s="145" t="s">
        <v>137</v>
      </c>
      <c r="B33" s="266">
        <f>'Sources and Uses Budget'!$C32</f>
        <v>720126</v>
      </c>
      <c r="C33" s="266">
        <f>'Sources and Uses Budget'!$C32</f>
        <v>720126</v>
      </c>
      <c r="D33" s="270">
        <f t="shared" si="0"/>
        <v>0</v>
      </c>
      <c r="E33" s="268"/>
      <c r="F33" s="267"/>
    </row>
    <row r="34" spans="1:6" s="352" customFormat="1">
      <c r="A34" s="145" t="s">
        <v>138</v>
      </c>
      <c r="B34" s="266">
        <f>'Sources and Uses Budget'!$C33</f>
        <v>2160378</v>
      </c>
      <c r="C34" s="266">
        <f>'Sources and Uses Budget'!$C33</f>
        <v>2160378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375000</v>
      </c>
      <c r="C36" s="266">
        <f>'Sources and Uses Budget'!$C35</f>
        <v>375000</v>
      </c>
      <c r="D36" s="270">
        <f t="shared" si="0"/>
        <v>0</v>
      </c>
      <c r="E36" s="268"/>
      <c r="F36" s="267"/>
    </row>
    <row r="37" spans="1:6" s="352" customFormat="1">
      <c r="A37" s="283" t="s">
        <v>1638</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39261796</v>
      </c>
      <c r="C39" s="270">
        <f>SUM(C30:C38)</f>
        <v>39261796</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500000</v>
      </c>
      <c r="C41" s="266">
        <f>'Sources and Uses Budget'!$C40</f>
        <v>500000</v>
      </c>
      <c r="D41" s="270">
        <f t="shared" si="0"/>
        <v>0</v>
      </c>
      <c r="E41" s="268"/>
      <c r="F41" s="267"/>
    </row>
    <row r="42" spans="1:6" s="352" customFormat="1">
      <c r="A42" s="269" t="s">
        <v>146</v>
      </c>
      <c r="B42" s="266">
        <f>'Sources and Uses Budget'!$C41</f>
        <v>100000</v>
      </c>
      <c r="C42" s="266">
        <f>'Sources and Uses Budget'!$C41</f>
        <v>100000</v>
      </c>
      <c r="D42" s="270">
        <f t="shared" si="0"/>
        <v>0</v>
      </c>
      <c r="E42" s="268"/>
      <c r="F42" s="267"/>
    </row>
    <row r="43" spans="1:6" s="352" customFormat="1">
      <c r="A43" s="271" t="s">
        <v>147</v>
      </c>
      <c r="B43" s="270">
        <f>SUM(B41:B42)</f>
        <v>600000</v>
      </c>
      <c r="C43" s="270">
        <f>SUM(C41:C42)</f>
        <v>600000</v>
      </c>
      <c r="D43" s="270">
        <f t="shared" si="0"/>
        <v>0</v>
      </c>
      <c r="E43" s="268"/>
      <c r="F43" s="267"/>
    </row>
    <row r="44" spans="1:6" s="352" customFormat="1">
      <c r="A44" s="271" t="s">
        <v>148</v>
      </c>
      <c r="B44" s="266">
        <f>'Sources and Uses Budget'!$C43</f>
        <v>190000</v>
      </c>
      <c r="C44" s="266">
        <f>'Sources and Uses Budget'!$C43</f>
        <v>190000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2760000</v>
      </c>
      <c r="C46" s="266">
        <f>'Sources and Uses Budget'!$C45</f>
        <v>2760000</v>
      </c>
      <c r="D46" s="270">
        <f t="shared" si="0"/>
        <v>0</v>
      </c>
      <c r="E46" s="268"/>
      <c r="F46" s="267"/>
    </row>
    <row r="47" spans="1:6" s="352" customFormat="1">
      <c r="A47" s="145" t="s">
        <v>151</v>
      </c>
      <c r="B47" s="266">
        <f>'Sources and Uses Budget'!$C46</f>
        <v>360000</v>
      </c>
      <c r="C47" s="266">
        <f>'Sources and Uses Budget'!$C46</f>
        <v>360000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80000</v>
      </c>
      <c r="C50" s="266">
        <f>'Sources and Uses Budget'!$C49</f>
        <v>80000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237600</v>
      </c>
      <c r="C53" s="266">
        <f>'Sources and Uses Budget'!$C52</f>
        <v>237600</v>
      </c>
      <c r="D53" s="270">
        <f t="shared" si="0"/>
        <v>0</v>
      </c>
      <c r="E53" s="268"/>
      <c r="F53" s="267"/>
    </row>
    <row r="54" spans="1:6" s="352" customFormat="1">
      <c r="A54" s="155" t="str">
        <f>'Sources and Uses Budget'!A53</f>
        <v>Construction Lender Costs (Legal, Etc.)</v>
      </c>
      <c r="B54" s="266">
        <f>'Sources and Uses Budget'!$C53</f>
        <v>100000</v>
      </c>
      <c r="C54" s="266">
        <f>'Sources and Uses Budget'!$C53</f>
        <v>100000</v>
      </c>
      <c r="D54" s="270">
        <f t="shared" si="0"/>
        <v>0</v>
      </c>
      <c r="E54" s="268"/>
      <c r="F54" s="267"/>
    </row>
    <row r="55" spans="1:6" s="353" customFormat="1">
      <c r="A55" s="271" t="s">
        <v>157</v>
      </c>
      <c r="B55" s="273">
        <f>SUM(B46:B54)</f>
        <v>3717600</v>
      </c>
      <c r="C55" s="273">
        <f>SUM(C46:C54)</f>
        <v>3717600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64000</v>
      </c>
      <c r="C57" s="266">
        <f>'Sources and Uses Budget'!$C56</f>
        <v>64000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301</v>
      </c>
      <c r="B63" s="270">
        <f>SUM(B57:B62)</f>
        <v>114000</v>
      </c>
      <c r="C63" s="270">
        <f>SUM(C57:C62)</f>
        <v>114000</v>
      </c>
      <c r="D63" s="270">
        <f t="shared" si="0"/>
        <v>0</v>
      </c>
      <c r="E63" s="268"/>
      <c r="F63" s="267"/>
    </row>
    <row r="64" spans="1:6" s="352" customFormat="1">
      <c r="A64" s="274" t="s">
        <v>302</v>
      </c>
      <c r="B64" s="270">
        <f>SUM(B9+B12+B14+B15+B17+B26+B28+B39+B43+B44+B55+B63)</f>
        <v>44463396</v>
      </c>
      <c r="C64" s="270">
        <f>SUM(C9+C12+C14+C15+C17+C26+C28+C39+C43+C44+C55+C63)</f>
        <v>44463396</v>
      </c>
      <c r="D64" s="270">
        <f t="shared" si="0"/>
        <v>0</v>
      </c>
      <c r="E64" s="268"/>
      <c r="F64" s="267"/>
    </row>
    <row r="65" spans="1:6" s="352" customFormat="1" ht="23.5">
      <c r="A65" s="141" t="s">
        <v>1642</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3.5">
      <c r="A67" s="283" t="s">
        <v>1639</v>
      </c>
      <c r="B67" s="266">
        <f>'Sources and Uses Budget'!$C66</f>
        <v>0</v>
      </c>
      <c r="C67" s="266">
        <f>'Sources and Uses Budget'!$C66</f>
        <v>0</v>
      </c>
      <c r="D67" s="270"/>
      <c r="E67" s="268"/>
      <c r="F67" s="267"/>
    </row>
    <row r="68" spans="1:6" s="352" customFormat="1" ht="23.5">
      <c r="A68" s="283" t="s">
        <v>1640</v>
      </c>
      <c r="B68" s="266">
        <f>'Sources and Uses Budget'!$C67</f>
        <v>0</v>
      </c>
      <c r="C68" s="266">
        <f>'Sources and Uses Budget'!$C67</f>
        <v>0</v>
      </c>
      <c r="D68" s="270"/>
      <c r="E68" s="268"/>
      <c r="F68" s="267"/>
    </row>
    <row r="69" spans="1:6" s="352" customFormat="1">
      <c r="A69" s="283" t="s">
        <v>1646</v>
      </c>
      <c r="B69" s="266">
        <f>'Sources and Uses Budget'!$C68</f>
        <v>0</v>
      </c>
      <c r="C69" s="266">
        <f>'Sources and Uses Budget'!$C68</f>
        <v>0</v>
      </c>
      <c r="D69" s="270"/>
      <c r="E69" s="268"/>
      <c r="F69" s="267"/>
    </row>
    <row r="70" spans="1:6" s="352" customFormat="1">
      <c r="A70" s="155" t="str">
        <f>'Sources and Uses Budget'!A69</f>
        <v>Bond Counsel</v>
      </c>
      <c r="B70" s="266">
        <f>'Sources and Uses Budget'!$C69</f>
        <v>80000</v>
      </c>
      <c r="C70" s="266">
        <f>'Sources and Uses Budget'!$C69</f>
        <v>80000</v>
      </c>
      <c r="D70" s="270">
        <f t="shared" si="0"/>
        <v>0</v>
      </c>
      <c r="E70" s="268"/>
      <c r="F70" s="267"/>
    </row>
    <row r="71" spans="1:6" s="352" customFormat="1">
      <c r="A71" s="149" t="s">
        <v>1643</v>
      </c>
      <c r="B71" s="270">
        <f>SUM(B66:B70)</f>
        <v>180000</v>
      </c>
      <c r="C71" s="270">
        <f>SUM(C66:C70)</f>
        <v>180000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984</v>
      </c>
      <c r="B75" s="266">
        <f>'Sources and Uses Budget'!$C74</f>
        <v>0</v>
      </c>
      <c r="C75" s="266">
        <f>'Sources and Uses Budget'!$C74</f>
        <v>0</v>
      </c>
      <c r="D75" s="270">
        <f t="shared" si="0"/>
        <v>0</v>
      </c>
      <c r="E75" s="268"/>
      <c r="F75" s="267"/>
    </row>
    <row r="76" spans="1:6" s="352" customFormat="1">
      <c r="A76" s="269" t="s">
        <v>604</v>
      </c>
      <c r="B76" s="266">
        <f>'Sources and Uses Budget'!$C75</f>
        <v>221505</v>
      </c>
      <c r="C76" s="266">
        <f>'Sources and Uses Budget'!$C75</f>
        <v>221505</v>
      </c>
      <c r="D76" s="270">
        <f t="shared" si="0"/>
        <v>0</v>
      </c>
      <c r="E76" s="268"/>
      <c r="F76" s="267"/>
    </row>
    <row r="77" spans="1:6" s="352" customFormat="1">
      <c r="A77" s="272" t="s">
        <v>34</v>
      </c>
      <c r="B77" s="266">
        <f>'Sources and Uses Budget'!$C76</f>
        <v>150000</v>
      </c>
      <c r="C77" s="266">
        <f>'Sources and Uses Budget'!$C76</f>
        <v>150000</v>
      </c>
      <c r="D77" s="270">
        <f t="shared" si="0"/>
        <v>0</v>
      </c>
      <c r="E77" s="268"/>
      <c r="F77" s="267"/>
    </row>
    <row r="78" spans="1:6" s="352" customFormat="1">
      <c r="A78" s="271" t="s">
        <v>605</v>
      </c>
      <c r="B78" s="270">
        <f>SUM(B73:B77)</f>
        <v>371505</v>
      </c>
      <c r="C78" s="270">
        <f>SUM(C73:C77)</f>
        <v>371505</v>
      </c>
      <c r="D78" s="270">
        <f t="shared" ref="D78:D106" si="1">C78-B78</f>
        <v>0</v>
      </c>
      <c r="E78" s="268"/>
      <c r="F78" s="267"/>
    </row>
    <row r="79" spans="1:6" s="352" customFormat="1">
      <c r="A79" s="264" t="s">
        <v>1208</v>
      </c>
      <c r="B79" s="264"/>
      <c r="C79" s="264"/>
      <c r="D79" s="264"/>
      <c r="E79" s="282"/>
      <c r="F79" s="264"/>
    </row>
    <row r="80" spans="1:6" s="352" customFormat="1">
      <c r="A80" s="510" t="s">
        <v>1210</v>
      </c>
      <c r="B80" s="266">
        <f>'Sources and Uses Budget'!$C79</f>
        <v>1950000</v>
      </c>
      <c r="C80" s="266">
        <f>'Sources and Uses Budget'!$C79</f>
        <v>1950000</v>
      </c>
      <c r="D80" s="270">
        <f t="shared" si="1"/>
        <v>0</v>
      </c>
      <c r="E80" s="268"/>
      <c r="F80" s="267"/>
    </row>
    <row r="81" spans="1:6" s="352" customFormat="1">
      <c r="A81" s="510" t="s">
        <v>58</v>
      </c>
      <c r="B81" s="266">
        <f>'Sources and Uses Budget'!$C80</f>
        <v>500000</v>
      </c>
      <c r="C81" s="266">
        <f>'Sources and Uses Budget'!$C80</f>
        <v>500000</v>
      </c>
      <c r="D81" s="270">
        <f>C81-B81</f>
        <v>0</v>
      </c>
      <c r="E81" s="268"/>
      <c r="F81" s="267"/>
    </row>
    <row r="82" spans="1:6" s="352" customFormat="1">
      <c r="A82" s="271" t="s">
        <v>1207</v>
      </c>
      <c r="B82" s="270">
        <f>SUM(B80:B81)</f>
        <v>2450000</v>
      </c>
      <c r="C82" s="270">
        <f>SUM(C80:C81)</f>
        <v>2450000</v>
      </c>
      <c r="D82" s="270">
        <f t="shared" si="1"/>
        <v>0</v>
      </c>
      <c r="E82" s="268"/>
      <c r="F82" s="267"/>
    </row>
    <row r="83" spans="1:6" s="352" customFormat="1">
      <c r="A83" s="264" t="s">
        <v>763</v>
      </c>
      <c r="B83" s="264"/>
      <c r="C83" s="264"/>
      <c r="D83" s="264"/>
      <c r="E83" s="282"/>
      <c r="F83" s="264"/>
    </row>
    <row r="84" spans="1:6" s="352" customFormat="1" ht="13.75" customHeight="1">
      <c r="A84" s="269" t="s">
        <v>764</v>
      </c>
      <c r="B84" s="266">
        <f>'Sources and Uses Budget'!$C83</f>
        <v>60201</v>
      </c>
      <c r="C84" s="266">
        <f>'Sources and Uses Budget'!$C83</f>
        <v>60201</v>
      </c>
      <c r="D84" s="270">
        <f t="shared" si="1"/>
        <v>0</v>
      </c>
      <c r="E84" s="268"/>
      <c r="F84" s="267"/>
    </row>
    <row r="85" spans="1:6" s="352" customFormat="1">
      <c r="A85" s="269" t="s">
        <v>765</v>
      </c>
      <c r="B85" s="266">
        <f>'Sources and Uses Budget'!$C84</f>
        <v>10000</v>
      </c>
      <c r="C85" s="266">
        <f>'Sources and Uses Budget'!$C84</f>
        <v>10000</v>
      </c>
      <c r="D85" s="270">
        <f t="shared" si="1"/>
        <v>0</v>
      </c>
      <c r="E85" s="268"/>
      <c r="F85" s="267"/>
    </row>
    <row r="86" spans="1:6" s="352" customFormat="1">
      <c r="A86" s="269" t="s">
        <v>766</v>
      </c>
      <c r="B86" s="266">
        <f>'Sources and Uses Budget'!$C85</f>
        <v>1081929</v>
      </c>
      <c r="C86" s="266">
        <f>'Sources and Uses Budget'!$C85</f>
        <v>1081929</v>
      </c>
      <c r="D86" s="270">
        <f t="shared" si="1"/>
        <v>0</v>
      </c>
      <c r="E86" s="268"/>
      <c r="F86" s="267"/>
    </row>
    <row r="87" spans="1:6" s="352" customFormat="1">
      <c r="A87" s="269" t="s">
        <v>767</v>
      </c>
      <c r="B87" s="266">
        <f>'Sources and Uses Budget'!$C86</f>
        <v>470000</v>
      </c>
      <c r="C87" s="266">
        <f>'Sources and Uses Budget'!$C86</f>
        <v>470000</v>
      </c>
      <c r="D87" s="270">
        <f t="shared" si="1"/>
        <v>0</v>
      </c>
      <c r="E87" s="268"/>
      <c r="F87" s="267"/>
    </row>
    <row r="88" spans="1:6" s="352" customFormat="1">
      <c r="A88" s="269" t="s">
        <v>768</v>
      </c>
      <c r="B88" s="266">
        <f>'Sources and Uses Budget'!$C87</f>
        <v>0</v>
      </c>
      <c r="C88" s="266">
        <f>'Sources and Uses Budget'!$C87</f>
        <v>0</v>
      </c>
      <c r="D88" s="270">
        <f t="shared" si="1"/>
        <v>0</v>
      </c>
      <c r="E88" s="268"/>
      <c r="F88" s="267"/>
    </row>
    <row r="89" spans="1:6" s="352" customFormat="1">
      <c r="A89" s="269" t="s">
        <v>769</v>
      </c>
      <c r="B89" s="266">
        <f>'Sources and Uses Budget'!$C88</f>
        <v>59045</v>
      </c>
      <c r="C89" s="266">
        <f>'Sources and Uses Budget'!$C88</f>
        <v>59045</v>
      </c>
      <c r="D89" s="270">
        <f t="shared" si="1"/>
        <v>0</v>
      </c>
      <c r="E89" s="268"/>
      <c r="F89" s="267"/>
    </row>
    <row r="90" spans="1:6" s="352" customFormat="1">
      <c r="A90" s="269" t="s">
        <v>770</v>
      </c>
      <c r="B90" s="266">
        <f>'Sources and Uses Budget'!$C89</f>
        <v>40000</v>
      </c>
      <c r="C90" s="266">
        <f>'Sources and Uses Budget'!$C89</f>
        <v>40000</v>
      </c>
      <c r="D90" s="270">
        <f t="shared" si="1"/>
        <v>0</v>
      </c>
      <c r="E90" s="268"/>
      <c r="F90" s="267"/>
    </row>
    <row r="91" spans="1:6" s="352" customFormat="1">
      <c r="A91" s="269" t="s">
        <v>771</v>
      </c>
      <c r="B91" s="266">
        <f>'Sources and Uses Budget'!$C90</f>
        <v>10000</v>
      </c>
      <c r="C91" s="266">
        <f>'Sources and Uses Budget'!$C90</f>
        <v>10000</v>
      </c>
      <c r="D91" s="270">
        <f t="shared" si="1"/>
        <v>0</v>
      </c>
      <c r="E91" s="268"/>
      <c r="F91" s="267"/>
    </row>
    <row r="92" spans="1:6" s="352" customFormat="1">
      <c r="A92" s="269" t="s">
        <v>372</v>
      </c>
      <c r="B92" s="266">
        <f>'Sources and Uses Budget'!$C91</f>
        <v>15000</v>
      </c>
      <c r="C92" s="266">
        <f>'Sources and Uses Budget'!$C91</f>
        <v>15000</v>
      </c>
      <c r="D92" s="270">
        <f t="shared" si="1"/>
        <v>0</v>
      </c>
      <c r="E92" s="268"/>
      <c r="F92" s="267"/>
    </row>
    <row r="93" spans="1:6" s="352" customFormat="1">
      <c r="A93" s="510" t="s">
        <v>1209</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772</v>
      </c>
      <c r="B97" s="270">
        <f>SUM(B84:B96)</f>
        <v>1761175</v>
      </c>
      <c r="C97" s="270">
        <f>SUM(C84:C96)</f>
        <v>1761175</v>
      </c>
      <c r="D97" s="270">
        <f t="shared" si="1"/>
        <v>0</v>
      </c>
      <c r="E97" s="268"/>
      <c r="F97" s="267"/>
    </row>
    <row r="98" spans="1:6" s="352" customFormat="1">
      <c r="A98" s="271" t="s">
        <v>773</v>
      </c>
      <c r="B98" s="270">
        <f>SUM(B64+B71+B78+B82+B97)</f>
        <v>49226076</v>
      </c>
      <c r="C98" s="270">
        <f>SUM(C64+C71+C78+C82+C97)</f>
        <v>49226076</v>
      </c>
      <c r="D98" s="270">
        <f t="shared" si="1"/>
        <v>0</v>
      </c>
      <c r="E98" s="268"/>
      <c r="F98" s="267"/>
    </row>
    <row r="99" spans="1:6" s="352" customFormat="1">
      <c r="A99" s="264" t="s">
        <v>774</v>
      </c>
      <c r="B99" s="264"/>
      <c r="C99" s="264"/>
      <c r="D99" s="264"/>
      <c r="E99" s="282"/>
      <c r="F99" s="264"/>
    </row>
    <row r="100" spans="1:6" s="352" customFormat="1">
      <c r="A100" s="145" t="s">
        <v>775</v>
      </c>
      <c r="B100" s="266">
        <f>'Sources and Uses Budget'!$C99</f>
        <v>7194198</v>
      </c>
      <c r="C100" s="266">
        <f>'Sources and Uses Budget'!$C99</f>
        <v>7194198</v>
      </c>
      <c r="D100" s="270">
        <f t="shared" si="1"/>
        <v>0</v>
      </c>
      <c r="E100" s="268"/>
      <c r="F100" s="267"/>
    </row>
    <row r="101" spans="1:6" s="352" customFormat="1">
      <c r="A101" s="283" t="s">
        <v>1644</v>
      </c>
      <c r="B101" s="266">
        <f>'Sources and Uses Budget'!$C100</f>
        <v>0</v>
      </c>
      <c r="C101" s="266">
        <f>'Sources and Uses Budget'!$C100</f>
        <v>0</v>
      </c>
      <c r="D101" s="270">
        <f t="shared" si="1"/>
        <v>0</v>
      </c>
      <c r="E101" s="268"/>
      <c r="F101" s="267"/>
    </row>
    <row r="102" spans="1:6" s="352" customFormat="1">
      <c r="A102" s="145" t="s">
        <v>776</v>
      </c>
      <c r="B102" s="266">
        <f>'Sources and Uses Budget'!$C101</f>
        <v>0</v>
      </c>
      <c r="C102" s="266">
        <f>'Sources and Uses Budget'!$C101</f>
        <v>0</v>
      </c>
      <c r="D102" s="270">
        <f t="shared" si="1"/>
        <v>0</v>
      </c>
      <c r="E102" s="268"/>
      <c r="F102" s="267"/>
    </row>
    <row r="103" spans="1:6" s="352" customFormat="1" ht="12" customHeight="1">
      <c r="A103" s="283" t="s">
        <v>1645</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777</v>
      </c>
      <c r="B105" s="270">
        <f>SUM(B100:B104)</f>
        <v>7194198</v>
      </c>
      <c r="C105" s="270">
        <f>SUM(C100:C104)</f>
        <v>7194198</v>
      </c>
      <c r="D105" s="270">
        <f t="shared" si="1"/>
        <v>0</v>
      </c>
      <c r="E105" s="268"/>
      <c r="F105" s="267"/>
    </row>
    <row r="106" spans="1:6" s="352" customFormat="1">
      <c r="A106" s="271" t="s">
        <v>778</v>
      </c>
      <c r="B106" s="273">
        <f>SUM(B98+B105)</f>
        <v>56420274</v>
      </c>
      <c r="C106" s="273">
        <f>SUM(C98+C105)</f>
        <v>56420274</v>
      </c>
      <c r="D106" s="270">
        <f t="shared" si="1"/>
        <v>0</v>
      </c>
      <c r="E106" s="268"/>
      <c r="F106" s="267"/>
    </row>
    <row r="107" spans="1:6" s="352" customFormat="1">
      <c r="A107" s="277" t="s">
        <v>779</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2025-09-04T16:14:43Z</dcterms:modified>
</cp:coreProperties>
</file>